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W:\Investor Relations\Earnings Reports\FY2020\Q120\FINAL FILES\"/>
    </mc:Choice>
  </mc:AlternateContent>
  <xr:revisionPtr revIDLastSave="0" documentId="13_ncr:1_{14DC145E-FB72-4BD9-B322-FFBCA19D1535}" xr6:coauthVersionLast="41" xr6:coauthVersionMax="41" xr10:uidLastSave="{00000000-0000-0000-0000-000000000000}"/>
  <bookViews>
    <workbookView xWindow="25080" yWindow="-120" windowWidth="25440" windowHeight="15390" tabRatio="900" firstSheet="3" activeTab="14" xr2:uid="{00000000-000D-0000-FFFF-FFFF00000000}"/>
  </bookViews>
  <sheets>
    <sheet name="1 Cover" sheetId="2" r:id="rId1"/>
    <sheet name="2 Table of Contents" sheetId="4" r:id="rId2"/>
    <sheet name="1 Financial Highlights" sheetId="1" r:id="rId3"/>
    <sheet name="2 Consolidated IS" sheetId="8" r:id="rId4"/>
    <sheet name="MDA Tables" sheetId="47" state="hidden" r:id="rId5"/>
    <sheet name="3 Business Segments FY20" sheetId="49" r:id="rId6"/>
    <sheet name="4 Capital Markets North America" sheetId="43" state="hidden" r:id="rId7"/>
    <sheet name="3 Business Segments FY18" sheetId="50" state="hidden" r:id="rId8"/>
    <sheet name="4. EPS by business segment" sheetId="51" r:id="rId9"/>
    <sheet name="5 Canaccord Genuity " sheetId="42" r:id="rId10"/>
    <sheet name="6 Capital Markets Canada" sheetId="36" r:id="rId11"/>
    <sheet name="7 CG - US" sheetId="38" r:id="rId12"/>
    <sheet name="8 UK &amp; Dubai" sheetId="37" r:id="rId13"/>
    <sheet name="9 CG - Australia" sheetId="44" r:id="rId14"/>
    <sheet name="10 Wealth Management" sheetId="48" r:id="rId15"/>
    <sheet name="CWM BGF" sheetId="39" state="hidden" r:id="rId16"/>
    <sheet name="11 CWM Canada" sheetId="40" r:id="rId17"/>
    <sheet name="12 CWM UK and Europe" sheetId="35" r:id="rId18"/>
    <sheet name="13 Other" sheetId="12" r:id="rId19"/>
    <sheet name="14 Balance Sheet" sheetId="16" r:id="rId20"/>
    <sheet name="7 Canada" sheetId="13" state="hidden" r:id="rId21"/>
    <sheet name="8 UK and Europe" sheetId="33" state="hidden" r:id="rId22"/>
    <sheet name="9 US" sheetId="15" state="hidden" r:id="rId23"/>
    <sheet name="15 Misc Operating Stats" sheetId="17" r:id="rId24"/>
    <sheet name="16 Notes" sheetId="6" r:id="rId25"/>
    <sheet name="NHI" sheetId="26" state="hidden" r:id="rId26"/>
  </sheets>
  <externalReferences>
    <externalReference r:id="rId27"/>
  </externalReferences>
  <definedNames>
    <definedName name="\B" localSheetId="14">#REF!</definedName>
    <definedName name="\B" localSheetId="16">#REF!</definedName>
    <definedName name="\B" localSheetId="17">#REF!</definedName>
    <definedName name="\B" localSheetId="7">#REF!</definedName>
    <definedName name="\B" localSheetId="5">#REF!</definedName>
    <definedName name="\B" localSheetId="6">#REF!</definedName>
    <definedName name="\B" localSheetId="9">#REF!</definedName>
    <definedName name="\B" localSheetId="10">#REF!</definedName>
    <definedName name="\B" localSheetId="11">#REF!</definedName>
    <definedName name="\B" localSheetId="12">#REF!</definedName>
    <definedName name="\B" localSheetId="21">#REF!</definedName>
    <definedName name="\B" localSheetId="13">#REF!</definedName>
    <definedName name="\B" localSheetId="15">#REF!</definedName>
    <definedName name="\B" localSheetId="4">#REF!</definedName>
    <definedName name="\B">#REF!</definedName>
    <definedName name="\G" localSheetId="14">#REF!</definedName>
    <definedName name="\G" localSheetId="16">#REF!</definedName>
    <definedName name="\G" localSheetId="17">#REF!</definedName>
    <definedName name="\G" localSheetId="7">#REF!</definedName>
    <definedName name="\G" localSheetId="5">#REF!</definedName>
    <definedName name="\G" localSheetId="6">#REF!</definedName>
    <definedName name="\G" localSheetId="9">#REF!</definedName>
    <definedName name="\G" localSheetId="11">#REF!</definedName>
    <definedName name="\G" localSheetId="12">#REF!</definedName>
    <definedName name="\G" localSheetId="13">#REF!</definedName>
    <definedName name="\G" localSheetId="15">#REF!</definedName>
    <definedName name="\G" localSheetId="4">#REF!</definedName>
    <definedName name="\G">#REF!</definedName>
    <definedName name="\S" localSheetId="14">#REF!</definedName>
    <definedName name="\S" localSheetId="16">#REF!</definedName>
    <definedName name="\S" localSheetId="17">#REF!</definedName>
    <definedName name="\S" localSheetId="7">#REF!</definedName>
    <definedName name="\S" localSheetId="5">#REF!</definedName>
    <definedName name="\S" localSheetId="6">#REF!</definedName>
    <definedName name="\S" localSheetId="9">#REF!</definedName>
    <definedName name="\S" localSheetId="11">#REF!</definedName>
    <definedName name="\S" localSheetId="12">#REF!</definedName>
    <definedName name="\S" localSheetId="13">#REF!</definedName>
    <definedName name="\S" localSheetId="15">#REF!</definedName>
    <definedName name="\S" localSheetId="4">#REF!</definedName>
    <definedName name="\S">#REF!</definedName>
    <definedName name="_2_OR" localSheetId="14">#REF!</definedName>
    <definedName name="_2_OR" localSheetId="16">#REF!</definedName>
    <definedName name="_2_OR" localSheetId="17">#REF!</definedName>
    <definedName name="_2_OR" localSheetId="7">#REF!</definedName>
    <definedName name="_2_OR" localSheetId="5">#REF!</definedName>
    <definedName name="_2_OR" localSheetId="6">#REF!</definedName>
    <definedName name="_2_OR" localSheetId="9">#REF!</definedName>
    <definedName name="_2_OR" localSheetId="11">#REF!</definedName>
    <definedName name="_2_OR" localSheetId="12">#REF!</definedName>
    <definedName name="_2_OR" localSheetId="13">#REF!</definedName>
    <definedName name="_2_OR" localSheetId="15">#REF!</definedName>
    <definedName name="_2_OR" localSheetId="4">#REF!</definedName>
    <definedName name="_2_OR">#REF!</definedName>
    <definedName name="_APR95" localSheetId="14">#REF!</definedName>
    <definedName name="_APR95" localSheetId="16">#REF!</definedName>
    <definedName name="_APR95" localSheetId="17">#REF!</definedName>
    <definedName name="_APR95" localSheetId="7">#REF!</definedName>
    <definedName name="_APR95" localSheetId="5">#REF!</definedName>
    <definedName name="_APR95" localSheetId="6">#REF!</definedName>
    <definedName name="_APR95" localSheetId="9">#REF!</definedName>
    <definedName name="_APR95" localSheetId="11">#REF!</definedName>
    <definedName name="_APR95" localSheetId="12">#REF!</definedName>
    <definedName name="_APR95" localSheetId="13">#REF!</definedName>
    <definedName name="_APR95" localSheetId="15">#REF!</definedName>
    <definedName name="_APR95" localSheetId="4">#REF!</definedName>
    <definedName name="_APR95">#REF!</definedName>
    <definedName name="_APR96" localSheetId="14">#REF!</definedName>
    <definedName name="_APR96" localSheetId="16">#REF!</definedName>
    <definedName name="_APR96" localSheetId="17">#REF!</definedName>
    <definedName name="_APR96" localSheetId="7">#REF!</definedName>
    <definedName name="_APR96" localSheetId="5">#REF!</definedName>
    <definedName name="_APR96" localSheetId="6">#REF!</definedName>
    <definedName name="_APR96" localSheetId="9">#REF!</definedName>
    <definedName name="_APR96" localSheetId="11">#REF!</definedName>
    <definedName name="_APR96" localSheetId="12">#REF!</definedName>
    <definedName name="_APR96" localSheetId="13">#REF!</definedName>
    <definedName name="_APR96" localSheetId="15">#REF!</definedName>
    <definedName name="_APR96" localSheetId="4">#REF!</definedName>
    <definedName name="_APR96">#REF!</definedName>
    <definedName name="_APR97" localSheetId="14">#REF!</definedName>
    <definedName name="_APR97" localSheetId="16">#REF!</definedName>
    <definedName name="_APR97" localSheetId="17">#REF!</definedName>
    <definedName name="_APR97" localSheetId="7">#REF!</definedName>
    <definedName name="_APR97" localSheetId="5">#REF!</definedName>
    <definedName name="_APR97" localSheetId="6">#REF!</definedName>
    <definedName name="_APR97" localSheetId="9">#REF!</definedName>
    <definedName name="_APR97" localSheetId="11">#REF!</definedName>
    <definedName name="_APR97" localSheetId="12">#REF!</definedName>
    <definedName name="_APR97" localSheetId="13">#REF!</definedName>
    <definedName name="_APR97" localSheetId="15">#REF!</definedName>
    <definedName name="_APR97" localSheetId="4">#REF!</definedName>
    <definedName name="_APR97">#REF!</definedName>
    <definedName name="_AUG94" localSheetId="14">#REF!</definedName>
    <definedName name="_AUG94" localSheetId="16">#REF!</definedName>
    <definedName name="_AUG94" localSheetId="17">#REF!</definedName>
    <definedName name="_AUG94" localSheetId="7">#REF!</definedName>
    <definedName name="_AUG94" localSheetId="5">#REF!</definedName>
    <definedName name="_AUG94" localSheetId="6">#REF!</definedName>
    <definedName name="_AUG94" localSheetId="9">#REF!</definedName>
    <definedName name="_AUG94" localSheetId="11">#REF!</definedName>
    <definedName name="_AUG94" localSheetId="12">#REF!</definedName>
    <definedName name="_AUG94" localSheetId="13">#REF!</definedName>
    <definedName name="_AUG94" localSheetId="15">#REF!</definedName>
    <definedName name="_AUG94" localSheetId="4">#REF!</definedName>
    <definedName name="_AUG94">#REF!</definedName>
    <definedName name="_AUG95" localSheetId="14">#REF!</definedName>
    <definedName name="_AUG95" localSheetId="16">#REF!</definedName>
    <definedName name="_AUG95" localSheetId="17">#REF!</definedName>
    <definedName name="_AUG95" localSheetId="7">#REF!</definedName>
    <definedName name="_AUG95" localSheetId="5">#REF!</definedName>
    <definedName name="_AUG95" localSheetId="6">#REF!</definedName>
    <definedName name="_AUG95" localSheetId="9">#REF!</definedName>
    <definedName name="_AUG95" localSheetId="11">#REF!</definedName>
    <definedName name="_AUG95" localSheetId="12">#REF!</definedName>
    <definedName name="_AUG95" localSheetId="13">#REF!</definedName>
    <definedName name="_AUG95" localSheetId="15">#REF!</definedName>
    <definedName name="_AUG95" localSheetId="4">#REF!</definedName>
    <definedName name="_AUG95">#REF!</definedName>
    <definedName name="_AUG96" localSheetId="14">#REF!</definedName>
    <definedName name="_AUG96" localSheetId="16">#REF!</definedName>
    <definedName name="_AUG96" localSheetId="17">#REF!</definedName>
    <definedName name="_AUG96" localSheetId="7">#REF!</definedName>
    <definedName name="_AUG96" localSheetId="5">#REF!</definedName>
    <definedName name="_AUG96" localSheetId="6">#REF!</definedName>
    <definedName name="_AUG96" localSheetId="9">#REF!</definedName>
    <definedName name="_AUG96" localSheetId="11">#REF!</definedName>
    <definedName name="_AUG96" localSheetId="12">#REF!</definedName>
    <definedName name="_AUG96" localSheetId="13">#REF!</definedName>
    <definedName name="_AUG96" localSheetId="15">#REF!</definedName>
    <definedName name="_AUG96" localSheetId="4">#REF!</definedName>
    <definedName name="_AUG96">#REF!</definedName>
    <definedName name="_AUG97" localSheetId="14">#REF!</definedName>
    <definedName name="_AUG97" localSheetId="16">#REF!</definedName>
    <definedName name="_AUG97" localSheetId="17">#REF!</definedName>
    <definedName name="_AUG97" localSheetId="7">#REF!</definedName>
    <definedName name="_AUG97" localSheetId="5">#REF!</definedName>
    <definedName name="_AUG97" localSheetId="6">#REF!</definedName>
    <definedName name="_AUG97" localSheetId="9">#REF!</definedName>
    <definedName name="_AUG97" localSheetId="11">#REF!</definedName>
    <definedName name="_AUG97" localSheetId="12">#REF!</definedName>
    <definedName name="_AUG97" localSheetId="13">#REF!</definedName>
    <definedName name="_AUG97" localSheetId="15">#REF!</definedName>
    <definedName name="_AUG97" localSheetId="4">#REF!</definedName>
    <definedName name="_AUG97">#REF!</definedName>
    <definedName name="_DEC94" localSheetId="14">#REF!</definedName>
    <definedName name="_DEC94" localSheetId="16">#REF!</definedName>
    <definedName name="_DEC94" localSheetId="17">#REF!</definedName>
    <definedName name="_DEC94" localSheetId="7">#REF!</definedName>
    <definedName name="_DEC94" localSheetId="5">#REF!</definedName>
    <definedName name="_DEC94" localSheetId="6">#REF!</definedName>
    <definedName name="_DEC94" localSheetId="9">#REF!</definedName>
    <definedName name="_DEC94" localSheetId="11">#REF!</definedName>
    <definedName name="_DEC94" localSheetId="12">#REF!</definedName>
    <definedName name="_DEC94" localSheetId="13">#REF!</definedName>
    <definedName name="_DEC94" localSheetId="15">#REF!</definedName>
    <definedName name="_DEC94" localSheetId="4">#REF!</definedName>
    <definedName name="_DEC94">#REF!</definedName>
    <definedName name="_DEC95" localSheetId="14">#REF!</definedName>
    <definedName name="_DEC95" localSheetId="16">#REF!</definedName>
    <definedName name="_DEC95" localSheetId="17">#REF!</definedName>
    <definedName name="_DEC95" localSheetId="7">#REF!</definedName>
    <definedName name="_DEC95" localSheetId="5">#REF!</definedName>
    <definedName name="_DEC95" localSheetId="6">#REF!</definedName>
    <definedName name="_DEC95" localSheetId="9">#REF!</definedName>
    <definedName name="_DEC95" localSheetId="11">#REF!</definedName>
    <definedName name="_DEC95" localSheetId="12">#REF!</definedName>
    <definedName name="_DEC95" localSheetId="13">#REF!</definedName>
    <definedName name="_DEC95" localSheetId="15">#REF!</definedName>
    <definedName name="_DEC95" localSheetId="4">#REF!</definedName>
    <definedName name="_DEC95">#REF!</definedName>
    <definedName name="_DEC96" localSheetId="14">#REF!</definedName>
    <definedName name="_DEC96" localSheetId="16">#REF!</definedName>
    <definedName name="_DEC96" localSheetId="17">#REF!</definedName>
    <definedName name="_DEC96" localSheetId="7">#REF!</definedName>
    <definedName name="_DEC96" localSheetId="5">#REF!</definedName>
    <definedName name="_DEC96" localSheetId="6">#REF!</definedName>
    <definedName name="_DEC96" localSheetId="9">#REF!</definedName>
    <definedName name="_DEC96" localSheetId="11">#REF!</definedName>
    <definedName name="_DEC96" localSheetId="12">#REF!</definedName>
    <definedName name="_DEC96" localSheetId="13">#REF!</definedName>
    <definedName name="_DEC96" localSheetId="15">#REF!</definedName>
    <definedName name="_DEC96" localSheetId="4">#REF!</definedName>
    <definedName name="_DEC96">#REF!</definedName>
    <definedName name="_FEB95" localSheetId="14">#REF!</definedName>
    <definedName name="_FEB95" localSheetId="16">#REF!</definedName>
    <definedName name="_FEB95" localSheetId="17">#REF!</definedName>
    <definedName name="_FEB95" localSheetId="7">#REF!</definedName>
    <definedName name="_FEB95" localSheetId="5">#REF!</definedName>
    <definedName name="_FEB95" localSheetId="6">#REF!</definedName>
    <definedName name="_FEB95" localSheetId="9">#REF!</definedName>
    <definedName name="_FEB95" localSheetId="11">#REF!</definedName>
    <definedName name="_FEB95" localSheetId="12">#REF!</definedName>
    <definedName name="_FEB95" localSheetId="13">#REF!</definedName>
    <definedName name="_FEB95" localSheetId="15">#REF!</definedName>
    <definedName name="_FEB95" localSheetId="4">#REF!</definedName>
    <definedName name="_FEB95">#REF!</definedName>
    <definedName name="_FEB96" localSheetId="14">#REF!</definedName>
    <definedName name="_FEB96" localSheetId="16">#REF!</definedName>
    <definedName name="_FEB96" localSheetId="17">#REF!</definedName>
    <definedName name="_FEB96" localSheetId="7">#REF!</definedName>
    <definedName name="_FEB96" localSheetId="5">#REF!</definedName>
    <definedName name="_FEB96" localSheetId="6">#REF!</definedName>
    <definedName name="_FEB96" localSheetId="9">#REF!</definedName>
    <definedName name="_FEB96" localSheetId="11">#REF!</definedName>
    <definedName name="_FEB96" localSheetId="12">#REF!</definedName>
    <definedName name="_FEB96" localSheetId="13">#REF!</definedName>
    <definedName name="_FEB96" localSheetId="15">#REF!</definedName>
    <definedName name="_FEB96" localSheetId="4">#REF!</definedName>
    <definedName name="_FEB96">#REF!</definedName>
    <definedName name="_FEB97" localSheetId="14">#REF!</definedName>
    <definedName name="_FEB97" localSheetId="16">#REF!</definedName>
    <definedName name="_FEB97" localSheetId="17">#REF!</definedName>
    <definedName name="_FEB97" localSheetId="7">#REF!</definedName>
    <definedName name="_FEB97" localSheetId="5">#REF!</definedName>
    <definedName name="_FEB97" localSheetId="6">#REF!</definedName>
    <definedName name="_FEB97" localSheetId="9">#REF!</definedName>
    <definedName name="_FEB97" localSheetId="11">#REF!</definedName>
    <definedName name="_FEB97" localSheetId="12">#REF!</definedName>
    <definedName name="_FEB97" localSheetId="13">#REF!</definedName>
    <definedName name="_FEB97" localSheetId="15">#REF!</definedName>
    <definedName name="_FEB97" localSheetId="4">#REF!</definedName>
    <definedName name="_FEB97">#REF!</definedName>
    <definedName name="_Fill" localSheetId="14" hidden="1">#REF!</definedName>
    <definedName name="_Fill" localSheetId="16" hidden="1">#REF!</definedName>
    <definedName name="_Fill" localSheetId="17" hidden="1">#REF!</definedName>
    <definedName name="_Fill" localSheetId="7" hidden="1">#REF!</definedName>
    <definedName name="_Fill" localSheetId="5" hidden="1">#REF!</definedName>
    <definedName name="_Fill" localSheetId="6"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5" hidden="1">#REF!</definedName>
    <definedName name="_Fill" localSheetId="4" hidden="1">#REF!</definedName>
    <definedName name="_Fill" hidden="1">#REF!</definedName>
    <definedName name="_JAN95" localSheetId="14">#REF!</definedName>
    <definedName name="_JAN95" localSheetId="16">#REF!</definedName>
    <definedName name="_JAN95" localSheetId="17">#REF!</definedName>
    <definedName name="_JAN95" localSheetId="7">#REF!</definedName>
    <definedName name="_JAN95" localSheetId="5">#REF!</definedName>
    <definedName name="_JAN95" localSheetId="6">#REF!</definedName>
    <definedName name="_JAN95" localSheetId="9">#REF!</definedName>
    <definedName name="_JAN95" localSheetId="11">#REF!</definedName>
    <definedName name="_JAN95" localSheetId="12">#REF!</definedName>
    <definedName name="_JAN95" localSheetId="13">#REF!</definedName>
    <definedName name="_JAN95" localSheetId="15">#REF!</definedName>
    <definedName name="_JAN95" localSheetId="4">#REF!</definedName>
    <definedName name="_JAN95">#REF!</definedName>
    <definedName name="_JAN96" localSheetId="14">#REF!</definedName>
    <definedName name="_JAN96" localSheetId="16">#REF!</definedName>
    <definedName name="_JAN96" localSheetId="17">#REF!</definedName>
    <definedName name="_JAN96" localSheetId="7">#REF!</definedName>
    <definedName name="_JAN96" localSheetId="5">#REF!</definedName>
    <definedName name="_JAN96" localSheetId="6">#REF!</definedName>
    <definedName name="_JAN96" localSheetId="9">#REF!</definedName>
    <definedName name="_JAN96" localSheetId="11">#REF!</definedName>
    <definedName name="_JAN96" localSheetId="12">#REF!</definedName>
    <definedName name="_JAN96" localSheetId="13">#REF!</definedName>
    <definedName name="_JAN96" localSheetId="15">#REF!</definedName>
    <definedName name="_JAN96" localSheetId="4">#REF!</definedName>
    <definedName name="_JAN96">#REF!</definedName>
    <definedName name="_JAN97" localSheetId="14">#REF!</definedName>
    <definedName name="_JAN97" localSheetId="16">#REF!</definedName>
    <definedName name="_JAN97" localSheetId="17">#REF!</definedName>
    <definedName name="_JAN97" localSheetId="7">#REF!</definedName>
    <definedName name="_JAN97" localSheetId="5">#REF!</definedName>
    <definedName name="_JAN97" localSheetId="6">#REF!</definedName>
    <definedName name="_JAN97" localSheetId="9">#REF!</definedName>
    <definedName name="_JAN97" localSheetId="11">#REF!</definedName>
    <definedName name="_JAN97" localSheetId="12">#REF!</definedName>
    <definedName name="_JAN97" localSheetId="13">#REF!</definedName>
    <definedName name="_JAN97" localSheetId="15">#REF!</definedName>
    <definedName name="_JAN97" localSheetId="4">#REF!</definedName>
    <definedName name="_JAN97">#REF!</definedName>
    <definedName name="_JUL94" localSheetId="14">#REF!</definedName>
    <definedName name="_JUL94" localSheetId="16">#REF!</definedName>
    <definedName name="_JUL94" localSheetId="17">#REF!</definedName>
    <definedName name="_JUL94" localSheetId="7">#REF!</definedName>
    <definedName name="_JUL94" localSheetId="5">#REF!</definedName>
    <definedName name="_JUL94" localSheetId="6">#REF!</definedName>
    <definedName name="_JUL94" localSheetId="9">#REF!</definedName>
    <definedName name="_JUL94" localSheetId="11">#REF!</definedName>
    <definedName name="_JUL94" localSheetId="12">#REF!</definedName>
    <definedName name="_JUL94" localSheetId="13">#REF!</definedName>
    <definedName name="_JUL94" localSheetId="15">#REF!</definedName>
    <definedName name="_JUL94" localSheetId="4">#REF!</definedName>
    <definedName name="_JUL94">#REF!</definedName>
    <definedName name="_JUL95" localSheetId="14">#REF!</definedName>
    <definedName name="_JUL95" localSheetId="16">#REF!</definedName>
    <definedName name="_JUL95" localSheetId="17">#REF!</definedName>
    <definedName name="_JUL95" localSheetId="7">#REF!</definedName>
    <definedName name="_JUL95" localSheetId="5">#REF!</definedName>
    <definedName name="_JUL95" localSheetId="6">#REF!</definedName>
    <definedName name="_JUL95" localSheetId="9">#REF!</definedName>
    <definedName name="_JUL95" localSheetId="11">#REF!</definedName>
    <definedName name="_JUL95" localSheetId="12">#REF!</definedName>
    <definedName name="_JUL95" localSheetId="13">#REF!</definedName>
    <definedName name="_JUL95" localSheetId="15">#REF!</definedName>
    <definedName name="_JUL95" localSheetId="4">#REF!</definedName>
    <definedName name="_JUL95">#REF!</definedName>
    <definedName name="_JUL96" localSheetId="14">#REF!</definedName>
    <definedName name="_JUL96" localSheetId="16">#REF!</definedName>
    <definedName name="_JUL96" localSheetId="17">#REF!</definedName>
    <definedName name="_JUL96" localSheetId="7">#REF!</definedName>
    <definedName name="_JUL96" localSheetId="5">#REF!</definedName>
    <definedName name="_JUL96" localSheetId="6">#REF!</definedName>
    <definedName name="_JUL96" localSheetId="9">#REF!</definedName>
    <definedName name="_JUL96" localSheetId="11">#REF!</definedName>
    <definedName name="_JUL96" localSheetId="12">#REF!</definedName>
    <definedName name="_JUL96" localSheetId="13">#REF!</definedName>
    <definedName name="_JUL96" localSheetId="15">#REF!</definedName>
    <definedName name="_JUL96" localSheetId="4">#REF!</definedName>
    <definedName name="_JUL96">#REF!</definedName>
    <definedName name="_JUL97" localSheetId="14">#REF!</definedName>
    <definedName name="_JUL97" localSheetId="16">#REF!</definedName>
    <definedName name="_JUL97" localSheetId="17">#REF!</definedName>
    <definedName name="_JUL97" localSheetId="7">#REF!</definedName>
    <definedName name="_JUL97" localSheetId="5">#REF!</definedName>
    <definedName name="_JUL97" localSheetId="6">#REF!</definedName>
    <definedName name="_JUL97" localSheetId="9">#REF!</definedName>
    <definedName name="_JUL97" localSheetId="11">#REF!</definedName>
    <definedName name="_JUL97" localSheetId="12">#REF!</definedName>
    <definedName name="_JUL97" localSheetId="13">#REF!</definedName>
    <definedName name="_JUL97" localSheetId="15">#REF!</definedName>
    <definedName name="_JUL97" localSheetId="4">#REF!</definedName>
    <definedName name="_JUL97">#REF!</definedName>
    <definedName name="_JUN94" localSheetId="14">#REF!</definedName>
    <definedName name="_JUN94" localSheetId="16">#REF!</definedName>
    <definedName name="_JUN94" localSheetId="17">#REF!</definedName>
    <definedName name="_JUN94" localSheetId="7">#REF!</definedName>
    <definedName name="_JUN94" localSheetId="5">#REF!</definedName>
    <definedName name="_JUN94" localSheetId="6">#REF!</definedName>
    <definedName name="_JUN94" localSheetId="9">#REF!</definedName>
    <definedName name="_JUN94" localSheetId="11">#REF!</definedName>
    <definedName name="_JUN94" localSheetId="12">#REF!</definedName>
    <definedName name="_JUN94" localSheetId="13">#REF!</definedName>
    <definedName name="_JUN94" localSheetId="15">#REF!</definedName>
    <definedName name="_JUN94" localSheetId="4">#REF!</definedName>
    <definedName name="_JUN94">#REF!</definedName>
    <definedName name="_JUN95" localSheetId="14">#REF!</definedName>
    <definedName name="_JUN95" localSheetId="16">#REF!</definedName>
    <definedName name="_JUN95" localSheetId="17">#REF!</definedName>
    <definedName name="_JUN95" localSheetId="7">#REF!</definedName>
    <definedName name="_JUN95" localSheetId="5">#REF!</definedName>
    <definedName name="_JUN95" localSheetId="6">#REF!</definedName>
    <definedName name="_JUN95" localSheetId="9">#REF!</definedName>
    <definedName name="_JUN95" localSheetId="11">#REF!</definedName>
    <definedName name="_JUN95" localSheetId="12">#REF!</definedName>
    <definedName name="_JUN95" localSheetId="13">#REF!</definedName>
    <definedName name="_JUN95" localSheetId="15">#REF!</definedName>
    <definedName name="_JUN95" localSheetId="4">#REF!</definedName>
    <definedName name="_JUN95">#REF!</definedName>
    <definedName name="_JUN96" localSheetId="14">#REF!</definedName>
    <definedName name="_JUN96" localSheetId="16">#REF!</definedName>
    <definedName name="_JUN96" localSheetId="17">#REF!</definedName>
    <definedName name="_JUN96" localSheetId="7">#REF!</definedName>
    <definedName name="_JUN96" localSheetId="5">#REF!</definedName>
    <definedName name="_JUN96" localSheetId="6">#REF!</definedName>
    <definedName name="_JUN96" localSheetId="9">#REF!</definedName>
    <definedName name="_JUN96" localSheetId="11">#REF!</definedName>
    <definedName name="_JUN96" localSheetId="12">#REF!</definedName>
    <definedName name="_JUN96" localSheetId="13">#REF!</definedName>
    <definedName name="_JUN96" localSheetId="15">#REF!</definedName>
    <definedName name="_JUN96" localSheetId="4">#REF!</definedName>
    <definedName name="_JUN96">#REF!</definedName>
    <definedName name="_JUN97" localSheetId="14">#REF!</definedName>
    <definedName name="_JUN97" localSheetId="16">#REF!</definedName>
    <definedName name="_JUN97" localSheetId="17">#REF!</definedName>
    <definedName name="_JUN97" localSheetId="7">#REF!</definedName>
    <definedName name="_JUN97" localSheetId="5">#REF!</definedName>
    <definedName name="_JUN97" localSheetId="6">#REF!</definedName>
    <definedName name="_JUN97" localSheetId="9">#REF!</definedName>
    <definedName name="_JUN97" localSheetId="11">#REF!</definedName>
    <definedName name="_JUN97" localSheetId="12">#REF!</definedName>
    <definedName name="_JUN97" localSheetId="13">#REF!</definedName>
    <definedName name="_JUN97" localSheetId="15">#REF!</definedName>
    <definedName name="_JUN97" localSheetId="4">#REF!</definedName>
    <definedName name="_JUN97">#REF!</definedName>
    <definedName name="_Key1" localSheetId="14" hidden="1">#REF!</definedName>
    <definedName name="_Key1" localSheetId="16" hidden="1">#REF!</definedName>
    <definedName name="_Key1" localSheetId="17" hidden="1">#REF!</definedName>
    <definedName name="_Key1" localSheetId="7" hidden="1">#REF!</definedName>
    <definedName name="_Key1" localSheetId="5" hidden="1">#REF!</definedName>
    <definedName name="_Key1" localSheetId="6" hidden="1">#REF!</definedName>
    <definedName name="_Key1" localSheetId="9"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4" hidden="1">#REF!</definedName>
    <definedName name="_Key1" hidden="1">#REF!</definedName>
    <definedName name="_Key2" localSheetId="14" hidden="1">#REF!</definedName>
    <definedName name="_Key2" localSheetId="16" hidden="1">#REF!</definedName>
    <definedName name="_Key2" localSheetId="17" hidden="1">#REF!</definedName>
    <definedName name="_Key2" localSheetId="7" hidden="1">#REF!</definedName>
    <definedName name="_Key2" localSheetId="5" hidden="1">#REF!</definedName>
    <definedName name="_Key2" localSheetId="6" hidden="1">#REF!</definedName>
    <definedName name="_Key2" localSheetId="9"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4" hidden="1">#REF!</definedName>
    <definedName name="_Key2" hidden="1">#REF!</definedName>
    <definedName name="_MAR95" localSheetId="14">#REF!</definedName>
    <definedName name="_MAR95" localSheetId="16">#REF!</definedName>
    <definedName name="_MAR95" localSheetId="17">#REF!</definedName>
    <definedName name="_MAR95" localSheetId="7">#REF!</definedName>
    <definedName name="_MAR95" localSheetId="5">#REF!</definedName>
    <definedName name="_MAR95" localSheetId="6">#REF!</definedName>
    <definedName name="_MAR95" localSheetId="9">#REF!</definedName>
    <definedName name="_MAR95" localSheetId="11">#REF!</definedName>
    <definedName name="_MAR95" localSheetId="12">#REF!</definedName>
    <definedName name="_MAR95" localSheetId="13">#REF!</definedName>
    <definedName name="_MAR95" localSheetId="15">#REF!</definedName>
    <definedName name="_MAR95" localSheetId="4">#REF!</definedName>
    <definedName name="_MAR95">#REF!</definedName>
    <definedName name="_MAR96" localSheetId="14">#REF!</definedName>
    <definedName name="_MAR96" localSheetId="16">#REF!</definedName>
    <definedName name="_MAR96" localSheetId="17">#REF!</definedName>
    <definedName name="_MAR96" localSheetId="7">#REF!</definedName>
    <definedName name="_MAR96" localSheetId="5">#REF!</definedName>
    <definedName name="_MAR96" localSheetId="6">#REF!</definedName>
    <definedName name="_MAR96" localSheetId="9">#REF!</definedName>
    <definedName name="_MAR96" localSheetId="11">#REF!</definedName>
    <definedName name="_MAR96" localSheetId="12">#REF!</definedName>
    <definedName name="_MAR96" localSheetId="13">#REF!</definedName>
    <definedName name="_MAR96" localSheetId="15">#REF!</definedName>
    <definedName name="_MAR96" localSheetId="4">#REF!</definedName>
    <definedName name="_MAR96">#REF!</definedName>
    <definedName name="_MAR97" localSheetId="14">#REF!</definedName>
    <definedName name="_MAR97" localSheetId="16">#REF!</definedName>
    <definedName name="_MAR97" localSheetId="17">#REF!</definedName>
    <definedName name="_MAR97" localSheetId="7">#REF!</definedName>
    <definedName name="_MAR97" localSheetId="5">#REF!</definedName>
    <definedName name="_MAR97" localSheetId="6">#REF!</definedName>
    <definedName name="_MAR97" localSheetId="9">#REF!</definedName>
    <definedName name="_MAR97" localSheetId="11">#REF!</definedName>
    <definedName name="_MAR97" localSheetId="12">#REF!</definedName>
    <definedName name="_MAR97" localSheetId="13">#REF!</definedName>
    <definedName name="_MAR97" localSheetId="15">#REF!</definedName>
    <definedName name="_MAR97" localSheetId="4">#REF!</definedName>
    <definedName name="_MAR97">#REF!</definedName>
    <definedName name="_MAY94" localSheetId="14">#REF!</definedName>
    <definedName name="_MAY94" localSheetId="16">#REF!</definedName>
    <definedName name="_MAY94" localSheetId="17">#REF!</definedName>
    <definedName name="_MAY94" localSheetId="7">#REF!</definedName>
    <definedName name="_MAY94" localSheetId="5">#REF!</definedName>
    <definedName name="_MAY94" localSheetId="6">#REF!</definedName>
    <definedName name="_MAY94" localSheetId="9">#REF!</definedName>
    <definedName name="_MAY94" localSheetId="11">#REF!</definedName>
    <definedName name="_MAY94" localSheetId="12">#REF!</definedName>
    <definedName name="_MAY94" localSheetId="13">#REF!</definedName>
    <definedName name="_MAY94" localSheetId="15">#REF!</definedName>
    <definedName name="_MAY94" localSheetId="4">#REF!</definedName>
    <definedName name="_MAY94">#REF!</definedName>
    <definedName name="_MAY95" localSheetId="14">#REF!</definedName>
    <definedName name="_MAY95" localSheetId="16">#REF!</definedName>
    <definedName name="_MAY95" localSheetId="17">#REF!</definedName>
    <definedName name="_MAY95" localSheetId="7">#REF!</definedName>
    <definedName name="_MAY95" localSheetId="5">#REF!</definedName>
    <definedName name="_MAY95" localSheetId="6">#REF!</definedName>
    <definedName name="_MAY95" localSheetId="9">#REF!</definedName>
    <definedName name="_MAY95" localSheetId="11">#REF!</definedName>
    <definedName name="_MAY95" localSheetId="12">#REF!</definedName>
    <definedName name="_MAY95" localSheetId="13">#REF!</definedName>
    <definedName name="_MAY95" localSheetId="15">#REF!</definedName>
    <definedName name="_MAY95" localSheetId="4">#REF!</definedName>
    <definedName name="_MAY95">#REF!</definedName>
    <definedName name="_MAY96" localSheetId="14">#REF!</definedName>
    <definedName name="_MAY96" localSheetId="16">#REF!</definedName>
    <definedName name="_MAY96" localSheetId="17">#REF!</definedName>
    <definedName name="_MAY96" localSheetId="7">#REF!</definedName>
    <definedName name="_MAY96" localSheetId="5">#REF!</definedName>
    <definedName name="_MAY96" localSheetId="6">#REF!</definedName>
    <definedName name="_MAY96" localSheetId="9">#REF!</definedName>
    <definedName name="_MAY96" localSheetId="11">#REF!</definedName>
    <definedName name="_MAY96" localSheetId="12">#REF!</definedName>
    <definedName name="_MAY96" localSheetId="13">#REF!</definedName>
    <definedName name="_MAY96" localSheetId="15">#REF!</definedName>
    <definedName name="_MAY96" localSheetId="4">#REF!</definedName>
    <definedName name="_MAY96">#REF!</definedName>
    <definedName name="_NCF2" localSheetId="14">#REF!</definedName>
    <definedName name="_NCF2" localSheetId="16">#REF!</definedName>
    <definedName name="_NCF2" localSheetId="17">#REF!</definedName>
    <definedName name="_NCF2" localSheetId="7">#REF!</definedName>
    <definedName name="_NCF2" localSheetId="5">#REF!</definedName>
    <definedName name="_NCF2" localSheetId="6">#REF!</definedName>
    <definedName name="_NCF2" localSheetId="9">#REF!</definedName>
    <definedName name="_NCF2" localSheetId="11">#REF!</definedName>
    <definedName name="_NCF2" localSheetId="12">#REF!</definedName>
    <definedName name="_NCF2" localSheetId="13">#REF!</definedName>
    <definedName name="_NCF2" localSheetId="15">#REF!</definedName>
    <definedName name="_NCF2" localSheetId="4">#REF!</definedName>
    <definedName name="_NCF2">#REF!</definedName>
    <definedName name="_NO94" localSheetId="14">#REF!</definedName>
    <definedName name="_NO94" localSheetId="16">#REF!</definedName>
    <definedName name="_NO94" localSheetId="17">#REF!</definedName>
    <definedName name="_NO94" localSheetId="7">#REF!</definedName>
    <definedName name="_NO94" localSheetId="5">#REF!</definedName>
    <definedName name="_NO94" localSheetId="6">#REF!</definedName>
    <definedName name="_NO94" localSheetId="9">#REF!</definedName>
    <definedName name="_NO94" localSheetId="11">#REF!</definedName>
    <definedName name="_NO94" localSheetId="12">#REF!</definedName>
    <definedName name="_NO94" localSheetId="13">#REF!</definedName>
    <definedName name="_NO94" localSheetId="15">#REF!</definedName>
    <definedName name="_NO94" localSheetId="4">#REF!</definedName>
    <definedName name="_NO94">#REF!</definedName>
    <definedName name="_NOV94" localSheetId="14">#REF!</definedName>
    <definedName name="_NOV94" localSheetId="16">#REF!</definedName>
    <definedName name="_NOV94" localSheetId="17">#REF!</definedName>
    <definedName name="_NOV94" localSheetId="7">#REF!</definedName>
    <definedName name="_NOV94" localSheetId="5">#REF!</definedName>
    <definedName name="_NOV94" localSheetId="6">#REF!</definedName>
    <definedName name="_NOV94" localSheetId="9">#REF!</definedName>
    <definedName name="_NOV94" localSheetId="11">#REF!</definedName>
    <definedName name="_NOV94" localSheetId="12">#REF!</definedName>
    <definedName name="_NOV94" localSheetId="13">#REF!</definedName>
    <definedName name="_NOV94" localSheetId="15">#REF!</definedName>
    <definedName name="_NOV94" localSheetId="4">#REF!</definedName>
    <definedName name="_NOV94">#REF!</definedName>
    <definedName name="_NOV95" localSheetId="14">#REF!</definedName>
    <definedName name="_NOV95" localSheetId="16">#REF!</definedName>
    <definedName name="_NOV95" localSheetId="17">#REF!</definedName>
    <definedName name="_NOV95" localSheetId="7">#REF!</definedName>
    <definedName name="_NOV95" localSheetId="5">#REF!</definedName>
    <definedName name="_NOV95" localSheetId="6">#REF!</definedName>
    <definedName name="_NOV95" localSheetId="9">#REF!</definedName>
    <definedName name="_NOV95" localSheetId="11">#REF!</definedName>
    <definedName name="_NOV95" localSheetId="12">#REF!</definedName>
    <definedName name="_NOV95" localSheetId="13">#REF!</definedName>
    <definedName name="_NOV95" localSheetId="15">#REF!</definedName>
    <definedName name="_NOV95" localSheetId="4">#REF!</definedName>
    <definedName name="_NOV95">#REF!</definedName>
    <definedName name="_NOV97" localSheetId="14">#REF!</definedName>
    <definedName name="_NOV97" localSheetId="16">#REF!</definedName>
    <definedName name="_NOV97" localSheetId="17">#REF!</definedName>
    <definedName name="_NOV97" localSheetId="7">#REF!</definedName>
    <definedName name="_NOV97" localSheetId="5">#REF!</definedName>
    <definedName name="_NOV97" localSheetId="6">#REF!</definedName>
    <definedName name="_NOV97" localSheetId="9">#REF!</definedName>
    <definedName name="_NOV97" localSheetId="11">#REF!</definedName>
    <definedName name="_NOV97" localSheetId="12">#REF!</definedName>
    <definedName name="_NOV97" localSheetId="13">#REF!</definedName>
    <definedName name="_NOV97" localSheetId="15">#REF!</definedName>
    <definedName name="_NOV97" localSheetId="4">#REF!</definedName>
    <definedName name="_NOV97">#REF!</definedName>
    <definedName name="_OCT94" localSheetId="14">#REF!</definedName>
    <definedName name="_OCT94" localSheetId="16">#REF!</definedName>
    <definedName name="_OCT94" localSheetId="17">#REF!</definedName>
    <definedName name="_OCT94" localSheetId="7">#REF!</definedName>
    <definedName name="_OCT94" localSheetId="5">#REF!</definedName>
    <definedName name="_OCT94" localSheetId="6">#REF!</definedName>
    <definedName name="_OCT94" localSheetId="9">#REF!</definedName>
    <definedName name="_OCT94" localSheetId="11">#REF!</definedName>
    <definedName name="_OCT94" localSheetId="12">#REF!</definedName>
    <definedName name="_OCT94" localSheetId="13">#REF!</definedName>
    <definedName name="_OCT94" localSheetId="15">#REF!</definedName>
    <definedName name="_OCT94" localSheetId="4">#REF!</definedName>
    <definedName name="_OCT94">#REF!</definedName>
    <definedName name="_OCT95" localSheetId="14">#REF!</definedName>
    <definedName name="_OCT95" localSheetId="16">#REF!</definedName>
    <definedName name="_OCT95" localSheetId="17">#REF!</definedName>
    <definedName name="_OCT95" localSheetId="7">#REF!</definedName>
    <definedName name="_OCT95" localSheetId="5">#REF!</definedName>
    <definedName name="_OCT95" localSheetId="6">#REF!</definedName>
    <definedName name="_OCT95" localSheetId="9">#REF!</definedName>
    <definedName name="_OCT95" localSheetId="11">#REF!</definedName>
    <definedName name="_OCT95" localSheetId="12">#REF!</definedName>
    <definedName name="_OCT95" localSheetId="13">#REF!</definedName>
    <definedName name="_OCT95" localSheetId="15">#REF!</definedName>
    <definedName name="_OCT95" localSheetId="4">#REF!</definedName>
    <definedName name="_OCT95">#REF!</definedName>
    <definedName name="_OCT97" localSheetId="14">#REF!</definedName>
    <definedName name="_OCT97" localSheetId="16">#REF!</definedName>
    <definedName name="_OCT97" localSheetId="17">#REF!</definedName>
    <definedName name="_OCT97" localSheetId="7">#REF!</definedName>
    <definedName name="_OCT97" localSheetId="5">#REF!</definedName>
    <definedName name="_OCT97" localSheetId="6">#REF!</definedName>
    <definedName name="_OCT97" localSheetId="9">#REF!</definedName>
    <definedName name="_OCT97" localSheetId="11">#REF!</definedName>
    <definedName name="_OCT97" localSheetId="12">#REF!</definedName>
    <definedName name="_OCT97" localSheetId="13">#REF!</definedName>
    <definedName name="_OCT97" localSheetId="15">#REF!</definedName>
    <definedName name="_OCT97" localSheetId="4">#REF!</definedName>
    <definedName name="_OCT97">#REF!</definedName>
    <definedName name="_Order1" hidden="1">0</definedName>
    <definedName name="_Order2" hidden="1">255</definedName>
    <definedName name="_SEP94" localSheetId="14">#REF!</definedName>
    <definedName name="_SEP94" localSheetId="16">#REF!</definedName>
    <definedName name="_SEP94" localSheetId="17">#REF!</definedName>
    <definedName name="_SEP94" localSheetId="7">#REF!</definedName>
    <definedName name="_SEP94" localSheetId="5">#REF!</definedName>
    <definedName name="_SEP94" localSheetId="6">#REF!</definedName>
    <definedName name="_SEP94" localSheetId="9">#REF!</definedName>
    <definedName name="_SEP94" localSheetId="11">#REF!</definedName>
    <definedName name="_SEP94" localSheetId="12">#REF!</definedName>
    <definedName name="_SEP94" localSheetId="21">#REF!</definedName>
    <definedName name="_SEP94" localSheetId="13">#REF!</definedName>
    <definedName name="_SEP94" localSheetId="15">#REF!</definedName>
    <definedName name="_SEP94" localSheetId="4">#REF!</definedName>
    <definedName name="_SEP94">#REF!</definedName>
    <definedName name="_SEP95" localSheetId="14">#REF!</definedName>
    <definedName name="_SEP95" localSheetId="16">#REF!</definedName>
    <definedName name="_SEP95" localSheetId="17">#REF!</definedName>
    <definedName name="_SEP95" localSheetId="7">#REF!</definedName>
    <definedName name="_SEP95" localSheetId="5">#REF!</definedName>
    <definedName name="_SEP95" localSheetId="6">#REF!</definedName>
    <definedName name="_SEP95" localSheetId="9">#REF!</definedName>
    <definedName name="_SEP95" localSheetId="11">#REF!</definedName>
    <definedName name="_SEP95" localSheetId="12">#REF!</definedName>
    <definedName name="_SEP95" localSheetId="13">#REF!</definedName>
    <definedName name="_SEP95" localSheetId="15">#REF!</definedName>
    <definedName name="_SEP95" localSheetId="4">#REF!</definedName>
    <definedName name="_SEP95">#REF!</definedName>
    <definedName name="_SEP97" localSheetId="14">#REF!</definedName>
    <definedName name="_SEP97" localSheetId="16">#REF!</definedName>
    <definedName name="_SEP97" localSheetId="17">#REF!</definedName>
    <definedName name="_SEP97" localSheetId="7">#REF!</definedName>
    <definedName name="_SEP97" localSheetId="5">#REF!</definedName>
    <definedName name="_SEP97" localSheetId="6">#REF!</definedName>
    <definedName name="_SEP97" localSheetId="9">#REF!</definedName>
    <definedName name="_SEP97" localSheetId="11">#REF!</definedName>
    <definedName name="_SEP97" localSheetId="12">#REF!</definedName>
    <definedName name="_SEP97" localSheetId="13">#REF!</definedName>
    <definedName name="_SEP97" localSheetId="15">#REF!</definedName>
    <definedName name="_SEP97" localSheetId="4">#REF!</definedName>
    <definedName name="_SEP97">#REF!</definedName>
    <definedName name="_Sort" localSheetId="14" hidden="1">#REF!</definedName>
    <definedName name="_Sort" localSheetId="16" hidden="1">#REF!</definedName>
    <definedName name="_Sort" localSheetId="17" hidden="1">#REF!</definedName>
    <definedName name="_Sort" localSheetId="7" hidden="1">#REF!</definedName>
    <definedName name="_Sort" localSheetId="5" hidden="1">#REF!</definedName>
    <definedName name="_Sort" localSheetId="6" hidden="1">#REF!</definedName>
    <definedName name="_Sort" localSheetId="9"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4" hidden="1">#REF!</definedName>
    <definedName name="_Sort" hidden="1">#REF!</definedName>
    <definedName name="BD" localSheetId="14">#REF!</definedName>
    <definedName name="BD" localSheetId="16">#REF!</definedName>
    <definedName name="BD" localSheetId="17">#REF!</definedName>
    <definedName name="BD" localSheetId="7">#REF!</definedName>
    <definedName name="BD" localSheetId="5">#REF!</definedName>
    <definedName name="BD" localSheetId="6">#REF!</definedName>
    <definedName name="BD" localSheetId="9">#REF!</definedName>
    <definedName name="BD" localSheetId="11">#REF!</definedName>
    <definedName name="BD" localSheetId="12">#REF!</definedName>
    <definedName name="BD" localSheetId="13">#REF!</definedName>
    <definedName name="BD" localSheetId="15">#REF!</definedName>
    <definedName name="BD" localSheetId="4">#REF!</definedName>
    <definedName name="BD">#REF!</definedName>
    <definedName name="BDS" localSheetId="14">#REF!</definedName>
    <definedName name="BDS" localSheetId="16">#REF!</definedName>
    <definedName name="BDS" localSheetId="17">#REF!</definedName>
    <definedName name="BDS" localSheetId="7">#REF!</definedName>
    <definedName name="BDS" localSheetId="5">#REF!</definedName>
    <definedName name="BDS" localSheetId="6">#REF!</definedName>
    <definedName name="BDS" localSheetId="9">#REF!</definedName>
    <definedName name="BDS" localSheetId="11">#REF!</definedName>
    <definedName name="BDS" localSheetId="12">#REF!</definedName>
    <definedName name="BDS" localSheetId="13">#REF!</definedName>
    <definedName name="BDS" localSheetId="15">#REF!</definedName>
    <definedName name="BDS" localSheetId="4">#REF!</definedName>
    <definedName name="BDS">#REF!</definedName>
    <definedName name="BRPFT" localSheetId="14">#REF!</definedName>
    <definedName name="BRPFT" localSheetId="16">#REF!</definedName>
    <definedName name="BRPFT" localSheetId="17">#REF!</definedName>
    <definedName name="BRPFT" localSheetId="7">#REF!</definedName>
    <definedName name="BRPFT" localSheetId="5">#REF!</definedName>
    <definedName name="BRPFT" localSheetId="6">#REF!</definedName>
    <definedName name="BRPFT" localSheetId="9">#REF!</definedName>
    <definedName name="BRPFT" localSheetId="11">#REF!</definedName>
    <definedName name="BRPFT" localSheetId="12">#REF!</definedName>
    <definedName name="BRPFT" localSheetId="13">#REF!</definedName>
    <definedName name="BRPFT" localSheetId="15">#REF!</definedName>
    <definedName name="BRPFT" localSheetId="4">#REF!</definedName>
    <definedName name="BRPFT">#REF!</definedName>
    <definedName name="CALGARY" localSheetId="14">#REF!</definedName>
    <definedName name="CALGARY" localSheetId="16">#REF!</definedName>
    <definedName name="CALGARY" localSheetId="17">#REF!</definedName>
    <definedName name="CALGARY" localSheetId="7">#REF!</definedName>
    <definedName name="CALGARY" localSheetId="5">#REF!</definedName>
    <definedName name="CALGARY" localSheetId="6">#REF!</definedName>
    <definedName name="CALGARY" localSheetId="9">#REF!</definedName>
    <definedName name="CALGARY" localSheetId="11">#REF!</definedName>
    <definedName name="CALGARY" localSheetId="12">#REF!</definedName>
    <definedName name="CALGARY" localSheetId="13">#REF!</definedName>
    <definedName name="CALGARY" localSheetId="15">#REF!</definedName>
    <definedName name="CALGARY" localSheetId="4">#REF!</definedName>
    <definedName name="CALGARY">#REF!</definedName>
    <definedName name="cci_end_price_Q206" localSheetId="6">'[1]CCI Stock Prices'!$I$39</definedName>
    <definedName name="cci_end_price_Q206" localSheetId="10">'[1]CCI Stock Prices'!$I$39</definedName>
    <definedName name="cci_end_price_Q206" localSheetId="11">'[1]CCI Stock Prices'!$I$39</definedName>
    <definedName name="cci_end_price_Q206" localSheetId="12">'[1]CCI Stock Prices'!$I$39</definedName>
    <definedName name="cci_end_price_Q206" localSheetId="21">'[1]CCI Stock Prices'!$I$39</definedName>
    <definedName name="cci_end_price_Q206" localSheetId="13">'[1]CCI Stock Prices'!$I$39</definedName>
    <definedName name="cci_end_price_Q206">'[1]CCI Stock Prices'!$I$39</definedName>
    <definedName name="com" localSheetId="14">#REF!</definedName>
    <definedName name="com" localSheetId="16">#REF!</definedName>
    <definedName name="com" localSheetId="17">#REF!</definedName>
    <definedName name="com" localSheetId="7">#REF!</definedName>
    <definedName name="com" localSheetId="5">#REF!</definedName>
    <definedName name="com" localSheetId="6">#REF!</definedName>
    <definedName name="com" localSheetId="9">#REF!</definedName>
    <definedName name="com" localSheetId="11">#REF!</definedName>
    <definedName name="com" localSheetId="12">#REF!</definedName>
    <definedName name="com" localSheetId="21">#REF!</definedName>
    <definedName name="com" localSheetId="13">#REF!</definedName>
    <definedName name="com" localSheetId="15">#REF!</definedName>
    <definedName name="com" localSheetId="4">#REF!</definedName>
    <definedName name="com">#REF!</definedName>
    <definedName name="INCTAX" localSheetId="14">#REF!</definedName>
    <definedName name="INCTAX" localSheetId="16">#REF!</definedName>
    <definedName name="INCTAX" localSheetId="17">#REF!</definedName>
    <definedName name="INCTAX" localSheetId="7">#REF!</definedName>
    <definedName name="INCTAX" localSheetId="5">#REF!</definedName>
    <definedName name="INCTAX" localSheetId="6">#REF!</definedName>
    <definedName name="INCTAX" localSheetId="9">#REF!</definedName>
    <definedName name="INCTAX" localSheetId="11">#REF!</definedName>
    <definedName name="INCTAX" localSheetId="12">#REF!</definedName>
    <definedName name="INCTAX" localSheetId="13">#REF!</definedName>
    <definedName name="INCTAX" localSheetId="15">#REF!</definedName>
    <definedName name="INCTAX" localSheetId="4">#REF!</definedName>
    <definedName name="INCTAX">#REF!</definedName>
    <definedName name="NCF" localSheetId="14">#REF!</definedName>
    <definedName name="NCF" localSheetId="16">#REF!</definedName>
    <definedName name="NCF" localSheetId="17">#REF!</definedName>
    <definedName name="NCF" localSheetId="7">#REF!</definedName>
    <definedName name="NCF" localSheetId="5">#REF!</definedName>
    <definedName name="NCF" localSheetId="6">#REF!</definedName>
    <definedName name="NCF" localSheetId="9">#REF!</definedName>
    <definedName name="NCF" localSheetId="11">#REF!</definedName>
    <definedName name="NCF" localSheetId="12">#REF!</definedName>
    <definedName name="NCF" localSheetId="13">#REF!</definedName>
    <definedName name="NCF" localSheetId="15">#REF!</definedName>
    <definedName name="NCF" localSheetId="4">#REF!</definedName>
    <definedName name="NCF">#REF!</definedName>
    <definedName name="OLE_LINK30" localSheetId="4">'MDA Tables'!$C$223</definedName>
    <definedName name="OLE_LINK40" localSheetId="4">'MDA Tables'!$C$20</definedName>
    <definedName name="p" localSheetId="14">#REF!</definedName>
    <definedName name="p" localSheetId="16">#REF!</definedName>
    <definedName name="p" localSheetId="17">#REF!</definedName>
    <definedName name="p" localSheetId="7">#REF!</definedName>
    <definedName name="p" localSheetId="5">#REF!</definedName>
    <definedName name="p" localSheetId="6">#REF!</definedName>
    <definedName name="p" localSheetId="9">#REF!</definedName>
    <definedName name="p" localSheetId="11">#REF!</definedName>
    <definedName name="p" localSheetId="12">#REF!</definedName>
    <definedName name="p" localSheetId="13">#REF!</definedName>
    <definedName name="p" localSheetId="15">#REF!</definedName>
    <definedName name="p" localSheetId="4">#REF!</definedName>
    <definedName name="p">#REF!</definedName>
    <definedName name="PAGE_" localSheetId="14">#REF!</definedName>
    <definedName name="PAGE_" localSheetId="16">#REF!</definedName>
    <definedName name="PAGE_" localSheetId="17">#REF!</definedName>
    <definedName name="PAGE_" localSheetId="7">#REF!</definedName>
    <definedName name="PAGE_" localSheetId="5">#REF!</definedName>
    <definedName name="PAGE_" localSheetId="6">#REF!</definedName>
    <definedName name="PAGE_" localSheetId="9">#REF!</definedName>
    <definedName name="PAGE_" localSheetId="11">#REF!</definedName>
    <definedName name="PAGE_" localSheetId="12">#REF!</definedName>
    <definedName name="PAGE_" localSheetId="13">#REF!</definedName>
    <definedName name="PAGE_" localSheetId="15">#REF!</definedName>
    <definedName name="PAGE_" localSheetId="4">#REF!</definedName>
    <definedName name="PAGE_">#REF!</definedName>
    <definedName name="PAGE1" localSheetId="14">#REF!</definedName>
    <definedName name="PAGE1" localSheetId="16">#REF!</definedName>
    <definedName name="PAGE1" localSheetId="17">#REF!</definedName>
    <definedName name="PAGE1" localSheetId="7">#REF!</definedName>
    <definedName name="PAGE1" localSheetId="5">#REF!</definedName>
    <definedName name="PAGE1" localSheetId="6">#REF!</definedName>
    <definedName name="PAGE1" localSheetId="9">#REF!</definedName>
    <definedName name="PAGE1" localSheetId="11">#REF!</definedName>
    <definedName name="PAGE1" localSheetId="12">#REF!</definedName>
    <definedName name="PAGE1" localSheetId="13">#REF!</definedName>
    <definedName name="PAGE1" localSheetId="15">#REF!</definedName>
    <definedName name="PAGE1" localSheetId="4">#REF!</definedName>
    <definedName name="PAGE1">#REF!</definedName>
    <definedName name="PAGE2" localSheetId="14">#REF!</definedName>
    <definedName name="PAGE2" localSheetId="16">#REF!</definedName>
    <definedName name="PAGE2" localSheetId="17">#REF!</definedName>
    <definedName name="PAGE2" localSheetId="7">#REF!</definedName>
    <definedName name="PAGE2" localSheetId="5">#REF!</definedName>
    <definedName name="PAGE2" localSheetId="6">#REF!</definedName>
    <definedName name="PAGE2" localSheetId="9">#REF!</definedName>
    <definedName name="PAGE2" localSheetId="11">#REF!</definedName>
    <definedName name="PAGE2" localSheetId="12">#REF!</definedName>
    <definedName name="PAGE2" localSheetId="13">#REF!</definedName>
    <definedName name="PAGE2" localSheetId="15">#REF!</definedName>
    <definedName name="PAGE2" localSheetId="4">#REF!</definedName>
    <definedName name="PAGE2">#REF!</definedName>
    <definedName name="PAGE3" localSheetId="14">#REF!</definedName>
    <definedName name="PAGE3" localSheetId="16">#REF!</definedName>
    <definedName name="PAGE3" localSheetId="17">#REF!</definedName>
    <definedName name="PAGE3" localSheetId="7">#REF!</definedName>
    <definedName name="PAGE3" localSheetId="5">#REF!</definedName>
    <definedName name="PAGE3" localSheetId="6">#REF!</definedName>
    <definedName name="PAGE3" localSheetId="9">#REF!</definedName>
    <definedName name="PAGE3" localSheetId="11">#REF!</definedName>
    <definedName name="PAGE3" localSheetId="12">#REF!</definedName>
    <definedName name="PAGE3" localSheetId="13">#REF!</definedName>
    <definedName name="PAGE3" localSheetId="15">#REF!</definedName>
    <definedName name="PAGE3" localSheetId="4">#REF!</definedName>
    <definedName name="PAGE3">#REF!</definedName>
    <definedName name="PAGE4" localSheetId="14">#REF!</definedName>
    <definedName name="PAGE4" localSheetId="16">#REF!</definedName>
    <definedName name="PAGE4" localSheetId="17">#REF!</definedName>
    <definedName name="PAGE4" localSheetId="7">#REF!</definedName>
    <definedName name="PAGE4" localSheetId="5">#REF!</definedName>
    <definedName name="PAGE4" localSheetId="6">#REF!</definedName>
    <definedName name="PAGE4" localSheetId="9">#REF!</definedName>
    <definedName name="PAGE4" localSheetId="11">#REF!</definedName>
    <definedName name="PAGE4" localSheetId="12">#REF!</definedName>
    <definedName name="PAGE4" localSheetId="13">#REF!</definedName>
    <definedName name="PAGE4" localSheetId="15">#REF!</definedName>
    <definedName name="PAGE4" localSheetId="4">#REF!</definedName>
    <definedName name="PAGE4">#REF!</definedName>
    <definedName name="PAGE6" localSheetId="14">#REF!</definedName>
    <definedName name="PAGE6" localSheetId="16">#REF!</definedName>
    <definedName name="PAGE6" localSheetId="17">#REF!</definedName>
    <definedName name="PAGE6" localSheetId="7">#REF!</definedName>
    <definedName name="PAGE6" localSheetId="5">#REF!</definedName>
    <definedName name="PAGE6" localSheetId="6">#REF!</definedName>
    <definedName name="PAGE6" localSheetId="9">#REF!</definedName>
    <definedName name="PAGE6" localSheetId="11">#REF!</definedName>
    <definedName name="PAGE6" localSheetId="12">#REF!</definedName>
    <definedName name="PAGE6" localSheetId="13">#REF!</definedName>
    <definedName name="PAGE6" localSheetId="15">#REF!</definedName>
    <definedName name="PAGE6" localSheetId="4">#REF!</definedName>
    <definedName name="PAGE6">#REF!</definedName>
    <definedName name="PAGEALPH" localSheetId="14">#REF!</definedName>
    <definedName name="PAGEALPH" localSheetId="16">#REF!</definedName>
    <definedName name="PAGEALPH" localSheetId="17">#REF!</definedName>
    <definedName name="PAGEALPH" localSheetId="7">#REF!</definedName>
    <definedName name="PAGEALPH" localSheetId="5">#REF!</definedName>
    <definedName name="PAGEALPH" localSheetId="6">#REF!</definedName>
    <definedName name="PAGEALPH" localSheetId="9">#REF!</definedName>
    <definedName name="PAGEALPH" localSheetId="11">#REF!</definedName>
    <definedName name="PAGEALPH" localSheetId="12">#REF!</definedName>
    <definedName name="PAGEALPH" localSheetId="13">#REF!</definedName>
    <definedName name="PAGEALPH" localSheetId="15">#REF!</definedName>
    <definedName name="PAGEALPH" localSheetId="4">#REF!</definedName>
    <definedName name="PAGEALPH">#REF!</definedName>
    <definedName name="PFTTSF" localSheetId="14">#REF!</definedName>
    <definedName name="PFTTSF" localSheetId="16">#REF!</definedName>
    <definedName name="PFTTSF" localSheetId="17">#REF!</definedName>
    <definedName name="PFTTSF" localSheetId="7">#REF!</definedName>
    <definedName name="PFTTSF" localSheetId="5">#REF!</definedName>
    <definedName name="PFTTSF" localSheetId="6">#REF!</definedName>
    <definedName name="PFTTSF" localSheetId="9">#REF!</definedName>
    <definedName name="PFTTSF" localSheetId="11">#REF!</definedName>
    <definedName name="PFTTSF" localSheetId="12">#REF!</definedName>
    <definedName name="PFTTSF" localSheetId="13">#REF!</definedName>
    <definedName name="PFTTSF" localSheetId="15">#REF!</definedName>
    <definedName name="PFTTSF" localSheetId="4">#REF!</definedName>
    <definedName name="PFTTSF">#REF!</definedName>
    <definedName name="POOLALL" localSheetId="14">#REF!</definedName>
    <definedName name="POOLALL" localSheetId="16">#REF!</definedName>
    <definedName name="POOLALL" localSheetId="17">#REF!</definedName>
    <definedName name="POOLALL" localSheetId="7">#REF!</definedName>
    <definedName name="POOLALL" localSheetId="5">#REF!</definedName>
    <definedName name="POOLALL" localSheetId="6">#REF!</definedName>
    <definedName name="POOLALL" localSheetId="9">#REF!</definedName>
    <definedName name="POOLALL" localSheetId="11">#REF!</definedName>
    <definedName name="POOLALL" localSheetId="12">#REF!</definedName>
    <definedName name="POOLALL" localSheetId="13">#REF!</definedName>
    <definedName name="POOLALL" localSheetId="15">#REF!</definedName>
    <definedName name="POOLALL" localSheetId="4">#REF!</definedName>
    <definedName name="POOLALL">#REF!</definedName>
    <definedName name="POOLREC" localSheetId="14">#REF!</definedName>
    <definedName name="POOLREC" localSheetId="16">#REF!</definedName>
    <definedName name="POOLREC" localSheetId="17">#REF!</definedName>
    <definedName name="POOLREC" localSheetId="7">#REF!</definedName>
    <definedName name="POOLREC" localSheetId="5">#REF!</definedName>
    <definedName name="POOLREC" localSheetId="6">#REF!</definedName>
    <definedName name="POOLREC" localSheetId="9">#REF!</definedName>
    <definedName name="POOLREC" localSheetId="11">#REF!</definedName>
    <definedName name="POOLREC" localSheetId="12">#REF!</definedName>
    <definedName name="POOLREC" localSheetId="13">#REF!</definedName>
    <definedName name="POOLREC" localSheetId="15">#REF!</definedName>
    <definedName name="POOLREC" localSheetId="4">#REF!</definedName>
    <definedName name="POOLREC">#REF!</definedName>
    <definedName name="_xlnm.Print_Area" localSheetId="0">'1 Cover'!$A$1:$I$37</definedName>
    <definedName name="_xlnm.Print_Area" localSheetId="2">'1 Financial Highlights'!$A$1:$CC$91</definedName>
    <definedName name="_xlnm.Print_Area" localSheetId="14">'10 Wealth Management'!$A$1:$CC$84</definedName>
    <definedName name="_xlnm.Print_Area" localSheetId="16">'11 CWM Canada'!$A$1:$CC$81</definedName>
    <definedName name="_xlnm.Print_Area" localSheetId="17">'12 CWM UK and Europe'!$A$1:$CC$78</definedName>
    <definedName name="_xlnm.Print_Area" localSheetId="18">'13 Other'!$A$1:$CC$62</definedName>
    <definedName name="_xlnm.Print_Area" localSheetId="19">'14 Balance Sheet'!$A$1:$BZ$51</definedName>
    <definedName name="_xlnm.Print_Area" localSheetId="23">'15 Misc Operating Stats'!$A$1:$CC$60</definedName>
    <definedName name="_xlnm.Print_Area" localSheetId="24">'16 Notes'!$B$1:$O$67</definedName>
    <definedName name="_xlnm.Print_Area" localSheetId="3">'2 Consolidated IS'!$A$1:$CD$91</definedName>
    <definedName name="_xlnm.Print_Area" localSheetId="1">'2 Table of Contents'!$A$1:$G$37</definedName>
    <definedName name="_xlnm.Print_Area" localSheetId="7">'3 Business Segments FY18'!$A$2:$Z$74</definedName>
    <definedName name="_xlnm.Print_Area" localSheetId="5">'3 Business Segments FY20'!$A$2:$AB$73</definedName>
    <definedName name="_xlnm.Print_Area" localSheetId="6">'4 Capital Markets North America'!$A$1:$BL$83</definedName>
    <definedName name="_xlnm.Print_Area" localSheetId="9">'5 Canaccord Genuity '!$A$1:$CC$107</definedName>
    <definedName name="_xlnm.Print_Area" localSheetId="10">'6 Capital Markets Canada'!$A$1:$CC$78</definedName>
    <definedName name="_xlnm.Print_Area" localSheetId="20">'7 Canada'!$A$1:$BB$79</definedName>
    <definedName name="_xlnm.Print_Area" localSheetId="11">'7 CG - US'!$A$1:$CC$79</definedName>
    <definedName name="_xlnm.Print_Area" localSheetId="12">'8 UK &amp; Dubai'!$A$1:$CC$78</definedName>
    <definedName name="_xlnm.Print_Area" localSheetId="21">'8 UK and Europe'!$A$1:$BB$77</definedName>
    <definedName name="_xlnm.Print_Area" localSheetId="13">'9 CG - Australia'!$A$1:$AW$77</definedName>
    <definedName name="_xlnm.Print_Area" localSheetId="22">'9 US'!$A$1:$BB$75</definedName>
    <definedName name="_xlnm.Print_Area" localSheetId="15">'CWM BGF'!$A$1:$BB$84</definedName>
    <definedName name="_xlnm.Print_Area" localSheetId="4">'MDA Tables'!$A$2:$L$51</definedName>
    <definedName name="_xlnm.Print_Area" localSheetId="25">NHI!$A$1:$K$51</definedName>
    <definedName name="test" localSheetId="14">#REF!</definedName>
    <definedName name="test" localSheetId="16">#REF!</definedName>
    <definedName name="test" localSheetId="17">#REF!</definedName>
    <definedName name="test" localSheetId="7">#REF!</definedName>
    <definedName name="test" localSheetId="5">#REF!</definedName>
    <definedName name="test" localSheetId="6">#REF!</definedName>
    <definedName name="test" localSheetId="9">#REF!</definedName>
    <definedName name="test" localSheetId="11">#REF!</definedName>
    <definedName name="test" localSheetId="12">#REF!</definedName>
    <definedName name="test" localSheetId="21">#REF!</definedName>
    <definedName name="test" localSheetId="13">#REF!</definedName>
    <definedName name="test" localSheetId="15">#REF!</definedName>
    <definedName name="test" localSheetId="4">#REF!</definedName>
    <definedName name="test">#REF!</definedName>
    <definedName name="test1" localSheetId="14">#REF!</definedName>
    <definedName name="test1" localSheetId="16">#REF!</definedName>
    <definedName name="test1" localSheetId="17">#REF!</definedName>
    <definedName name="test1" localSheetId="7">#REF!</definedName>
    <definedName name="test1" localSheetId="5">#REF!</definedName>
    <definedName name="test1" localSheetId="6">#REF!</definedName>
    <definedName name="test1" localSheetId="9">#REF!</definedName>
    <definedName name="test1" localSheetId="11">#REF!</definedName>
    <definedName name="test1" localSheetId="12">#REF!</definedName>
    <definedName name="test1" localSheetId="13">#REF!</definedName>
    <definedName name="test1" localSheetId="15">#REF!</definedName>
    <definedName name="test1" localSheetId="4">#REF!</definedName>
    <definedName name="test1">#REF!</definedName>
    <definedName name="tina" localSheetId="14">#REF!</definedName>
    <definedName name="tina" localSheetId="16">#REF!</definedName>
    <definedName name="tina" localSheetId="17">#REF!</definedName>
    <definedName name="tina" localSheetId="7">#REF!</definedName>
    <definedName name="tina" localSheetId="5">#REF!</definedName>
    <definedName name="tina" localSheetId="6">#REF!</definedName>
    <definedName name="tina" localSheetId="9">#REF!</definedName>
    <definedName name="tina" localSheetId="11">#REF!</definedName>
    <definedName name="tina" localSheetId="12">#REF!</definedName>
    <definedName name="tina" localSheetId="13">#REF!</definedName>
    <definedName name="tina" localSheetId="15">#REF!</definedName>
    <definedName name="tina" localSheetId="4">#REF!</definedName>
    <definedName name="tina">#REF!</definedName>
    <definedName name="TOP_" localSheetId="14">#REF!</definedName>
    <definedName name="TOP_" localSheetId="16">#REF!</definedName>
    <definedName name="TOP_" localSheetId="17">#REF!</definedName>
    <definedName name="TOP_" localSheetId="7">#REF!</definedName>
    <definedName name="TOP_" localSheetId="5">#REF!</definedName>
    <definedName name="TOP_" localSheetId="6">#REF!</definedName>
    <definedName name="TOP_" localSheetId="9">#REF!</definedName>
    <definedName name="TOP_" localSheetId="11">#REF!</definedName>
    <definedName name="TOP_" localSheetId="12">#REF!</definedName>
    <definedName name="TOP_" localSheetId="13">#REF!</definedName>
    <definedName name="TOP_" localSheetId="15">#REF!</definedName>
    <definedName name="TOP_" localSheetId="4">#REF!</definedName>
    <definedName name="TOP_">#REF!</definedName>
    <definedName name="TOPALPH" localSheetId="14">#REF!</definedName>
    <definedName name="TOPALPH" localSheetId="16">#REF!</definedName>
    <definedName name="TOPALPH" localSheetId="17">#REF!</definedName>
    <definedName name="TOPALPH" localSheetId="7">#REF!</definedName>
    <definedName name="TOPALPH" localSheetId="5">#REF!</definedName>
    <definedName name="TOPALPH" localSheetId="6">#REF!</definedName>
    <definedName name="TOPALPH" localSheetId="9">#REF!</definedName>
    <definedName name="TOPALPH" localSheetId="11">#REF!</definedName>
    <definedName name="TOPALPH" localSheetId="12">#REF!</definedName>
    <definedName name="TOPALPH" localSheetId="13">#REF!</definedName>
    <definedName name="TOPALPH" localSheetId="15">#REF!</definedName>
    <definedName name="TOPALPH" localSheetId="4">#REF!</definedName>
    <definedName name="TOPALPH">#REF!</definedName>
    <definedName name="TORONTO" localSheetId="14">#REF!</definedName>
    <definedName name="TORONTO" localSheetId="16">#REF!</definedName>
    <definedName name="TORONTO" localSheetId="17">#REF!</definedName>
    <definedName name="TORONTO" localSheetId="7">#REF!</definedName>
    <definedName name="TORONTO" localSheetId="5">#REF!</definedName>
    <definedName name="TORONTO" localSheetId="6">#REF!</definedName>
    <definedName name="TORONTO" localSheetId="9">#REF!</definedName>
    <definedName name="TORONTO" localSheetId="11">#REF!</definedName>
    <definedName name="TORONTO" localSheetId="12">#REF!</definedName>
    <definedName name="TORONTO" localSheetId="13">#REF!</definedName>
    <definedName name="TORONTO" localSheetId="15">#REF!</definedName>
    <definedName name="TORONTO" localSheetId="4">#REF!</definedName>
    <definedName name="TORONTO">#REF!</definedName>
    <definedName name="TORPFT" localSheetId="14">#REF!</definedName>
    <definedName name="TORPFT" localSheetId="16">#REF!</definedName>
    <definedName name="TORPFT" localSheetId="17">#REF!</definedName>
    <definedName name="TORPFT" localSheetId="7">#REF!</definedName>
    <definedName name="TORPFT" localSheetId="5">#REF!</definedName>
    <definedName name="TORPFT" localSheetId="6">#REF!</definedName>
    <definedName name="TORPFT" localSheetId="9">#REF!</definedName>
    <definedName name="TORPFT" localSheetId="11">#REF!</definedName>
    <definedName name="TORPFT" localSheetId="12">#REF!</definedName>
    <definedName name="TORPFT" localSheetId="13">#REF!</definedName>
    <definedName name="TORPFT" localSheetId="15">#REF!</definedName>
    <definedName name="TORPFT" localSheetId="4">#REF!</definedName>
    <definedName name="TORPFT">#REF!</definedName>
    <definedName name="VANPFT" localSheetId="14">#REF!</definedName>
    <definedName name="VANPFT" localSheetId="16">#REF!</definedName>
    <definedName name="VANPFT" localSheetId="17">#REF!</definedName>
    <definedName name="VANPFT" localSheetId="7">#REF!</definedName>
    <definedName name="VANPFT" localSheetId="5">#REF!</definedName>
    <definedName name="VANPFT" localSheetId="6">#REF!</definedName>
    <definedName name="VANPFT" localSheetId="9">#REF!</definedName>
    <definedName name="VANPFT" localSheetId="11">#REF!</definedName>
    <definedName name="VANPFT" localSheetId="12">#REF!</definedName>
    <definedName name="VANPFT" localSheetId="13">#REF!</definedName>
    <definedName name="VANPFT" localSheetId="15">#REF!</definedName>
    <definedName name="VANPFT" localSheetId="4">#REF!</definedName>
    <definedName name="VANPF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4" i="47" l="1"/>
  <c r="M43" i="50" l="1"/>
  <c r="M39" i="50"/>
  <c r="M28" i="50"/>
  <c r="M29" i="50"/>
  <c r="M30" i="50"/>
  <c r="M31" i="50"/>
  <c r="M32" i="50"/>
  <c r="M33" i="50"/>
  <c r="M34" i="50"/>
  <c r="M35" i="50"/>
  <c r="M36" i="50"/>
  <c r="M37" i="50"/>
  <c r="M38" i="50"/>
  <c r="N38" i="50" s="1"/>
  <c r="M27" i="50"/>
  <c r="W16" i="50"/>
  <c r="K61" i="50"/>
  <c r="K37" i="50"/>
  <c r="K43" i="50"/>
  <c r="K28" i="50"/>
  <c r="K29" i="50"/>
  <c r="K30" i="50"/>
  <c r="L30" i="50" s="1"/>
  <c r="K31" i="50"/>
  <c r="K32" i="50"/>
  <c r="K33" i="50"/>
  <c r="K34" i="50"/>
  <c r="K35" i="50"/>
  <c r="K36" i="50"/>
  <c r="K27" i="50"/>
  <c r="K25" i="50"/>
  <c r="K24" i="50"/>
  <c r="K17" i="50"/>
  <c r="K18" i="50"/>
  <c r="K19" i="50"/>
  <c r="K20" i="50"/>
  <c r="K21" i="50"/>
  <c r="L21" i="50" s="1"/>
  <c r="K16" i="50"/>
  <c r="J43" i="50"/>
  <c r="J28" i="50"/>
  <c r="J29" i="50"/>
  <c r="J30" i="50"/>
  <c r="J31" i="50"/>
  <c r="J32" i="50"/>
  <c r="J33" i="50"/>
  <c r="J34" i="50"/>
  <c r="J35" i="50"/>
  <c r="J36" i="50"/>
  <c r="J37" i="50"/>
  <c r="J27" i="50"/>
  <c r="L27" i="50" s="1"/>
  <c r="J19" i="50"/>
  <c r="J20" i="50"/>
  <c r="J21" i="50"/>
  <c r="J16" i="50"/>
  <c r="H43" i="50"/>
  <c r="H28" i="50"/>
  <c r="H29" i="50"/>
  <c r="H30" i="50"/>
  <c r="H31" i="50"/>
  <c r="H32" i="50"/>
  <c r="H33" i="50"/>
  <c r="H34" i="50"/>
  <c r="H35" i="50"/>
  <c r="H36" i="50"/>
  <c r="H27" i="50"/>
  <c r="H25" i="50"/>
  <c r="H24" i="50"/>
  <c r="H17" i="50"/>
  <c r="H18" i="50"/>
  <c r="H19" i="50"/>
  <c r="H20" i="50"/>
  <c r="H21" i="50"/>
  <c r="H16" i="50"/>
  <c r="S29" i="50"/>
  <c r="G43" i="50"/>
  <c r="G28" i="50"/>
  <c r="G29" i="50"/>
  <c r="G30" i="50"/>
  <c r="G31" i="50"/>
  <c r="G32" i="50"/>
  <c r="G33" i="50"/>
  <c r="G34" i="50"/>
  <c r="G35" i="50"/>
  <c r="G36" i="50"/>
  <c r="G37" i="50"/>
  <c r="G27" i="50"/>
  <c r="G17" i="50"/>
  <c r="G18" i="50"/>
  <c r="G19" i="50"/>
  <c r="G20" i="50"/>
  <c r="G21" i="50"/>
  <c r="G16" i="50"/>
  <c r="R36" i="50"/>
  <c r="R25" i="50"/>
  <c r="F43" i="50"/>
  <c r="F28" i="50"/>
  <c r="F29" i="50"/>
  <c r="F30" i="50"/>
  <c r="F31" i="50"/>
  <c r="F32" i="50"/>
  <c r="F33" i="50"/>
  <c r="F34" i="50"/>
  <c r="F35" i="50"/>
  <c r="F36" i="50"/>
  <c r="F37" i="50"/>
  <c r="F27" i="50"/>
  <c r="F25" i="50"/>
  <c r="F24" i="50"/>
  <c r="F17" i="50"/>
  <c r="F18" i="50"/>
  <c r="F19" i="50"/>
  <c r="F20" i="50"/>
  <c r="F21" i="50"/>
  <c r="F16" i="50"/>
  <c r="Q18" i="50"/>
  <c r="E43" i="50"/>
  <c r="E28" i="50"/>
  <c r="E29" i="50"/>
  <c r="E30" i="50"/>
  <c r="E31" i="50"/>
  <c r="E32" i="50"/>
  <c r="E33" i="50"/>
  <c r="E34" i="50"/>
  <c r="E35" i="50"/>
  <c r="E37" i="50"/>
  <c r="E27" i="50"/>
  <c r="E17" i="50"/>
  <c r="E18" i="50"/>
  <c r="E19" i="50"/>
  <c r="E20" i="50"/>
  <c r="E21" i="50"/>
  <c r="E16" i="50"/>
  <c r="D37" i="50"/>
  <c r="D43" i="50"/>
  <c r="D28" i="50"/>
  <c r="D29" i="50"/>
  <c r="D30" i="50"/>
  <c r="D31" i="50"/>
  <c r="D32" i="50"/>
  <c r="D33" i="50"/>
  <c r="D34" i="50"/>
  <c r="D35" i="50"/>
  <c r="D36" i="50"/>
  <c r="D27" i="50"/>
  <c r="D18" i="50"/>
  <c r="D19" i="50"/>
  <c r="D20" i="50"/>
  <c r="D21" i="50"/>
  <c r="D16" i="50"/>
  <c r="Y43" i="50"/>
  <c r="Y39" i="50"/>
  <c r="Y38" i="50"/>
  <c r="Y37" i="50"/>
  <c r="Y36" i="50"/>
  <c r="Y35" i="50"/>
  <c r="Y34" i="50"/>
  <c r="Y33" i="50"/>
  <c r="Y32" i="50"/>
  <c r="Y31" i="50"/>
  <c r="Y30" i="50"/>
  <c r="Y29" i="50"/>
  <c r="Y28" i="50"/>
  <c r="Y27" i="50"/>
  <c r="W17" i="50"/>
  <c r="W18" i="50"/>
  <c r="W19" i="50"/>
  <c r="W20" i="50"/>
  <c r="W43" i="50"/>
  <c r="W37" i="50"/>
  <c r="W35" i="50"/>
  <c r="W34" i="50"/>
  <c r="W32" i="50"/>
  <c r="W31" i="50"/>
  <c r="W30" i="50"/>
  <c r="W29" i="50"/>
  <c r="W28" i="50"/>
  <c r="W27" i="50"/>
  <c r="W25" i="50"/>
  <c r="W24" i="50"/>
  <c r="V21" i="50"/>
  <c r="V20" i="50"/>
  <c r="V19" i="50"/>
  <c r="V43" i="50"/>
  <c r="V36" i="50"/>
  <c r="V35" i="50"/>
  <c r="V34" i="50"/>
  <c r="V33" i="50"/>
  <c r="V32" i="50"/>
  <c r="V31" i="50"/>
  <c r="V30" i="50"/>
  <c r="V29" i="50"/>
  <c r="V28" i="50"/>
  <c r="V27" i="50"/>
  <c r="T17" i="50"/>
  <c r="T18" i="50"/>
  <c r="T19" i="50"/>
  <c r="T20" i="50"/>
  <c r="T21" i="50"/>
  <c r="T36" i="50"/>
  <c r="T35" i="50"/>
  <c r="T34" i="50"/>
  <c r="T33" i="50"/>
  <c r="T32" i="50"/>
  <c r="T31" i="50"/>
  <c r="T30" i="50"/>
  <c r="T29" i="50"/>
  <c r="T28" i="50"/>
  <c r="T27" i="50"/>
  <c r="T24" i="50"/>
  <c r="S21" i="50"/>
  <c r="S20" i="50"/>
  <c r="S19" i="50"/>
  <c r="S18" i="50"/>
  <c r="S17" i="50"/>
  <c r="S16" i="50"/>
  <c r="S43" i="50"/>
  <c r="S28" i="50"/>
  <c r="S30" i="50"/>
  <c r="S31" i="50"/>
  <c r="S32" i="50"/>
  <c r="S33" i="50"/>
  <c r="S35" i="50"/>
  <c r="S36" i="50"/>
  <c r="S37" i="50"/>
  <c r="S27" i="50"/>
  <c r="R17" i="50"/>
  <c r="R18" i="50"/>
  <c r="R20" i="50"/>
  <c r="R21" i="50"/>
  <c r="R16" i="50"/>
  <c r="R43" i="50"/>
  <c r="R37" i="50"/>
  <c r="R35" i="50"/>
  <c r="R34" i="50"/>
  <c r="R32" i="50"/>
  <c r="R31" i="50"/>
  <c r="R30" i="50"/>
  <c r="R29" i="50"/>
  <c r="R28" i="50"/>
  <c r="Q17" i="50"/>
  <c r="Q19" i="50"/>
  <c r="Q20" i="50"/>
  <c r="Q21" i="50"/>
  <c r="Q16" i="50"/>
  <c r="Q43" i="50"/>
  <c r="Q37" i="50"/>
  <c r="Q35" i="50"/>
  <c r="Q34" i="50"/>
  <c r="Q33" i="50"/>
  <c r="Q32" i="50"/>
  <c r="Q31" i="50"/>
  <c r="Q30" i="50"/>
  <c r="Q29" i="50"/>
  <c r="Q28" i="50"/>
  <c r="Q27" i="50"/>
  <c r="P18" i="50"/>
  <c r="P19" i="50"/>
  <c r="P20" i="50"/>
  <c r="P21" i="50"/>
  <c r="P43" i="50"/>
  <c r="P37" i="50"/>
  <c r="P28" i="50"/>
  <c r="P29" i="50"/>
  <c r="P30" i="50"/>
  <c r="P31" i="50"/>
  <c r="P32" i="50"/>
  <c r="P34" i="50"/>
  <c r="P35" i="50"/>
  <c r="P36" i="50"/>
  <c r="P27" i="50"/>
  <c r="I23" i="47"/>
  <c r="H35" i="47"/>
  <c r="T43" i="50"/>
  <c r="X39" i="50"/>
  <c r="U39" i="50"/>
  <c r="Z39" i="50" s="1"/>
  <c r="N39" i="50"/>
  <c r="L39" i="50"/>
  <c r="I39" i="50"/>
  <c r="X38" i="50"/>
  <c r="U38" i="50"/>
  <c r="L38" i="50"/>
  <c r="J50" i="47"/>
  <c r="J48" i="47"/>
  <c r="J44" i="47"/>
  <c r="J45" i="47"/>
  <c r="J46" i="47"/>
  <c r="J43" i="47"/>
  <c r="J31" i="47"/>
  <c r="J30" i="47"/>
  <c r="J28" i="47"/>
  <c r="J26" i="47"/>
  <c r="J22" i="47"/>
  <c r="J21" i="47"/>
  <c r="J20" i="47"/>
  <c r="J19" i="47"/>
  <c r="J18" i="47"/>
  <c r="J11" i="47"/>
  <c r="J12" i="47"/>
  <c r="J13" i="47"/>
  <c r="J14" i="47"/>
  <c r="J15" i="47"/>
  <c r="J10" i="47"/>
  <c r="F26" i="47"/>
  <c r="H41" i="47"/>
  <c r="P41" i="47" s="1"/>
  <c r="H32" i="47"/>
  <c r="S64" i="47"/>
  <c r="S67" i="47"/>
  <c r="S68" i="47" s="1"/>
  <c r="V37" i="50"/>
  <c r="K229" i="47"/>
  <c r="K239" i="47"/>
  <c r="K240" i="47"/>
  <c r="K241" i="47"/>
  <c r="J229" i="47"/>
  <c r="J240" i="47"/>
  <c r="J241" i="47"/>
  <c r="K202" i="47"/>
  <c r="K211" i="47"/>
  <c r="K212" i="47"/>
  <c r="K213" i="47"/>
  <c r="K214" i="47"/>
  <c r="K215" i="47"/>
  <c r="K216" i="47"/>
  <c r="J202" i="47"/>
  <c r="J211" i="47"/>
  <c r="J215" i="47"/>
  <c r="J216" i="47"/>
  <c r="K176" i="47"/>
  <c r="K183" i="47"/>
  <c r="K184" i="47"/>
  <c r="K185" i="47"/>
  <c r="K186" i="47"/>
  <c r="K187" i="47"/>
  <c r="K188" i="47"/>
  <c r="K189" i="47"/>
  <c r="K190" i="47"/>
  <c r="J176" i="47"/>
  <c r="J183" i="47"/>
  <c r="J186" i="47"/>
  <c r="J189" i="47"/>
  <c r="J190" i="47"/>
  <c r="H164" i="47"/>
  <c r="G164" i="47"/>
  <c r="L305" i="47"/>
  <c r="L271" i="47"/>
  <c r="K274" i="47"/>
  <c r="K272" i="47"/>
  <c r="L272" i="47" s="1"/>
  <c r="K269" i="47"/>
  <c r="K268" i="47"/>
  <c r="K267" i="47"/>
  <c r="K266" i="47"/>
  <c r="D82" i="47"/>
  <c r="T259" i="47"/>
  <c r="E234" i="47"/>
  <c r="I24" i="47"/>
  <c r="E24" i="47"/>
  <c r="F24" i="47"/>
  <c r="D23" i="47"/>
  <c r="H85" i="47"/>
  <c r="G85" i="47"/>
  <c r="E57" i="47"/>
  <c r="D57" i="47"/>
  <c r="I34" i="47"/>
  <c r="I51" i="47"/>
  <c r="H51" i="47"/>
  <c r="G86" i="47" s="1"/>
  <c r="F35" i="47"/>
  <c r="E35" i="47"/>
  <c r="D35" i="47"/>
  <c r="F34" i="47"/>
  <c r="G314" i="47"/>
  <c r="D286" i="47"/>
  <c r="U266" i="47"/>
  <c r="W263" i="47"/>
  <c r="W261" i="47" s="1"/>
  <c r="W262" i="47"/>
  <c r="W259" i="47"/>
  <c r="E233" i="47"/>
  <c r="E77" i="47" s="1"/>
  <c r="E231" i="47"/>
  <c r="E209" i="47"/>
  <c r="E218" i="47" s="1"/>
  <c r="E207" i="47"/>
  <c r="E72" i="47" s="1"/>
  <c r="E206" i="47"/>
  <c r="E71" i="47" s="1"/>
  <c r="E181" i="47"/>
  <c r="E178" i="47"/>
  <c r="D164" i="47"/>
  <c r="E164" i="47"/>
  <c r="E85" i="47"/>
  <c r="D85" i="47"/>
  <c r="F51" i="47"/>
  <c r="E51" i="47"/>
  <c r="E86" i="47" s="1"/>
  <c r="D51" i="47"/>
  <c r="D86" i="47" s="1"/>
  <c r="F25" i="47"/>
  <c r="F23" i="47"/>
  <c r="E23" i="47"/>
  <c r="F22" i="47"/>
  <c r="F21" i="47"/>
  <c r="F19" i="47"/>
  <c r="F15" i="47"/>
  <c r="F14" i="47"/>
  <c r="F13" i="47"/>
  <c r="F12" i="47"/>
  <c r="F11" i="47"/>
  <c r="F10" i="47"/>
  <c r="I35" i="47"/>
  <c r="I32" i="47"/>
  <c r="K303" i="47"/>
  <c r="H234" i="47"/>
  <c r="H233" i="47"/>
  <c r="H77" i="47" s="1"/>
  <c r="K301" i="47"/>
  <c r="K300" i="47"/>
  <c r="H231" i="47"/>
  <c r="H209" i="47"/>
  <c r="H218" i="47" s="1"/>
  <c r="H207" i="47"/>
  <c r="H72" i="47" s="1"/>
  <c r="H206" i="47"/>
  <c r="H71" i="47" s="1"/>
  <c r="H235" i="47"/>
  <c r="K306" i="47"/>
  <c r="L306" i="47" s="1"/>
  <c r="K308" i="47"/>
  <c r="H237" i="47"/>
  <c r="H181" i="47"/>
  <c r="H192" i="47" s="1"/>
  <c r="H178" i="47"/>
  <c r="H23" i="47"/>
  <c r="T9" i="47"/>
  <c r="H40" i="47"/>
  <c r="P40" i="47" s="1"/>
  <c r="E187" i="47"/>
  <c r="D185" i="47"/>
  <c r="D212" i="47"/>
  <c r="D184" i="47"/>
  <c r="D187" i="47"/>
  <c r="D213" i="47"/>
  <c r="D188" i="47"/>
  <c r="D239" i="47"/>
  <c r="D228" i="47"/>
  <c r="D41" i="47"/>
  <c r="E24" i="50"/>
  <c r="P17" i="50"/>
  <c r="J17" i="50"/>
  <c r="J18" i="50"/>
  <c r="E109" i="26"/>
  <c r="E110" i="26"/>
  <c r="E112" i="26" s="1"/>
  <c r="D109" i="26"/>
  <c r="C109" i="26"/>
  <c r="C117" i="26"/>
  <c r="B109" i="26"/>
  <c r="B117" i="26"/>
  <c r="E94" i="26"/>
  <c r="E102" i="26" s="1"/>
  <c r="D94" i="26"/>
  <c r="C94" i="26"/>
  <c r="C95" i="26"/>
  <c r="C97" i="26"/>
  <c r="L21" i="33" s="1"/>
  <c r="L20" i="33" s="1"/>
  <c r="B94" i="26"/>
  <c r="B102" i="26"/>
  <c r="E92" i="26"/>
  <c r="K81" i="26"/>
  <c r="E82" i="26"/>
  <c r="K78" i="26"/>
  <c r="D82" i="26"/>
  <c r="D78" i="26"/>
  <c r="C78" i="26"/>
  <c r="B78" i="26"/>
  <c r="E77" i="26"/>
  <c r="E76" i="26"/>
  <c r="K75" i="26"/>
  <c r="C82" i="26"/>
  <c r="E75" i="26"/>
  <c r="E74" i="26"/>
  <c r="E73" i="26"/>
  <c r="K72" i="26"/>
  <c r="B82" i="26"/>
  <c r="K64" i="26"/>
  <c r="E63" i="26"/>
  <c r="K61" i="26"/>
  <c r="D63" i="26" s="1"/>
  <c r="E61" i="26"/>
  <c r="D61" i="26"/>
  <c r="B61" i="26"/>
  <c r="K58" i="26"/>
  <c r="C63" i="26"/>
  <c r="C57" i="26"/>
  <c r="C61" i="26" s="1"/>
  <c r="C64" i="26" s="1"/>
  <c r="C66" i="26" s="1"/>
  <c r="B68" i="26" s="1"/>
  <c r="K55" i="26"/>
  <c r="B63" i="26" s="1"/>
  <c r="K47" i="26"/>
  <c r="K44" i="26"/>
  <c r="E44" i="26"/>
  <c r="E47" i="26" s="1"/>
  <c r="E49" i="26" s="1"/>
  <c r="D44" i="26"/>
  <c r="D47" i="26" s="1"/>
  <c r="D49" i="26" s="1"/>
  <c r="C44" i="26"/>
  <c r="C47" i="26" s="1"/>
  <c r="C49" i="26" s="1"/>
  <c r="B44" i="26"/>
  <c r="B47" i="26"/>
  <c r="B49" i="26"/>
  <c r="K41" i="26"/>
  <c r="K38" i="26"/>
  <c r="K30" i="26"/>
  <c r="E29" i="26"/>
  <c r="K27" i="26"/>
  <c r="E27" i="26"/>
  <c r="D27" i="26"/>
  <c r="D30" i="26" s="1"/>
  <c r="D32" i="26" s="1"/>
  <c r="C27" i="26"/>
  <c r="C30" i="26"/>
  <c r="C32" i="26"/>
  <c r="B27" i="26"/>
  <c r="B30" i="26" s="1"/>
  <c r="B32" i="26" s="1"/>
  <c r="K24" i="26"/>
  <c r="K21" i="26"/>
  <c r="E11" i="26"/>
  <c r="E14" i="26"/>
  <c r="E16" i="26" s="1"/>
  <c r="D11" i="26"/>
  <c r="D14" i="26" s="1"/>
  <c r="D16" i="26" s="1"/>
  <c r="B11" i="26"/>
  <c r="B14" i="26" s="1"/>
  <c r="B16" i="26" s="1"/>
  <c r="C10" i="26"/>
  <c r="C9" i="26"/>
  <c r="C8" i="26"/>
  <c r="C6" i="26"/>
  <c r="Q245" i="47"/>
  <c r="P245" i="47"/>
  <c r="Q241" i="47"/>
  <c r="P241" i="47"/>
  <c r="Q240" i="47"/>
  <c r="P240" i="47"/>
  <c r="Q239" i="47"/>
  <c r="Q229" i="47"/>
  <c r="P229" i="47"/>
  <c r="Q189" i="47"/>
  <c r="P189" i="47"/>
  <c r="Q188" i="47"/>
  <c r="Q187" i="47"/>
  <c r="Q186" i="47"/>
  <c r="P186" i="47"/>
  <c r="Q185" i="47"/>
  <c r="Q184" i="47"/>
  <c r="Q183" i="47"/>
  <c r="P183" i="47"/>
  <c r="Q176" i="47"/>
  <c r="P176" i="47"/>
  <c r="Q137" i="47"/>
  <c r="P137" i="47"/>
  <c r="Q136" i="47"/>
  <c r="Q127" i="47"/>
  <c r="P127" i="47"/>
  <c r="E110" i="47"/>
  <c r="D110" i="47"/>
  <c r="H95" i="47"/>
  <c r="G95" i="47"/>
  <c r="Q74" i="47"/>
  <c r="P74" i="47"/>
  <c r="K74" i="47"/>
  <c r="Q69" i="47"/>
  <c r="P69" i="47"/>
  <c r="K69" i="47"/>
  <c r="I65" i="47"/>
  <c r="F65" i="47"/>
  <c r="P65" i="47" s="1"/>
  <c r="G56" i="47"/>
  <c r="D56" i="47"/>
  <c r="D93" i="47" s="1"/>
  <c r="D109" i="47" s="1"/>
  <c r="D124" i="47" s="1"/>
  <c r="D145" i="47" s="1"/>
  <c r="D158" i="47" s="1"/>
  <c r="D173" i="47" s="1"/>
  <c r="D199" i="47" s="1"/>
  <c r="D226" i="47" s="1"/>
  <c r="O47" i="47"/>
  <c r="M47" i="47"/>
  <c r="P42" i="47"/>
  <c r="O42" i="47"/>
  <c r="P29" i="47"/>
  <c r="O29" i="47"/>
  <c r="P17" i="47"/>
  <c r="O17" i="47"/>
  <c r="U9" i="47"/>
  <c r="U8" i="47"/>
  <c r="AT72" i="15"/>
  <c r="AS72" i="15"/>
  <c r="AR72" i="15"/>
  <c r="AN72" i="15"/>
  <c r="AM72" i="15"/>
  <c r="C72" i="15"/>
  <c r="D72" i="15"/>
  <c r="Q70" i="15"/>
  <c r="P70" i="15"/>
  <c r="O70" i="15"/>
  <c r="N70" i="15"/>
  <c r="M70" i="15"/>
  <c r="L70" i="15"/>
  <c r="K70" i="15"/>
  <c r="J70" i="15"/>
  <c r="I70" i="15"/>
  <c r="H70" i="15"/>
  <c r="G70" i="15"/>
  <c r="F70" i="15"/>
  <c r="AS69" i="15"/>
  <c r="AR69" i="15"/>
  <c r="AN69" i="15"/>
  <c r="AM69" i="15"/>
  <c r="C69" i="15"/>
  <c r="D69" i="15" s="1"/>
  <c r="AY68" i="15"/>
  <c r="AS68" i="15"/>
  <c r="AR68" i="15"/>
  <c r="AN68" i="15"/>
  <c r="AM68" i="15"/>
  <c r="C68" i="15"/>
  <c r="D68" i="15" s="1"/>
  <c r="AS67" i="15"/>
  <c r="AR67" i="15"/>
  <c r="AN67" i="15"/>
  <c r="AM67" i="15"/>
  <c r="C67" i="15"/>
  <c r="D67" i="15" s="1"/>
  <c r="AS66" i="15"/>
  <c r="AR66" i="15"/>
  <c r="AN66" i="15"/>
  <c r="AM66" i="15"/>
  <c r="C66" i="15"/>
  <c r="D66" i="15" s="1"/>
  <c r="AY65" i="15"/>
  <c r="AY70" i="15"/>
  <c r="AS65" i="15"/>
  <c r="AR65" i="15"/>
  <c r="AN65" i="15"/>
  <c r="AM65" i="15"/>
  <c r="C65" i="15"/>
  <c r="D65" i="15"/>
  <c r="AS64" i="15"/>
  <c r="AO64" i="15" s="1"/>
  <c r="AP64" i="15" s="1"/>
  <c r="AR64" i="15"/>
  <c r="AN64" i="15"/>
  <c r="AM64" i="15"/>
  <c r="C64" i="15"/>
  <c r="D64" i="15"/>
  <c r="BA58" i="15"/>
  <c r="AZ58" i="15"/>
  <c r="AY58" i="15"/>
  <c r="BA57" i="15"/>
  <c r="AZ57" i="15"/>
  <c r="Q51" i="15"/>
  <c r="P51" i="15"/>
  <c r="O51" i="15"/>
  <c r="AN51" i="15"/>
  <c r="N51" i="15"/>
  <c r="AS51" i="15" s="1"/>
  <c r="M51" i="15"/>
  <c r="L51" i="15"/>
  <c r="K51" i="15"/>
  <c r="AM51" i="15" s="1"/>
  <c r="J51" i="15"/>
  <c r="AR51" i="15" s="1"/>
  <c r="I51" i="15"/>
  <c r="AO50" i="15"/>
  <c r="AW44" i="15"/>
  <c r="AV44" i="15"/>
  <c r="AU44" i="15"/>
  <c r="AT44" i="15"/>
  <c r="AW43" i="15"/>
  <c r="AV43" i="15"/>
  <c r="AU43" i="15"/>
  <c r="AT43" i="15"/>
  <c r="AV41" i="15"/>
  <c r="AU41" i="15"/>
  <c r="C38" i="15"/>
  <c r="AZ35" i="15"/>
  <c r="AZ41" i="15"/>
  <c r="U34" i="15"/>
  <c r="T34" i="15"/>
  <c r="S34" i="15"/>
  <c r="R34" i="15"/>
  <c r="Q34" i="15"/>
  <c r="Q58" i="15" s="1"/>
  <c r="P34" i="15"/>
  <c r="N34" i="15"/>
  <c r="M34" i="15"/>
  <c r="L34" i="15"/>
  <c r="AS33" i="15"/>
  <c r="AR33" i="15"/>
  <c r="AN33" i="15"/>
  <c r="AM33" i="15"/>
  <c r="C33" i="15"/>
  <c r="AS32" i="15"/>
  <c r="AR32" i="15"/>
  <c r="AN32" i="15"/>
  <c r="AM32" i="15"/>
  <c r="C32" i="15"/>
  <c r="AS31" i="15"/>
  <c r="AR31" i="15"/>
  <c r="AN31" i="15"/>
  <c r="AM31" i="15"/>
  <c r="C31" i="15"/>
  <c r="AT30" i="15"/>
  <c r="AS30" i="15"/>
  <c r="AR30" i="15"/>
  <c r="AN30" i="15"/>
  <c r="AM30" i="15"/>
  <c r="C30" i="15"/>
  <c r="D30" i="15" s="1"/>
  <c r="AT29" i="15"/>
  <c r="AS29" i="15"/>
  <c r="AR29" i="15"/>
  <c r="AN29" i="15"/>
  <c r="AM29" i="15"/>
  <c r="C29" i="15"/>
  <c r="D29" i="15" s="1"/>
  <c r="AT28" i="15"/>
  <c r="AS28" i="15"/>
  <c r="AS47" i="15" s="1"/>
  <c r="AR28" i="15"/>
  <c r="AN28" i="15"/>
  <c r="AM28" i="15"/>
  <c r="C28" i="15"/>
  <c r="D28" i="15"/>
  <c r="AT27" i="15"/>
  <c r="AS27" i="15"/>
  <c r="AN27" i="15"/>
  <c r="K27" i="15"/>
  <c r="AR27" i="15" s="1"/>
  <c r="C27" i="15"/>
  <c r="D27" i="15"/>
  <c r="AT26" i="15"/>
  <c r="AS26" i="15"/>
  <c r="AR26" i="15"/>
  <c r="AN26" i="15"/>
  <c r="AM26" i="15"/>
  <c r="C26" i="15"/>
  <c r="D26" i="15"/>
  <c r="AT25" i="15"/>
  <c r="AS25" i="15"/>
  <c r="AR25" i="15"/>
  <c r="AN25" i="15"/>
  <c r="AM25" i="15"/>
  <c r="C25" i="15"/>
  <c r="D25" i="15"/>
  <c r="AT24" i="15"/>
  <c r="AS24" i="15"/>
  <c r="AR24" i="15"/>
  <c r="AN24" i="15"/>
  <c r="AM24" i="15"/>
  <c r="C24" i="15"/>
  <c r="D24" i="15"/>
  <c r="AT23" i="15"/>
  <c r="AS23" i="15"/>
  <c r="AR23" i="15"/>
  <c r="AN23" i="15"/>
  <c r="AM23" i="15"/>
  <c r="C23" i="15"/>
  <c r="D23" i="15" s="1"/>
  <c r="AT22" i="15"/>
  <c r="AR22" i="15"/>
  <c r="AM22" i="15"/>
  <c r="O22" i="15"/>
  <c r="AN22" i="15"/>
  <c r="C22" i="15"/>
  <c r="D22" i="15" s="1"/>
  <c r="AT21" i="15"/>
  <c r="AT45" i="15" s="1"/>
  <c r="AS21" i="15"/>
  <c r="AN21" i="15"/>
  <c r="K21" i="15"/>
  <c r="AM21" i="15"/>
  <c r="J21" i="15"/>
  <c r="I21" i="15"/>
  <c r="H21" i="15"/>
  <c r="G21" i="15"/>
  <c r="F21" i="15"/>
  <c r="AR20" i="15"/>
  <c r="AO20" i="15"/>
  <c r="AP20" i="15" s="1"/>
  <c r="AN20" i="15"/>
  <c r="AM20" i="15"/>
  <c r="C20" i="15"/>
  <c r="D20" i="15"/>
  <c r="AR19" i="15"/>
  <c r="AN19" i="15"/>
  <c r="AM19" i="15"/>
  <c r="C19" i="15"/>
  <c r="D19" i="15" s="1"/>
  <c r="AY17" i="15"/>
  <c r="AY57" i="15"/>
  <c r="U17" i="15"/>
  <c r="T17" i="15"/>
  <c r="T45" i="15" s="1"/>
  <c r="S17" i="15"/>
  <c r="S57" i="15"/>
  <c r="R17" i="15"/>
  <c r="R45" i="15"/>
  <c r="AO16" i="15"/>
  <c r="AP16" i="15"/>
  <c r="C16" i="15"/>
  <c r="D16" i="15" s="1"/>
  <c r="Q15" i="15"/>
  <c r="P15" i="15"/>
  <c r="O15" i="15"/>
  <c r="AN15" i="15" s="1"/>
  <c r="N15" i="15"/>
  <c r="M15" i="15"/>
  <c r="L15" i="15"/>
  <c r="K15" i="15"/>
  <c r="AM15" i="15" s="1"/>
  <c r="J15" i="15"/>
  <c r="AR15" i="15" s="1"/>
  <c r="I15" i="15"/>
  <c r="H15" i="15"/>
  <c r="G15" i="15"/>
  <c r="F15" i="15"/>
  <c r="Q14" i="15"/>
  <c r="Q17" i="15" s="1"/>
  <c r="Q43" i="15" s="1"/>
  <c r="P14" i="15"/>
  <c r="P17" i="15"/>
  <c r="O14" i="15"/>
  <c r="AS14" i="15"/>
  <c r="AS17" i="15" s="1"/>
  <c r="AS44" i="15" s="1"/>
  <c r="M14" i="15"/>
  <c r="M17" i="15" s="1"/>
  <c r="L14" i="15"/>
  <c r="L17" i="15"/>
  <c r="L57" i="15" s="1"/>
  <c r="K14" i="15"/>
  <c r="J14" i="15"/>
  <c r="I14" i="15"/>
  <c r="H14" i="15"/>
  <c r="H17" i="15"/>
  <c r="H44" i="15" s="1"/>
  <c r="G14" i="15"/>
  <c r="G17" i="15"/>
  <c r="F14" i="15"/>
  <c r="F17" i="15"/>
  <c r="AT73" i="33"/>
  <c r="AS73" i="33"/>
  <c r="AR73" i="33"/>
  <c r="AN73" i="33"/>
  <c r="AM73" i="33"/>
  <c r="C73" i="33"/>
  <c r="AK71" i="33"/>
  <c r="AJ71" i="33"/>
  <c r="AI71" i="33"/>
  <c r="AH71" i="33"/>
  <c r="AG71" i="33"/>
  <c r="AF71" i="33"/>
  <c r="AE71" i="33"/>
  <c r="AD71" i="33"/>
  <c r="AC71" i="33"/>
  <c r="AB71" i="33"/>
  <c r="AA71" i="33"/>
  <c r="Z71" i="33"/>
  <c r="U71" i="33"/>
  <c r="T71" i="33"/>
  <c r="S71" i="33"/>
  <c r="R71" i="33"/>
  <c r="Q71" i="33"/>
  <c r="P71" i="33"/>
  <c r="O71" i="33"/>
  <c r="N71" i="33"/>
  <c r="I71" i="33"/>
  <c r="H71" i="33"/>
  <c r="G71" i="33"/>
  <c r="F71" i="33"/>
  <c r="AU70" i="33"/>
  <c r="AT70" i="33"/>
  <c r="AS70" i="33"/>
  <c r="AN70" i="33"/>
  <c r="M70" i="33"/>
  <c r="C70" i="33"/>
  <c r="D70" i="33" s="1"/>
  <c r="L70" i="33"/>
  <c r="K70" i="33"/>
  <c r="J70" i="33"/>
  <c r="AU69" i="33"/>
  <c r="AT69" i="33"/>
  <c r="AS69" i="33"/>
  <c r="AN69" i="33"/>
  <c r="L69" i="33"/>
  <c r="AM69" i="33"/>
  <c r="C69" i="33"/>
  <c r="D69" i="33"/>
  <c r="AU68" i="33"/>
  <c r="AT68" i="33"/>
  <c r="AS68" i="33"/>
  <c r="AR68" i="33"/>
  <c r="AN68" i="33"/>
  <c r="AM68" i="33"/>
  <c r="C68" i="33"/>
  <c r="D68" i="33" s="1"/>
  <c r="AU67" i="33"/>
  <c r="AT67" i="33"/>
  <c r="AS67" i="33"/>
  <c r="AR67" i="33"/>
  <c r="AN67" i="33"/>
  <c r="AM67" i="33"/>
  <c r="C67" i="33"/>
  <c r="D67" i="33" s="1"/>
  <c r="AY66" i="33"/>
  <c r="AY71" i="33" s="1"/>
  <c r="AX66" i="33"/>
  <c r="AX71" i="33" s="1"/>
  <c r="AW66" i="33"/>
  <c r="AW71" i="33"/>
  <c r="AV66" i="33"/>
  <c r="AV71" i="33"/>
  <c r="AT66" i="33"/>
  <c r="AS66" i="33"/>
  <c r="AN66" i="33"/>
  <c r="Y66" i="33"/>
  <c r="Y71" i="33"/>
  <c r="X66" i="33"/>
  <c r="X71" i="33"/>
  <c r="W66" i="33"/>
  <c r="W71" i="33" s="1"/>
  <c r="V66" i="33"/>
  <c r="M66" i="33"/>
  <c r="L66" i="33"/>
  <c r="K66" i="33"/>
  <c r="J66" i="33"/>
  <c r="AU65" i="33"/>
  <c r="AT65" i="33"/>
  <c r="AS65" i="33"/>
  <c r="AN65" i="33"/>
  <c r="M65" i="33"/>
  <c r="L65" i="33"/>
  <c r="K65" i="33"/>
  <c r="J65" i="33"/>
  <c r="AR65" i="33" s="1"/>
  <c r="AO65" i="33" s="1"/>
  <c r="AP65" i="33" s="1"/>
  <c r="BB59" i="33"/>
  <c r="BA59" i="33"/>
  <c r="AZ59" i="33"/>
  <c r="AY59" i="33"/>
  <c r="H59" i="33"/>
  <c r="G59" i="33"/>
  <c r="F59" i="33"/>
  <c r="BA58" i="33"/>
  <c r="AZ58" i="33"/>
  <c r="AY58" i="33"/>
  <c r="AU52" i="33"/>
  <c r="AT52" i="33"/>
  <c r="P52" i="33"/>
  <c r="O52" i="33"/>
  <c r="AN52" i="33" s="1"/>
  <c r="N52" i="33"/>
  <c r="AS52" i="33" s="1"/>
  <c r="M52" i="33"/>
  <c r="L52" i="33"/>
  <c r="K52" i="33"/>
  <c r="AM52" i="33" s="1"/>
  <c r="J52" i="33"/>
  <c r="AR52" i="33" s="1"/>
  <c r="I52" i="33"/>
  <c r="C52" i="33" s="1"/>
  <c r="D52" i="33" s="1"/>
  <c r="C39" i="33"/>
  <c r="I38" i="33"/>
  <c r="C38" i="33"/>
  <c r="AZ36" i="33"/>
  <c r="AZ50" i="33" s="1"/>
  <c r="AY36" i="33"/>
  <c r="AY42" i="33" s="1"/>
  <c r="AX35" i="33"/>
  <c r="AX59" i="33" s="1"/>
  <c r="AW35" i="33"/>
  <c r="AW59" i="33" s="1"/>
  <c r="AV35" i="33"/>
  <c r="AV59" i="33"/>
  <c r="AK35" i="33"/>
  <c r="AJ35" i="33"/>
  <c r="AJ59" i="33" s="1"/>
  <c r="AI35" i="33"/>
  <c r="AH35" i="33"/>
  <c r="AH59" i="33" s="1"/>
  <c r="AG35" i="33"/>
  <c r="AG59" i="33" s="1"/>
  <c r="AF35" i="33"/>
  <c r="AF59" i="33" s="1"/>
  <c r="AE35" i="33"/>
  <c r="AE59" i="33"/>
  <c r="AD35" i="33"/>
  <c r="AD59" i="33"/>
  <c r="AC35" i="33"/>
  <c r="AB35" i="33"/>
  <c r="AB59" i="33" s="1"/>
  <c r="AA35" i="33"/>
  <c r="Z35" i="33"/>
  <c r="Z59" i="33" s="1"/>
  <c r="Y35" i="33"/>
  <c r="Y59" i="33" s="1"/>
  <c r="X35" i="33"/>
  <c r="W35" i="33"/>
  <c r="W59" i="33" s="1"/>
  <c r="V35" i="33"/>
  <c r="V59" i="33" s="1"/>
  <c r="U35" i="33"/>
  <c r="T35" i="33"/>
  <c r="T59" i="33" s="1"/>
  <c r="S35" i="33"/>
  <c r="R35" i="33"/>
  <c r="Q35" i="33"/>
  <c r="Q59" i="33" s="1"/>
  <c r="P35" i="33"/>
  <c r="P59" i="33"/>
  <c r="N35" i="33"/>
  <c r="M35" i="33"/>
  <c r="L35" i="33"/>
  <c r="L59" i="33" s="1"/>
  <c r="K35" i="33"/>
  <c r="J35" i="33"/>
  <c r="I35" i="33"/>
  <c r="AT33" i="33"/>
  <c r="AS33" i="33"/>
  <c r="AR33" i="33"/>
  <c r="AN33" i="33"/>
  <c r="AM33" i="33"/>
  <c r="C33" i="33"/>
  <c r="AU32" i="33"/>
  <c r="AT32" i="33"/>
  <c r="AS32" i="33"/>
  <c r="AR32" i="33"/>
  <c r="AN32" i="33"/>
  <c r="AM32" i="33"/>
  <c r="C32" i="33"/>
  <c r="AU31" i="33"/>
  <c r="AT31" i="33"/>
  <c r="AS31" i="33"/>
  <c r="AR31" i="33"/>
  <c r="AN31" i="33"/>
  <c r="AM31" i="33"/>
  <c r="C31" i="33"/>
  <c r="AU30" i="33"/>
  <c r="AT30" i="33"/>
  <c r="AS30" i="33"/>
  <c r="AR30" i="33"/>
  <c r="AN30" i="33"/>
  <c r="AM30" i="33"/>
  <c r="C30" i="33"/>
  <c r="D30" i="33"/>
  <c r="AU29" i="33"/>
  <c r="AT29" i="33"/>
  <c r="AS29" i="33"/>
  <c r="AR29" i="33"/>
  <c r="AN29" i="33"/>
  <c r="AM29" i="33"/>
  <c r="C29" i="33"/>
  <c r="D29" i="33" s="1"/>
  <c r="AU28" i="33"/>
  <c r="AT28" i="33"/>
  <c r="AS28" i="33"/>
  <c r="AR28" i="33"/>
  <c r="AN28" i="33"/>
  <c r="AM28" i="33"/>
  <c r="C28" i="33"/>
  <c r="D28" i="33" s="1"/>
  <c r="AU27" i="33"/>
  <c r="AT27" i="33"/>
  <c r="AS27" i="33"/>
  <c r="AR27" i="33"/>
  <c r="AN27" i="33"/>
  <c r="AM27" i="33"/>
  <c r="C27" i="33"/>
  <c r="D27" i="33"/>
  <c r="AU26" i="33"/>
  <c r="AT26" i="33"/>
  <c r="AS26" i="33"/>
  <c r="AR26" i="33"/>
  <c r="AN26" i="33"/>
  <c r="AM26" i="33"/>
  <c r="C26" i="33"/>
  <c r="D26" i="33" s="1"/>
  <c r="AU25" i="33"/>
  <c r="AT25" i="33"/>
  <c r="AS25" i="33"/>
  <c r="AR25" i="33"/>
  <c r="AN25" i="33"/>
  <c r="AM25" i="33"/>
  <c r="C25" i="33"/>
  <c r="D25" i="33" s="1"/>
  <c r="AU24" i="33"/>
  <c r="AT24" i="33"/>
  <c r="AS24" i="33"/>
  <c r="AR24" i="33"/>
  <c r="AN24" i="33"/>
  <c r="AM24" i="33"/>
  <c r="C24" i="33"/>
  <c r="D24" i="33"/>
  <c r="AU23" i="33"/>
  <c r="AT23" i="33"/>
  <c r="AR23" i="33"/>
  <c r="AM23" i="33"/>
  <c r="O23" i="33"/>
  <c r="AS23" i="33" s="1"/>
  <c r="C23" i="33"/>
  <c r="D23" i="33" s="1"/>
  <c r="AS22" i="33"/>
  <c r="AR22" i="33"/>
  <c r="AN22" i="33"/>
  <c r="AM22" i="33"/>
  <c r="C22" i="33"/>
  <c r="D22" i="33"/>
  <c r="AX20" i="33"/>
  <c r="AW20" i="33"/>
  <c r="AV20" i="33"/>
  <c r="AU20" i="33"/>
  <c r="AT20" i="33"/>
  <c r="AK20" i="33"/>
  <c r="AJ20" i="33"/>
  <c r="AI20" i="33"/>
  <c r="AH20" i="33"/>
  <c r="AG20" i="33"/>
  <c r="AF20" i="33"/>
  <c r="AE20" i="33"/>
  <c r="AD20" i="33"/>
  <c r="AC20" i="33"/>
  <c r="AB20" i="33"/>
  <c r="AA20" i="33"/>
  <c r="Z20" i="33"/>
  <c r="Y20" i="33"/>
  <c r="X20" i="33"/>
  <c r="W20" i="33"/>
  <c r="V20" i="33"/>
  <c r="U20" i="33"/>
  <c r="T20" i="33"/>
  <c r="S20" i="33"/>
  <c r="R20" i="33"/>
  <c r="Q20" i="33"/>
  <c r="P20" i="33"/>
  <c r="AN19" i="33"/>
  <c r="AN18" i="33"/>
  <c r="AX16" i="33"/>
  <c r="AX47" i="33"/>
  <c r="AW16" i="33"/>
  <c r="AV16" i="33"/>
  <c r="AK16" i="33"/>
  <c r="AK45" i="33"/>
  <c r="AJ16" i="33"/>
  <c r="AJ44" i="33" s="1"/>
  <c r="AI16" i="33"/>
  <c r="AH16" i="33"/>
  <c r="AH44" i="33"/>
  <c r="AG16" i="33"/>
  <c r="AF16" i="33"/>
  <c r="AE16" i="33"/>
  <c r="AE58" i="33"/>
  <c r="AD16" i="33"/>
  <c r="AC16" i="33"/>
  <c r="AC45" i="33"/>
  <c r="AB16" i="33"/>
  <c r="AA16" i="33"/>
  <c r="Z16" i="33"/>
  <c r="Z44" i="33"/>
  <c r="Y16" i="33"/>
  <c r="Y45" i="33" s="1"/>
  <c r="X16" i="33"/>
  <c r="X48" i="33" s="1"/>
  <c r="W16" i="33"/>
  <c r="W58" i="33"/>
  <c r="V16" i="33"/>
  <c r="V44" i="33"/>
  <c r="U16" i="33"/>
  <c r="U44" i="33" s="1"/>
  <c r="T16" i="33"/>
  <c r="T58" i="33"/>
  <c r="S16" i="33"/>
  <c r="S46" i="33" s="1"/>
  <c r="R16" i="33"/>
  <c r="R44" i="33" s="1"/>
  <c r="Q16" i="33"/>
  <c r="P16" i="33"/>
  <c r="P44" i="33"/>
  <c r="O16" i="33"/>
  <c r="O58" i="33" s="1"/>
  <c r="N15" i="33"/>
  <c r="AS15" i="33" s="1"/>
  <c r="M15" i="33"/>
  <c r="L15" i="33"/>
  <c r="K15" i="33"/>
  <c r="J15" i="33"/>
  <c r="I15" i="33"/>
  <c r="H15" i="33"/>
  <c r="G15" i="33"/>
  <c r="F15" i="33"/>
  <c r="AU14" i="33"/>
  <c r="AU16" i="33" s="1"/>
  <c r="AT14" i="33"/>
  <c r="AT16" i="33"/>
  <c r="AN14" i="33"/>
  <c r="AN16" i="33"/>
  <c r="N14" i="33"/>
  <c r="AS14" i="33" s="1"/>
  <c r="AS16" i="33"/>
  <c r="M14" i="33"/>
  <c r="L14" i="33"/>
  <c r="L16" i="33" s="1"/>
  <c r="L58" i="33" s="1"/>
  <c r="K14" i="33"/>
  <c r="AM14" i="33" s="1"/>
  <c r="AM16" i="33" s="1"/>
  <c r="J14" i="33"/>
  <c r="AR14" i="33"/>
  <c r="I14" i="33"/>
  <c r="I16" i="33" s="1"/>
  <c r="I58" i="33" s="1"/>
  <c r="H14" i="33"/>
  <c r="H16" i="33"/>
  <c r="H58" i="33" s="1"/>
  <c r="H60" i="33" s="1"/>
  <c r="G14" i="33"/>
  <c r="G16" i="33"/>
  <c r="G58" i="33" s="1"/>
  <c r="G60" i="33" s="1"/>
  <c r="F14" i="33"/>
  <c r="F16" i="33" s="1"/>
  <c r="F58" i="33" s="1"/>
  <c r="F60" i="33" s="1"/>
  <c r="AT77" i="13"/>
  <c r="O77" i="13"/>
  <c r="AN77" i="13" s="1"/>
  <c r="N77" i="13"/>
  <c r="AS77" i="13" s="1"/>
  <c r="M77" i="13"/>
  <c r="AR77" i="13" s="1"/>
  <c r="Q75" i="13"/>
  <c r="P75" i="13"/>
  <c r="O75" i="13"/>
  <c r="N75" i="13"/>
  <c r="M75" i="13"/>
  <c r="K75" i="13"/>
  <c r="J75" i="13"/>
  <c r="I75" i="13"/>
  <c r="H75" i="13"/>
  <c r="G75" i="13"/>
  <c r="F75" i="13"/>
  <c r="AS74" i="13"/>
  <c r="AN74" i="13"/>
  <c r="L74" i="13"/>
  <c r="AR74" i="13" s="1"/>
  <c r="C74" i="13"/>
  <c r="D74" i="13" s="1"/>
  <c r="AY73" i="13"/>
  <c r="AS73" i="13"/>
  <c r="AR73" i="13"/>
  <c r="AN73" i="13"/>
  <c r="AM73" i="13"/>
  <c r="C73" i="13"/>
  <c r="D73" i="13"/>
  <c r="AS72" i="13"/>
  <c r="AR72" i="13"/>
  <c r="AN72" i="13"/>
  <c r="AM72" i="13"/>
  <c r="C72" i="13"/>
  <c r="D72" i="13"/>
  <c r="AY71" i="13"/>
  <c r="AS71" i="13"/>
  <c r="AR71" i="13"/>
  <c r="AN71" i="13"/>
  <c r="AM71" i="13"/>
  <c r="C71" i="13"/>
  <c r="D71" i="13" s="1"/>
  <c r="AY70" i="13"/>
  <c r="AS70" i="13"/>
  <c r="AR70" i="13"/>
  <c r="AN70" i="13"/>
  <c r="AM70" i="13"/>
  <c r="C70" i="13"/>
  <c r="D70" i="13" s="1"/>
  <c r="AS69" i="13"/>
  <c r="AR69" i="13"/>
  <c r="AN69" i="13"/>
  <c r="AM69" i="13"/>
  <c r="AM75" i="13" s="1"/>
  <c r="C69" i="13"/>
  <c r="D69" i="13"/>
  <c r="Q52" i="13"/>
  <c r="P52" i="13"/>
  <c r="O52" i="13"/>
  <c r="AN52" i="13"/>
  <c r="N52" i="13"/>
  <c r="AS52" i="13" s="1"/>
  <c r="M52" i="13"/>
  <c r="L52" i="13"/>
  <c r="K52" i="13"/>
  <c r="AM52" i="13"/>
  <c r="J52" i="13"/>
  <c r="AR52" i="13" s="1"/>
  <c r="I52" i="13"/>
  <c r="AW45" i="13"/>
  <c r="AV45" i="13"/>
  <c r="AU45" i="13"/>
  <c r="AT45" i="13"/>
  <c r="AW44" i="13"/>
  <c r="AV44" i="13"/>
  <c r="AU44" i="13"/>
  <c r="AT44" i="13"/>
  <c r="AV42" i="13"/>
  <c r="AU42" i="13"/>
  <c r="AK42" i="13"/>
  <c r="AJ42" i="13"/>
  <c r="AI42" i="13"/>
  <c r="AH42" i="13"/>
  <c r="AG42" i="13"/>
  <c r="AF42" i="13"/>
  <c r="AE42" i="13"/>
  <c r="AD42" i="13"/>
  <c r="AC42" i="13"/>
  <c r="AB42" i="13"/>
  <c r="AA42" i="13"/>
  <c r="Z42" i="13"/>
  <c r="Y42" i="13"/>
  <c r="X42" i="13"/>
  <c r="W42" i="13"/>
  <c r="V42" i="13"/>
  <c r="I39" i="13"/>
  <c r="I37" i="15"/>
  <c r="C37" i="15" s="1"/>
  <c r="I38" i="13"/>
  <c r="C38" i="13"/>
  <c r="U35" i="13"/>
  <c r="T35" i="13"/>
  <c r="S35" i="13"/>
  <c r="S59" i="13" s="1"/>
  <c r="R35" i="13"/>
  <c r="R59" i="13" s="1"/>
  <c r="Q35" i="13"/>
  <c r="P35" i="13"/>
  <c r="P59" i="13"/>
  <c r="N35" i="13"/>
  <c r="N59" i="13" s="1"/>
  <c r="M35" i="13"/>
  <c r="L35" i="13"/>
  <c r="L59" i="13"/>
  <c r="H35" i="13"/>
  <c r="H59" i="13" s="1"/>
  <c r="G35" i="13"/>
  <c r="F35" i="13"/>
  <c r="F59" i="13"/>
  <c r="AS34" i="13"/>
  <c r="AR34" i="13"/>
  <c r="AN34" i="13"/>
  <c r="AM34" i="13"/>
  <c r="C34" i="13"/>
  <c r="AS33" i="13"/>
  <c r="AR33" i="13"/>
  <c r="AN33" i="13"/>
  <c r="AM33" i="13"/>
  <c r="C33" i="13"/>
  <c r="AS32" i="13"/>
  <c r="AR32" i="13"/>
  <c r="AN32" i="13"/>
  <c r="AM32" i="13"/>
  <c r="C32" i="13"/>
  <c r="AT31" i="13"/>
  <c r="AS31" i="13"/>
  <c r="AR31" i="13"/>
  <c r="AN31" i="13"/>
  <c r="AM31" i="13"/>
  <c r="C31" i="13"/>
  <c r="AR30" i="13"/>
  <c r="AM30" i="13"/>
  <c r="O30" i="13"/>
  <c r="C30" i="13"/>
  <c r="AT29" i="13"/>
  <c r="AS29" i="13"/>
  <c r="AR29" i="13"/>
  <c r="AN29" i="13"/>
  <c r="AM29" i="13"/>
  <c r="C29" i="13"/>
  <c r="D29" i="13" s="1"/>
  <c r="AT28" i="13"/>
  <c r="AR28" i="13"/>
  <c r="AM28" i="13"/>
  <c r="O28" i="13"/>
  <c r="AS28" i="13" s="1"/>
  <c r="C28" i="13"/>
  <c r="D28" i="13" s="1"/>
  <c r="AT27" i="13"/>
  <c r="AS27" i="13"/>
  <c r="AR27" i="13"/>
  <c r="AN27" i="13"/>
  <c r="AM27" i="13"/>
  <c r="C27" i="13"/>
  <c r="D27" i="13"/>
  <c r="AT26" i="13"/>
  <c r="AS26" i="13"/>
  <c r="AR26" i="13"/>
  <c r="AN26" i="13"/>
  <c r="AM26" i="13"/>
  <c r="C26" i="13"/>
  <c r="D26" i="13"/>
  <c r="AT25" i="13"/>
  <c r="AS25" i="13"/>
  <c r="AR25" i="13"/>
  <c r="AN25" i="13"/>
  <c r="AM25" i="13"/>
  <c r="C25" i="13"/>
  <c r="D25" i="13"/>
  <c r="AT24" i="13"/>
  <c r="AS24" i="13"/>
  <c r="AR24" i="13"/>
  <c r="AN24" i="13"/>
  <c r="AM24" i="13"/>
  <c r="C24" i="13"/>
  <c r="D24" i="13"/>
  <c r="AT23" i="13"/>
  <c r="AS23" i="13"/>
  <c r="AR23" i="13"/>
  <c r="AN23" i="13"/>
  <c r="AM23" i="13"/>
  <c r="C23" i="13"/>
  <c r="D23" i="13"/>
  <c r="AT22" i="13"/>
  <c r="AS22" i="13"/>
  <c r="AR22" i="13"/>
  <c r="AN22" i="13"/>
  <c r="AM22" i="13"/>
  <c r="C22" i="13"/>
  <c r="D22" i="13" s="1"/>
  <c r="AT21" i="13"/>
  <c r="AR21" i="13"/>
  <c r="AM21" i="13"/>
  <c r="O21" i="13"/>
  <c r="C21" i="13"/>
  <c r="D21" i="13" s="1"/>
  <c r="AT20" i="13"/>
  <c r="O20" i="13"/>
  <c r="AN20" i="13" s="1"/>
  <c r="K20" i="13"/>
  <c r="J20" i="13"/>
  <c r="I20" i="13"/>
  <c r="I35" i="13" s="1"/>
  <c r="AR19" i="13"/>
  <c r="AN19" i="13"/>
  <c r="AM19" i="13"/>
  <c r="C19" i="13"/>
  <c r="D19" i="13" s="1"/>
  <c r="AR18" i="13"/>
  <c r="AN18" i="13"/>
  <c r="AM18" i="13"/>
  <c r="C18" i="13"/>
  <c r="D18" i="13" s="1"/>
  <c r="AZ16" i="13"/>
  <c r="AZ58" i="13" s="1"/>
  <c r="AZ60" i="13" s="1"/>
  <c r="AY16" i="13"/>
  <c r="U16" i="13"/>
  <c r="U46" i="13" s="1"/>
  <c r="T15" i="13"/>
  <c r="S15" i="13"/>
  <c r="R15" i="13"/>
  <c r="Q15" i="13"/>
  <c r="P15" i="13"/>
  <c r="O15" i="13"/>
  <c r="N15" i="13"/>
  <c r="M15" i="13"/>
  <c r="L15" i="13"/>
  <c r="K15" i="13"/>
  <c r="J15" i="13"/>
  <c r="I15" i="13"/>
  <c r="C15" i="13" s="1"/>
  <c r="D15" i="13" s="1"/>
  <c r="H15" i="13"/>
  <c r="G15" i="13"/>
  <c r="F15" i="13"/>
  <c r="T14" i="13"/>
  <c r="S14" i="13"/>
  <c r="R14" i="13"/>
  <c r="Q14" i="13"/>
  <c r="P14" i="13"/>
  <c r="O14" i="13"/>
  <c r="AN14" i="13" s="1"/>
  <c r="N14" i="13"/>
  <c r="AS14" i="13" s="1"/>
  <c r="M14" i="13"/>
  <c r="L14" i="13"/>
  <c r="K14" i="13"/>
  <c r="AM14" i="13"/>
  <c r="J14" i="13"/>
  <c r="AR14" i="13" s="1"/>
  <c r="I14" i="13"/>
  <c r="H14" i="13"/>
  <c r="G14" i="13"/>
  <c r="F14" i="13"/>
  <c r="T13" i="13"/>
  <c r="T16" i="13"/>
  <c r="S13" i="13"/>
  <c r="S16" i="13"/>
  <c r="S46" i="13" s="1"/>
  <c r="R13" i="13"/>
  <c r="R16" i="13"/>
  <c r="Q13" i="13"/>
  <c r="Q16" i="13" s="1"/>
  <c r="Q58" i="13" s="1"/>
  <c r="P13" i="13"/>
  <c r="P16" i="13"/>
  <c r="P44" i="13" s="1"/>
  <c r="O13" i="13"/>
  <c r="O16" i="13" s="1"/>
  <c r="O58" i="13" s="1"/>
  <c r="N13" i="13"/>
  <c r="N16" i="13" s="1"/>
  <c r="N45" i="13" s="1"/>
  <c r="M13" i="13"/>
  <c r="L13" i="13"/>
  <c r="L16" i="13"/>
  <c r="K13" i="13"/>
  <c r="K16" i="13" s="1"/>
  <c r="K58" i="13" s="1"/>
  <c r="AM58" i="13" s="1"/>
  <c r="J13" i="13"/>
  <c r="I13" i="13"/>
  <c r="I16" i="13"/>
  <c r="I45" i="13" s="1"/>
  <c r="H13" i="13"/>
  <c r="H16" i="13"/>
  <c r="H45" i="13" s="1"/>
  <c r="G13" i="13"/>
  <c r="G16" i="13" s="1"/>
  <c r="G47" i="13" s="1"/>
  <c r="F13" i="13"/>
  <c r="F16" i="13"/>
  <c r="F46" i="13" s="1"/>
  <c r="F37" i="47"/>
  <c r="M62" i="50"/>
  <c r="Q82" i="39"/>
  <c r="P82" i="39"/>
  <c r="O82" i="39"/>
  <c r="N82" i="39"/>
  <c r="M82" i="39"/>
  <c r="L82" i="39"/>
  <c r="K82" i="39"/>
  <c r="J82" i="39"/>
  <c r="I82" i="39"/>
  <c r="H82" i="39"/>
  <c r="G82" i="39"/>
  <c r="F82" i="39"/>
  <c r="AS81" i="39"/>
  <c r="AR81" i="39"/>
  <c r="AN81" i="39"/>
  <c r="AM81" i="39"/>
  <c r="AS80" i="39"/>
  <c r="AR80" i="39"/>
  <c r="AN80" i="39"/>
  <c r="AM80" i="39"/>
  <c r="AS79" i="39"/>
  <c r="AR79" i="39"/>
  <c r="AN79" i="39"/>
  <c r="AM79" i="39"/>
  <c r="AS78" i="39"/>
  <c r="AR78" i="39"/>
  <c r="AN78" i="39"/>
  <c r="AN82" i="39" s="1"/>
  <c r="AM78" i="39"/>
  <c r="AS77" i="39"/>
  <c r="AR77" i="39"/>
  <c r="AN77" i="39"/>
  <c r="AM77" i="39"/>
  <c r="AS76" i="39"/>
  <c r="AR76" i="39"/>
  <c r="AN76" i="39"/>
  <c r="AM76" i="39"/>
  <c r="Q65" i="39"/>
  <c r="P65" i="39"/>
  <c r="O65" i="39"/>
  <c r="N65" i="39"/>
  <c r="U64" i="39"/>
  <c r="U69" i="39"/>
  <c r="T64" i="39"/>
  <c r="T69" i="39"/>
  <c r="S64" i="39"/>
  <c r="S69" i="39" s="1"/>
  <c r="R64" i="39"/>
  <c r="AR37" i="39"/>
  <c r="AR38" i="39" s="1"/>
  <c r="AN37" i="39"/>
  <c r="AM37" i="39"/>
  <c r="I37" i="39"/>
  <c r="AR36" i="39"/>
  <c r="AR35" i="39"/>
  <c r="AR34" i="39"/>
  <c r="AR33" i="39"/>
  <c r="U31" i="39"/>
  <c r="T31" i="39"/>
  <c r="T65" i="39"/>
  <c r="S31" i="39"/>
  <c r="R31" i="39"/>
  <c r="R65" i="39"/>
  <c r="AR30" i="39"/>
  <c r="AN30" i="39"/>
  <c r="AM30" i="39"/>
  <c r="AR29" i="39"/>
  <c r="AO29" i="39"/>
  <c r="AN29" i="39"/>
  <c r="AM29" i="39"/>
  <c r="AR28" i="39"/>
  <c r="AO28" i="39"/>
  <c r="AP28" i="39" s="1"/>
  <c r="AN28" i="39"/>
  <c r="AM28" i="39"/>
  <c r="AR27" i="39"/>
  <c r="AO27" i="39" s="1"/>
  <c r="AP27" i="39" s="1"/>
  <c r="AN27" i="39"/>
  <c r="AM27" i="39"/>
  <c r="AR26" i="39"/>
  <c r="AO26" i="39" s="1"/>
  <c r="AP26" i="39" s="1"/>
  <c r="AN26" i="39"/>
  <c r="AM26" i="39"/>
  <c r="AR25" i="39"/>
  <c r="AO25" i="39"/>
  <c r="AP25" i="39"/>
  <c r="AN25" i="39"/>
  <c r="AM25" i="39"/>
  <c r="AR24" i="39"/>
  <c r="AO24" i="39"/>
  <c r="AP24" i="39"/>
  <c r="AN24" i="39"/>
  <c r="AM24" i="39"/>
  <c r="AR23" i="39"/>
  <c r="AO23" i="39" s="1"/>
  <c r="AP23" i="39" s="1"/>
  <c r="AN23" i="39"/>
  <c r="AM23" i="39"/>
  <c r="AR22" i="39"/>
  <c r="AO22" i="39"/>
  <c r="AP22" i="39"/>
  <c r="AN22" i="39"/>
  <c r="AM22" i="39"/>
  <c r="AR21" i="39"/>
  <c r="AO21" i="39" s="1"/>
  <c r="AP21" i="39" s="1"/>
  <c r="AN21" i="39"/>
  <c r="AM21" i="39"/>
  <c r="AR20" i="39"/>
  <c r="AO20" i="39"/>
  <c r="AP20" i="39" s="1"/>
  <c r="AN20" i="39"/>
  <c r="AM20" i="39"/>
  <c r="AN19" i="39"/>
  <c r="M19" i="39"/>
  <c r="M31" i="39" s="1"/>
  <c r="L19" i="39"/>
  <c r="L31" i="39" s="1"/>
  <c r="K19" i="39"/>
  <c r="K31" i="39"/>
  <c r="K65" i="39"/>
  <c r="J19" i="39"/>
  <c r="J31" i="39"/>
  <c r="I19" i="39"/>
  <c r="I31" i="39"/>
  <c r="I65" i="39"/>
  <c r="H19" i="39"/>
  <c r="H31" i="39" s="1"/>
  <c r="G19" i="39"/>
  <c r="G31" i="39" s="1"/>
  <c r="G32" i="39" s="1"/>
  <c r="G39" i="39" s="1"/>
  <c r="F19" i="39"/>
  <c r="F31" i="39"/>
  <c r="AR18" i="39"/>
  <c r="AO18" i="39" s="1"/>
  <c r="AP18" i="39" s="1"/>
  <c r="AN18" i="39"/>
  <c r="AM18" i="39"/>
  <c r="AR17" i="39"/>
  <c r="AN17" i="39"/>
  <c r="AM17" i="39"/>
  <c r="Q15" i="39"/>
  <c r="Q64" i="39" s="1"/>
  <c r="P15" i="39"/>
  <c r="P64" i="39"/>
  <c r="O15" i="39"/>
  <c r="O64" i="39" s="1"/>
  <c r="N15" i="39"/>
  <c r="N64" i="39"/>
  <c r="M15" i="39"/>
  <c r="L15" i="39"/>
  <c r="L64" i="39" s="1"/>
  <c r="K15" i="39"/>
  <c r="K64" i="39"/>
  <c r="J15" i="39"/>
  <c r="J64" i="39" s="1"/>
  <c r="I15" i="39"/>
  <c r="H15" i="39"/>
  <c r="H32" i="39" s="1"/>
  <c r="H39" i="39" s="1"/>
  <c r="G15" i="39"/>
  <c r="F15" i="39"/>
  <c r="AR14" i="39"/>
  <c r="AN14" i="39"/>
  <c r="AN15" i="39"/>
  <c r="AM14" i="39"/>
  <c r="AM15" i="39" s="1"/>
  <c r="E212" i="47"/>
  <c r="E203" i="47"/>
  <c r="E188" i="47"/>
  <c r="J298" i="47"/>
  <c r="J297" i="47"/>
  <c r="J262" i="47"/>
  <c r="J260" i="47"/>
  <c r="J259" i="47"/>
  <c r="J308" i="47"/>
  <c r="J274" i="47"/>
  <c r="J270" i="47"/>
  <c r="L270" i="47" s="1"/>
  <c r="J269" i="47"/>
  <c r="J267" i="47"/>
  <c r="J302" i="47"/>
  <c r="J268" i="47"/>
  <c r="Q22" i="43"/>
  <c r="R17" i="43"/>
  <c r="BL81" i="43"/>
  <c r="BD78" i="43"/>
  <c r="BC78" i="43"/>
  <c r="BB78" i="43"/>
  <c r="S78" i="43"/>
  <c r="R78" i="43"/>
  <c r="Q78" i="43"/>
  <c r="P78" i="43"/>
  <c r="O78" i="43"/>
  <c r="N78" i="43"/>
  <c r="M78" i="43"/>
  <c r="L78" i="43"/>
  <c r="K78" i="43"/>
  <c r="J78" i="43"/>
  <c r="I78" i="43"/>
  <c r="BG76" i="43"/>
  <c r="AL76" i="43"/>
  <c r="AK76" i="43"/>
  <c r="AJ76" i="43"/>
  <c r="AG76" i="43"/>
  <c r="AF76" i="43"/>
  <c r="AE76" i="43"/>
  <c r="AD76" i="43"/>
  <c r="AB76" i="43"/>
  <c r="AA76" i="43"/>
  <c r="Z76" i="43"/>
  <c r="BD75" i="43"/>
  <c r="BC75" i="43"/>
  <c r="BB75" i="43"/>
  <c r="Y75" i="43"/>
  <c r="S75" i="43"/>
  <c r="R75" i="43"/>
  <c r="Q75" i="43"/>
  <c r="P75" i="43"/>
  <c r="O75" i="43"/>
  <c r="N75" i="43"/>
  <c r="M75" i="43"/>
  <c r="L75" i="43"/>
  <c r="K75" i="43"/>
  <c r="J75" i="43"/>
  <c r="I75" i="43"/>
  <c r="BD74" i="43"/>
  <c r="BC74" i="43"/>
  <c r="BB74" i="43"/>
  <c r="Y74" i="43"/>
  <c r="S74" i="43"/>
  <c r="R74" i="43"/>
  <c r="Q74" i="43"/>
  <c r="P74" i="43"/>
  <c r="O74" i="43"/>
  <c r="N74" i="43"/>
  <c r="M74" i="43"/>
  <c r="L74" i="43"/>
  <c r="K74" i="43"/>
  <c r="J74" i="43"/>
  <c r="I74" i="43"/>
  <c r="BD73" i="43"/>
  <c r="BC73" i="43"/>
  <c r="BB73" i="43"/>
  <c r="Y73" i="43"/>
  <c r="S73" i="43"/>
  <c r="R73" i="43"/>
  <c r="Q73" i="43"/>
  <c r="P73" i="43"/>
  <c r="O73" i="43"/>
  <c r="N73" i="43"/>
  <c r="M73" i="43"/>
  <c r="L73" i="43"/>
  <c r="K73" i="43"/>
  <c r="J73" i="43"/>
  <c r="I73" i="43"/>
  <c r="BH72" i="43"/>
  <c r="BD72" i="43"/>
  <c r="BC72" i="43"/>
  <c r="BB72" i="43"/>
  <c r="Y72" i="43"/>
  <c r="S72" i="43"/>
  <c r="R72" i="43"/>
  <c r="Q72" i="43"/>
  <c r="P72" i="43"/>
  <c r="O72" i="43"/>
  <c r="N72" i="43"/>
  <c r="M72" i="43"/>
  <c r="L72" i="43"/>
  <c r="K72" i="43"/>
  <c r="J72" i="43"/>
  <c r="I72" i="43"/>
  <c r="BI71" i="43"/>
  <c r="BI76" i="43" s="1"/>
  <c r="BH71" i="43"/>
  <c r="BD71" i="43"/>
  <c r="BC71" i="43"/>
  <c r="BB71" i="43"/>
  <c r="AI71" i="43"/>
  <c r="AI76" i="43"/>
  <c r="AH71" i="43"/>
  <c r="AH76" i="43" s="1"/>
  <c r="AC71" i="43"/>
  <c r="AC76" i="43" s="1"/>
  <c r="Y71" i="43"/>
  <c r="S71" i="43"/>
  <c r="R71" i="43"/>
  <c r="Q71" i="43"/>
  <c r="P71" i="43"/>
  <c r="O71" i="43"/>
  <c r="N71" i="43"/>
  <c r="M71" i="43"/>
  <c r="L71" i="43"/>
  <c r="K71" i="43"/>
  <c r="J71" i="43"/>
  <c r="I71" i="43"/>
  <c r="BD70" i="43"/>
  <c r="BC70" i="43"/>
  <c r="BB70" i="43"/>
  <c r="Y70" i="43"/>
  <c r="S70" i="43"/>
  <c r="R70" i="43"/>
  <c r="Q70" i="43"/>
  <c r="P70" i="43"/>
  <c r="O70" i="43"/>
  <c r="N70" i="43"/>
  <c r="M70" i="43"/>
  <c r="L70" i="43"/>
  <c r="K70" i="43"/>
  <c r="J70" i="43"/>
  <c r="I70" i="43"/>
  <c r="BE65" i="43"/>
  <c r="BE64" i="43"/>
  <c r="BI63" i="43"/>
  <c r="BH63" i="43"/>
  <c r="BG63" i="43"/>
  <c r="BE63" i="43"/>
  <c r="AL63" i="43"/>
  <c r="AK63" i="43"/>
  <c r="AJ63" i="43"/>
  <c r="AI63" i="43"/>
  <c r="AH63" i="43"/>
  <c r="BD61" i="43"/>
  <c r="BD60" i="43"/>
  <c r="BC60" i="43"/>
  <c r="BB60" i="43"/>
  <c r="AG60" i="43"/>
  <c r="AF60" i="43"/>
  <c r="AE60" i="43"/>
  <c r="AD60" i="43"/>
  <c r="BD59" i="43"/>
  <c r="BC59" i="43"/>
  <c r="BB59" i="43"/>
  <c r="BD58" i="43"/>
  <c r="BC58" i="43"/>
  <c r="BB58" i="43"/>
  <c r="BD52" i="43"/>
  <c r="BC52" i="43"/>
  <c r="BB52" i="43"/>
  <c r="BA52" i="43"/>
  <c r="AZ52" i="43"/>
  <c r="S52" i="43"/>
  <c r="R52" i="43"/>
  <c r="Q52" i="43"/>
  <c r="O52" i="43"/>
  <c r="AV52" i="43" s="1"/>
  <c r="N52" i="43"/>
  <c r="M52" i="43"/>
  <c r="C52" i="43" s="1"/>
  <c r="D52" i="43" s="1"/>
  <c r="L52" i="43"/>
  <c r="K52" i="43"/>
  <c r="AU52" i="43" s="1"/>
  <c r="J52" i="43"/>
  <c r="I52" i="43"/>
  <c r="BE50" i="43"/>
  <c r="BE49" i="43"/>
  <c r="BE48" i="43"/>
  <c r="BI47" i="43"/>
  <c r="BH47" i="43"/>
  <c r="BG47" i="43"/>
  <c r="BE47" i="43"/>
  <c r="AL47" i="43"/>
  <c r="AK47" i="43"/>
  <c r="AJ47" i="43"/>
  <c r="AI47" i="43"/>
  <c r="AH47" i="43"/>
  <c r="BI46" i="43"/>
  <c r="BH46" i="43"/>
  <c r="BG46" i="43"/>
  <c r="BE46" i="43"/>
  <c r="AL46" i="43"/>
  <c r="AK46" i="43"/>
  <c r="AJ46" i="43"/>
  <c r="AI46" i="43"/>
  <c r="AH46" i="43"/>
  <c r="BI45" i="43"/>
  <c r="BH45" i="43"/>
  <c r="BG45" i="43"/>
  <c r="BE45" i="43"/>
  <c r="AL45" i="43"/>
  <c r="AK45" i="43"/>
  <c r="AJ45" i="43"/>
  <c r="AI45" i="43"/>
  <c r="AH45" i="43"/>
  <c r="BG44" i="43"/>
  <c r="BE44" i="43"/>
  <c r="BG43" i="43"/>
  <c r="BE43" i="43"/>
  <c r="BD40" i="43"/>
  <c r="BC40" i="43"/>
  <c r="BB40" i="43"/>
  <c r="Y40" i="43"/>
  <c r="S40" i="43"/>
  <c r="R40" i="43"/>
  <c r="P40" i="43"/>
  <c r="O40" i="43"/>
  <c r="N40" i="43"/>
  <c r="M40" i="43"/>
  <c r="L40" i="43"/>
  <c r="K40" i="43"/>
  <c r="J40" i="43"/>
  <c r="BA39" i="43"/>
  <c r="AW39" i="43" s="1"/>
  <c r="AX39" i="43" s="1"/>
  <c r="AZ39" i="43"/>
  <c r="AV39" i="43"/>
  <c r="AU39" i="43"/>
  <c r="I39" i="43"/>
  <c r="C39" i="43" s="1"/>
  <c r="BA38" i="43"/>
  <c r="AZ38" i="43"/>
  <c r="AV38" i="43"/>
  <c r="AU38" i="43"/>
  <c r="J38" i="43"/>
  <c r="I38" i="43"/>
  <c r="C38" i="43" s="1"/>
  <c r="D38" i="43" s="1"/>
  <c r="AZ37" i="43"/>
  <c r="AV37" i="43"/>
  <c r="AU37" i="43"/>
  <c r="N37" i="43"/>
  <c r="BA37" i="43"/>
  <c r="J37" i="43"/>
  <c r="I37" i="43"/>
  <c r="C37" i="43" s="1"/>
  <c r="AZ36" i="43"/>
  <c r="AV36" i="43"/>
  <c r="AU36" i="43"/>
  <c r="N36" i="43"/>
  <c r="BA36" i="43" s="1"/>
  <c r="J36" i="43"/>
  <c r="I36" i="43"/>
  <c r="AG35" i="43"/>
  <c r="AG41" i="43"/>
  <c r="AF35" i="43"/>
  <c r="AF41" i="43"/>
  <c r="AE35" i="43"/>
  <c r="AE41" i="43" s="1"/>
  <c r="AD35" i="43"/>
  <c r="AD41" i="43" s="1"/>
  <c r="BJ34" i="43"/>
  <c r="BI34" i="43"/>
  <c r="BI48" i="43"/>
  <c r="BH34" i="43"/>
  <c r="BH35" i="43"/>
  <c r="BG34" i="43"/>
  <c r="BG48" i="43"/>
  <c r="AL34" i="43"/>
  <c r="AL59" i="43" s="1"/>
  <c r="AL60" i="43" s="1"/>
  <c r="AL65" i="43" s="1"/>
  <c r="AK34" i="43"/>
  <c r="AJ34" i="43"/>
  <c r="AJ59" i="43"/>
  <c r="AJ60" i="43" s="1"/>
  <c r="AJ65" i="43" s="1"/>
  <c r="AI34" i="43"/>
  <c r="AI35" i="43"/>
  <c r="AH34" i="43"/>
  <c r="AH48" i="43" s="1"/>
  <c r="AC34" i="43"/>
  <c r="AC59" i="43" s="1"/>
  <c r="AC63" i="43" s="1"/>
  <c r="AB34" i="43"/>
  <c r="AA34" i="43"/>
  <c r="AA59" i="43"/>
  <c r="Z34" i="43"/>
  <c r="Z59" i="43"/>
  <c r="U34" i="43"/>
  <c r="AV32" i="43"/>
  <c r="AU32" i="43"/>
  <c r="Y32" i="43"/>
  <c r="BA31" i="43"/>
  <c r="AW31" i="43" s="1"/>
  <c r="AX31" i="43" s="1"/>
  <c r="AV31" i="43"/>
  <c r="AU31" i="43"/>
  <c r="C31" i="43"/>
  <c r="BD30" i="43"/>
  <c r="BC30" i="43"/>
  <c r="BB30" i="43"/>
  <c r="S30" i="43"/>
  <c r="R30" i="43"/>
  <c r="Q30" i="43"/>
  <c r="P30" i="43"/>
  <c r="O30" i="43"/>
  <c r="N30" i="43"/>
  <c r="M30" i="43"/>
  <c r="L30" i="43"/>
  <c r="K30" i="43"/>
  <c r="J30" i="43"/>
  <c r="I30" i="43"/>
  <c r="BD29" i="43"/>
  <c r="BC29" i="43"/>
  <c r="BB29" i="43"/>
  <c r="Y29" i="43"/>
  <c r="S29" i="43"/>
  <c r="R29" i="43"/>
  <c r="Q29" i="43"/>
  <c r="P29" i="43"/>
  <c r="O29" i="43"/>
  <c r="N29" i="43"/>
  <c r="M29" i="43"/>
  <c r="L29" i="43"/>
  <c r="K29" i="43"/>
  <c r="J29" i="43"/>
  <c r="I29" i="43"/>
  <c r="BD28" i="43"/>
  <c r="BC28" i="43"/>
  <c r="BB28" i="43"/>
  <c r="Y28" i="43"/>
  <c r="S28" i="43"/>
  <c r="R28" i="43"/>
  <c r="Q28" i="43"/>
  <c r="P28" i="43"/>
  <c r="O28" i="43"/>
  <c r="N28" i="43"/>
  <c r="M28" i="43"/>
  <c r="L28" i="43"/>
  <c r="K28" i="43"/>
  <c r="J28" i="43"/>
  <c r="I28" i="43"/>
  <c r="BD27" i="43"/>
  <c r="BC27" i="43"/>
  <c r="BB27" i="43"/>
  <c r="Y27" i="43"/>
  <c r="S27" i="43"/>
  <c r="R27" i="43"/>
  <c r="Q27" i="43"/>
  <c r="P27" i="43"/>
  <c r="O27" i="43"/>
  <c r="N27" i="43"/>
  <c r="M27" i="43"/>
  <c r="L27" i="43"/>
  <c r="K27" i="43"/>
  <c r="J27" i="43"/>
  <c r="I27" i="43"/>
  <c r="BD26" i="43"/>
  <c r="BC26" i="43"/>
  <c r="BB26" i="43"/>
  <c r="Y26" i="43"/>
  <c r="S26" i="43"/>
  <c r="R26" i="43"/>
  <c r="Q26" i="43"/>
  <c r="P26" i="43"/>
  <c r="O26" i="43"/>
  <c r="N26" i="43"/>
  <c r="M26" i="43"/>
  <c r="L26" i="43"/>
  <c r="K26" i="43"/>
  <c r="J26" i="43"/>
  <c r="I26" i="43"/>
  <c r="BD25" i="43"/>
  <c r="BC25" i="43"/>
  <c r="BB25" i="43"/>
  <c r="Y25" i="43"/>
  <c r="S25" i="43"/>
  <c r="R25" i="43"/>
  <c r="Q25" i="43"/>
  <c r="P25" i="43"/>
  <c r="O25" i="43"/>
  <c r="N25" i="43"/>
  <c r="M25" i="43"/>
  <c r="L25" i="43"/>
  <c r="K25" i="43"/>
  <c r="J25" i="43"/>
  <c r="I25" i="43"/>
  <c r="BD24" i="43"/>
  <c r="BC24" i="43"/>
  <c r="BB24" i="43"/>
  <c r="Y24" i="43"/>
  <c r="S24" i="43"/>
  <c r="R24" i="43"/>
  <c r="Q24" i="43"/>
  <c r="P24" i="43"/>
  <c r="O24" i="43"/>
  <c r="N24" i="43"/>
  <c r="M24" i="43"/>
  <c r="L24" i="43"/>
  <c r="K24" i="43"/>
  <c r="J24" i="43"/>
  <c r="I24" i="43"/>
  <c r="BD23" i="43"/>
  <c r="BC23" i="43"/>
  <c r="BB23" i="43"/>
  <c r="Y23" i="43"/>
  <c r="S23" i="43"/>
  <c r="R23" i="43"/>
  <c r="Q23" i="43"/>
  <c r="P23" i="43"/>
  <c r="O23" i="43"/>
  <c r="N23" i="43"/>
  <c r="M23" i="43"/>
  <c r="L23" i="43"/>
  <c r="K23" i="43"/>
  <c r="J23" i="43"/>
  <c r="I23" i="43"/>
  <c r="BD22" i="43"/>
  <c r="BC22" i="43"/>
  <c r="BB22" i="43"/>
  <c r="Y22" i="43"/>
  <c r="S22" i="43"/>
  <c r="R22" i="43"/>
  <c r="P22" i="43"/>
  <c r="O22" i="43"/>
  <c r="N22" i="43"/>
  <c r="M22" i="43"/>
  <c r="L22" i="43"/>
  <c r="K22" i="43"/>
  <c r="J22" i="43"/>
  <c r="I22" i="43"/>
  <c r="BA21" i="43"/>
  <c r="AX21" i="43" s="1"/>
  <c r="AZ21" i="43"/>
  <c r="BD20" i="43"/>
  <c r="BC20" i="43"/>
  <c r="BB20" i="43"/>
  <c r="Y20" i="43"/>
  <c r="S20" i="43"/>
  <c r="R20" i="43"/>
  <c r="Q20" i="43"/>
  <c r="P20" i="43"/>
  <c r="O20" i="43"/>
  <c r="N20" i="43"/>
  <c r="M20" i="43"/>
  <c r="L20" i="43"/>
  <c r="K20" i="43"/>
  <c r="J20" i="43"/>
  <c r="I20" i="43"/>
  <c r="T19" i="43"/>
  <c r="T34" i="43"/>
  <c r="BD18" i="43"/>
  <c r="BC18" i="43"/>
  <c r="BB18" i="43"/>
  <c r="Y18" i="43"/>
  <c r="S18" i="43"/>
  <c r="R18" i="43"/>
  <c r="Q18" i="43"/>
  <c r="P18" i="43"/>
  <c r="O18" i="43"/>
  <c r="N18" i="43"/>
  <c r="M18" i="43"/>
  <c r="L18" i="43"/>
  <c r="K18" i="43"/>
  <c r="J18" i="43"/>
  <c r="I18" i="43"/>
  <c r="BD17" i="43"/>
  <c r="BC17" i="43"/>
  <c r="BB17" i="43"/>
  <c r="Q17" i="43"/>
  <c r="P17" i="43"/>
  <c r="O17" i="43"/>
  <c r="N17" i="43"/>
  <c r="M17" i="43"/>
  <c r="L17" i="43"/>
  <c r="K17" i="43"/>
  <c r="J17" i="43"/>
  <c r="I17" i="43"/>
  <c r="BJ15" i="43"/>
  <c r="BJ47" i="43"/>
  <c r="AC15" i="43"/>
  <c r="AC46" i="43"/>
  <c r="AB15" i="43"/>
  <c r="AB58" i="43" s="1"/>
  <c r="AA15" i="43"/>
  <c r="AA43" i="43" s="1"/>
  <c r="Z15" i="43"/>
  <c r="J15" i="43"/>
  <c r="J58" i="43" s="1"/>
  <c r="BD14" i="43"/>
  <c r="BD15" i="43" s="1"/>
  <c r="BC14" i="43"/>
  <c r="BC15" i="43" s="1"/>
  <c r="BB14" i="43"/>
  <c r="BB15" i="43" s="1"/>
  <c r="S14" i="43"/>
  <c r="S15" i="43" s="1"/>
  <c r="R14" i="43"/>
  <c r="R15" i="43" s="1"/>
  <c r="R58" i="43" s="1"/>
  <c r="Q14" i="43"/>
  <c r="Q15" i="43" s="1"/>
  <c r="Q58" i="43" s="1"/>
  <c r="O14" i="43"/>
  <c r="O15" i="43" s="1"/>
  <c r="O58" i="43" s="1"/>
  <c r="N14" i="43"/>
  <c r="N15" i="43" s="1"/>
  <c r="M14" i="43"/>
  <c r="L14" i="43"/>
  <c r="L15" i="43" s="1"/>
  <c r="L58" i="43" s="1"/>
  <c r="K14" i="43"/>
  <c r="I14" i="43"/>
  <c r="I264" i="47"/>
  <c r="I261" i="47"/>
  <c r="I259" i="47"/>
  <c r="I25" i="47"/>
  <c r="F18" i="47"/>
  <c r="F33" i="47"/>
  <c r="E33" i="47"/>
  <c r="F32" i="47"/>
  <c r="E32" i="47"/>
  <c r="F40" i="47"/>
  <c r="F39" i="47"/>
  <c r="D62" i="50"/>
  <c r="P62" i="50"/>
  <c r="F62" i="50"/>
  <c r="H228" i="47"/>
  <c r="J293" i="47"/>
  <c r="E228" i="47"/>
  <c r="G93" i="47"/>
  <c r="G109" i="47" s="1"/>
  <c r="G124" i="47" s="1"/>
  <c r="G145" i="47" s="1"/>
  <c r="G158" i="47" s="1"/>
  <c r="G173" i="47" s="1"/>
  <c r="G199" i="47" s="1"/>
  <c r="G226" i="47" s="1"/>
  <c r="J264" i="47"/>
  <c r="E185" i="47"/>
  <c r="J261" i="47"/>
  <c r="J263" i="47"/>
  <c r="E184" i="47"/>
  <c r="E230" i="47"/>
  <c r="H110" i="47"/>
  <c r="E125" i="47"/>
  <c r="G110" i="47"/>
  <c r="D125" i="47"/>
  <c r="E239" i="47"/>
  <c r="E25" i="47"/>
  <c r="D64" i="26"/>
  <c r="D66" i="26"/>
  <c r="W60" i="33"/>
  <c r="AE60" i="33"/>
  <c r="AW36" i="33"/>
  <c r="AW50" i="33"/>
  <c r="C75" i="13"/>
  <c r="D75" i="13" s="1"/>
  <c r="AO31" i="13"/>
  <c r="AP31" i="13"/>
  <c r="AF36" i="33"/>
  <c r="AF50" i="33" s="1"/>
  <c r="AZ59" i="15"/>
  <c r="AO32" i="15"/>
  <c r="T60" i="33"/>
  <c r="AO33" i="33"/>
  <c r="AP33" i="33"/>
  <c r="F32" i="39"/>
  <c r="F39" i="39"/>
  <c r="AR70" i="15"/>
  <c r="R70" i="39"/>
  <c r="AY60" i="33"/>
  <c r="AO30" i="33"/>
  <c r="AP30" i="33"/>
  <c r="AO32" i="33"/>
  <c r="AP32" i="33"/>
  <c r="AO23" i="15"/>
  <c r="AP23" i="15" s="1"/>
  <c r="P66" i="39"/>
  <c r="P67" i="39"/>
  <c r="C14" i="13"/>
  <c r="D14" i="13"/>
  <c r="AO29" i="15"/>
  <c r="AP29" i="15"/>
  <c r="BH76" i="43"/>
  <c r="AO67" i="15"/>
  <c r="L75" i="13"/>
  <c r="C14" i="15"/>
  <c r="D14" i="15" s="1"/>
  <c r="AO31" i="33"/>
  <c r="AP31" i="33"/>
  <c r="AO79" i="39"/>
  <c r="AP79" i="39"/>
  <c r="AO70" i="13"/>
  <c r="AP70" i="13"/>
  <c r="AR21" i="15"/>
  <c r="AO21" i="15"/>
  <c r="AP21" i="15" s="1"/>
  <c r="AO65" i="15"/>
  <c r="AP65" i="15" s="1"/>
  <c r="AO68" i="15"/>
  <c r="AP68" i="15"/>
  <c r="AN14" i="15"/>
  <c r="AN17" i="15"/>
  <c r="AN45" i="15" s="1"/>
  <c r="AO31" i="15"/>
  <c r="AO27" i="13"/>
  <c r="AP27" i="13"/>
  <c r="AM77" i="13"/>
  <c r="AO30" i="15"/>
  <c r="AP30" i="15" s="1"/>
  <c r="C70" i="15"/>
  <c r="D70" i="15"/>
  <c r="R49" i="33"/>
  <c r="AO69" i="13"/>
  <c r="AP69" i="13" s="1"/>
  <c r="AO26" i="33"/>
  <c r="AP26" i="33" s="1"/>
  <c r="AO66" i="15"/>
  <c r="AP66" i="15" s="1"/>
  <c r="S17" i="43"/>
  <c r="AO67" i="33"/>
  <c r="AP67" i="33"/>
  <c r="AR20" i="13"/>
  <c r="AR35" i="13" s="1"/>
  <c r="AO24" i="33"/>
  <c r="AP24" i="33"/>
  <c r="AO72" i="15"/>
  <c r="AP72" i="15"/>
  <c r="E64" i="26"/>
  <c r="E66" i="26" s="1"/>
  <c r="B83" i="26"/>
  <c r="B85" i="26" s="1"/>
  <c r="AO14" i="13"/>
  <c r="AP14" i="13"/>
  <c r="AT47" i="13"/>
  <c r="AO71" i="13"/>
  <c r="AP71" i="13"/>
  <c r="AD82" i="33"/>
  <c r="AO19" i="15"/>
  <c r="AP19" i="15"/>
  <c r="AO24" i="15"/>
  <c r="AP24" i="15" s="1"/>
  <c r="C83" i="26"/>
  <c r="C85" i="26"/>
  <c r="X82" i="33"/>
  <c r="AO73" i="13"/>
  <c r="AP73" i="13"/>
  <c r="AZ60" i="33"/>
  <c r="AM27" i="15"/>
  <c r="AM34" i="15"/>
  <c r="AM82" i="39"/>
  <c r="AO29" i="13"/>
  <c r="AP29" i="13"/>
  <c r="AN75" i="13"/>
  <c r="AY75" i="13"/>
  <c r="AO28" i="33"/>
  <c r="AP28" i="33"/>
  <c r="BA60" i="33"/>
  <c r="AY59" i="15"/>
  <c r="K34" i="15"/>
  <c r="K58" i="15"/>
  <c r="P35" i="15"/>
  <c r="P49" i="15" s="1"/>
  <c r="P57" i="15"/>
  <c r="P46" i="15"/>
  <c r="P45" i="15"/>
  <c r="AT47" i="33"/>
  <c r="AB46" i="43"/>
  <c r="AI48" i="43"/>
  <c r="AR82" i="39"/>
  <c r="AM74" i="13"/>
  <c r="C77" i="13"/>
  <c r="D77" i="13" s="1"/>
  <c r="AU35" i="33"/>
  <c r="AU59" i="33"/>
  <c r="W36" i="33"/>
  <c r="W50" i="33" s="1"/>
  <c r="I40" i="33"/>
  <c r="C40" i="33"/>
  <c r="AW44" i="33"/>
  <c r="AW45" i="33"/>
  <c r="O47" i="33"/>
  <c r="AF49" i="33"/>
  <c r="X58" i="33"/>
  <c r="W82" i="33"/>
  <c r="L35" i="15"/>
  <c r="L49" i="15"/>
  <c r="T46" i="15"/>
  <c r="C51" i="15"/>
  <c r="D51" i="15" s="1"/>
  <c r="AM70" i="15"/>
  <c r="AA44" i="43"/>
  <c r="BG59" i="43"/>
  <c r="BG60" i="43"/>
  <c r="BG65" i="43" s="1"/>
  <c r="T66" i="39"/>
  <c r="T71" i="39" s="1"/>
  <c r="I40" i="13"/>
  <c r="C40" i="13" s="1"/>
  <c r="J16" i="33"/>
  <c r="J58" i="33" s="1"/>
  <c r="AR58" i="33" s="1"/>
  <c r="Z36" i="33"/>
  <c r="Z50" i="33"/>
  <c r="O45" i="33"/>
  <c r="P46" i="33"/>
  <c r="P47" i="33"/>
  <c r="P48" i="33"/>
  <c r="AY50" i="33"/>
  <c r="Z58" i="33"/>
  <c r="Z60" i="33"/>
  <c r="AR69" i="33"/>
  <c r="AO69" i="33"/>
  <c r="AP69" i="33"/>
  <c r="AY35" i="15"/>
  <c r="H43" i="15"/>
  <c r="T47" i="15"/>
  <c r="F41" i="47"/>
  <c r="AB44" i="43"/>
  <c r="BJ46" i="43"/>
  <c r="BI59" i="43"/>
  <c r="BI64" i="43"/>
  <c r="AM19" i="39"/>
  <c r="AM31" i="39"/>
  <c r="W45" i="33"/>
  <c r="R46" i="33"/>
  <c r="R47" i="33"/>
  <c r="AE48" i="33"/>
  <c r="AF58" i="33"/>
  <c r="AF60" i="33" s="1"/>
  <c r="AS45" i="15"/>
  <c r="E78" i="26"/>
  <c r="E83" i="26"/>
  <c r="D83" i="26"/>
  <c r="P69" i="39"/>
  <c r="AM13" i="13"/>
  <c r="AM16" i="13" s="1"/>
  <c r="AM45" i="13" s="1"/>
  <c r="AN28" i="13"/>
  <c r="X44" i="33"/>
  <c r="X45" i="33"/>
  <c r="W47" i="33"/>
  <c r="AX48" i="33"/>
  <c r="AH58" i="33"/>
  <c r="AH60" i="33" s="1"/>
  <c r="AF82" i="33"/>
  <c r="I17" i="15"/>
  <c r="C17" i="15" s="1"/>
  <c r="D17" i="15" s="1"/>
  <c r="AO27" i="15"/>
  <c r="AP27" i="15" s="1"/>
  <c r="R43" i="15"/>
  <c r="BA59" i="15"/>
  <c r="AN70" i="15"/>
  <c r="I70" i="47"/>
  <c r="Q70" i="47" s="1"/>
  <c r="B51" i="26"/>
  <c r="AA47" i="43"/>
  <c r="AI59" i="43"/>
  <c r="P70" i="39"/>
  <c r="AN13" i="13"/>
  <c r="AN16" i="13"/>
  <c r="AN45" i="13" s="1"/>
  <c r="AO22" i="13"/>
  <c r="AP22" i="13"/>
  <c r="AO28" i="13"/>
  <c r="AP28" i="13"/>
  <c r="AC44" i="33"/>
  <c r="X46" i="33"/>
  <c r="Z47" i="33"/>
  <c r="P49" i="33"/>
  <c r="AX58" i="33"/>
  <c r="AX60" i="33"/>
  <c r="R59" i="33"/>
  <c r="AO33" i="15"/>
  <c r="R47" i="15"/>
  <c r="I39" i="15"/>
  <c r="C39" i="15" s="1"/>
  <c r="S43" i="15"/>
  <c r="S44" i="15"/>
  <c r="S45" i="15"/>
  <c r="K70" i="47"/>
  <c r="B110" i="26"/>
  <c r="B112" i="26" s="1"/>
  <c r="I21" i="33" s="1"/>
  <c r="I19" i="33" s="1"/>
  <c r="AA48" i="43"/>
  <c r="AB47" i="43"/>
  <c r="BJ63" i="43"/>
  <c r="R32" i="39"/>
  <c r="R39" i="39" s="1"/>
  <c r="AO77" i="39"/>
  <c r="AP77" i="39" s="1"/>
  <c r="AZ36" i="13"/>
  <c r="AZ42" i="13" s="1"/>
  <c r="AT46" i="13"/>
  <c r="AO72" i="13"/>
  <c r="AP72" i="13"/>
  <c r="AN23" i="33"/>
  <c r="AN35" i="33" s="1"/>
  <c r="AN36" i="33" s="1"/>
  <c r="AN50" i="33" s="1"/>
  <c r="AO25" i="33"/>
  <c r="AP25" i="33"/>
  <c r="X36" i="33"/>
  <c r="X50" i="33"/>
  <c r="AX49" i="33"/>
  <c r="AE44" i="33"/>
  <c r="AF45" i="33"/>
  <c r="AE46" i="33"/>
  <c r="AE47" i="33"/>
  <c r="O17" i="15"/>
  <c r="O43" i="15"/>
  <c r="S35" i="15"/>
  <c r="S49" i="15" s="1"/>
  <c r="T43" i="15"/>
  <c r="T44" i="15"/>
  <c r="E30" i="26"/>
  <c r="E32" i="26"/>
  <c r="B34" i="26" s="1"/>
  <c r="C110" i="26"/>
  <c r="C112" i="26" s="1"/>
  <c r="AB45" i="43"/>
  <c r="T32" i="39"/>
  <c r="T39" i="39" s="1"/>
  <c r="AO37" i="39"/>
  <c r="AP37" i="39" s="1"/>
  <c r="R66" i="39"/>
  <c r="R67" i="39" s="1"/>
  <c r="AO81" i="39"/>
  <c r="AP81" i="39"/>
  <c r="AO26" i="13"/>
  <c r="AP26" i="13"/>
  <c r="AO27" i="33"/>
  <c r="AP27" i="33" s="1"/>
  <c r="AO29" i="33"/>
  <c r="AP29" i="33" s="1"/>
  <c r="P36" i="33"/>
  <c r="P50" i="33" s="1"/>
  <c r="AF44" i="33"/>
  <c r="AH45" i="33"/>
  <c r="AF46" i="33"/>
  <c r="AF47" i="33"/>
  <c r="X49" i="33"/>
  <c r="R58" i="33"/>
  <c r="X59" i="33"/>
  <c r="AS43" i="15"/>
  <c r="B95" i="26"/>
  <c r="B97" i="26"/>
  <c r="M21" i="33"/>
  <c r="M20" i="33" s="1"/>
  <c r="AC48" i="43"/>
  <c r="C39" i="13"/>
  <c r="R48" i="33"/>
  <c r="AH49" i="33"/>
  <c r="R36" i="33"/>
  <c r="R50" i="33"/>
  <c r="AX46" i="33"/>
  <c r="AH47" i="33"/>
  <c r="Z49" i="33"/>
  <c r="S46" i="15"/>
  <c r="E117" i="26"/>
  <c r="Y17" i="43"/>
  <c r="AO51" i="15"/>
  <c r="AP51" i="15" s="1"/>
  <c r="T58" i="13"/>
  <c r="T60" i="13" s="1"/>
  <c r="T64" i="13" s="1"/>
  <c r="J266" i="47"/>
  <c r="P52" i="43"/>
  <c r="Y30" i="43"/>
  <c r="BH59" i="43"/>
  <c r="BH48" i="43"/>
  <c r="AA63" i="43"/>
  <c r="L48" i="13"/>
  <c r="L44" i="13"/>
  <c r="L46" i="13"/>
  <c r="L36" i="13"/>
  <c r="L42" i="13" s="1"/>
  <c r="L47" i="13"/>
  <c r="L45" i="13"/>
  <c r="L58" i="13"/>
  <c r="L60" i="13" s="1"/>
  <c r="L64" i="13" s="1"/>
  <c r="AI41" i="43"/>
  <c r="AI50" i="43"/>
  <c r="AI49" i="43"/>
  <c r="BH49" i="43"/>
  <c r="BH41" i="43"/>
  <c r="BH50" i="43"/>
  <c r="Q40" i="43"/>
  <c r="AO22" i="33"/>
  <c r="AP22" i="33"/>
  <c r="AR35" i="33"/>
  <c r="AH35" i="43"/>
  <c r="BI35" i="43"/>
  <c r="AJ64" i="43"/>
  <c r="AU45" i="33"/>
  <c r="AU58" i="33"/>
  <c r="AU46" i="33"/>
  <c r="AU44" i="33"/>
  <c r="M15" i="43"/>
  <c r="M58" i="43" s="1"/>
  <c r="AA35" i="43"/>
  <c r="AA45" i="43"/>
  <c r="AC47" i="43"/>
  <c r="AJ48" i="43"/>
  <c r="AA58" i="43"/>
  <c r="AA60" i="43" s="1"/>
  <c r="BB61" i="43"/>
  <c r="AL64" i="43"/>
  <c r="AJ35" i="43"/>
  <c r="AC58" i="43"/>
  <c r="AC60" i="43" s="1"/>
  <c r="AC65" i="43" s="1"/>
  <c r="AH59" i="43"/>
  <c r="M59" i="33"/>
  <c r="AC35" i="43"/>
  <c r="AC45" i="43"/>
  <c r="AL48" i="43"/>
  <c r="BJ58" i="43"/>
  <c r="AL35" i="43"/>
  <c r="AA46" i="43"/>
  <c r="F43" i="47"/>
  <c r="BJ45" i="43"/>
  <c r="AO17" i="39"/>
  <c r="AP17" i="39" s="1"/>
  <c r="AR19" i="39"/>
  <c r="J32" i="39"/>
  <c r="J39" i="39"/>
  <c r="J65" i="39"/>
  <c r="AR13" i="13"/>
  <c r="J16" i="13"/>
  <c r="J46" i="13" s="1"/>
  <c r="R46" i="13"/>
  <c r="R36" i="13"/>
  <c r="R50" i="13" s="1"/>
  <c r="R58" i="13"/>
  <c r="R60" i="13" s="1"/>
  <c r="R47" i="13"/>
  <c r="R45" i="13"/>
  <c r="R44" i="13"/>
  <c r="R48" i="13"/>
  <c r="J303" i="47"/>
  <c r="BG35" i="43"/>
  <c r="AB43" i="43"/>
  <c r="AN30" i="13"/>
  <c r="AS30" i="13"/>
  <c r="AO30" i="13" s="1"/>
  <c r="AP30" i="13" s="1"/>
  <c r="O48" i="13"/>
  <c r="AS82" i="39"/>
  <c r="G43" i="15"/>
  <c r="G57" i="15"/>
  <c r="G59" i="15" s="1"/>
  <c r="G44" i="15"/>
  <c r="U45" i="15"/>
  <c r="U57" i="15"/>
  <c r="U46" i="15"/>
  <c r="U35" i="15"/>
  <c r="U49" i="15"/>
  <c r="U47" i="15"/>
  <c r="G46" i="15"/>
  <c r="H47" i="13"/>
  <c r="N66" i="39"/>
  <c r="N70" i="39"/>
  <c r="S44" i="33"/>
  <c r="S45" i="33"/>
  <c r="S58" i="33"/>
  <c r="S36" i="33"/>
  <c r="S50" i="33"/>
  <c r="S47" i="33"/>
  <c r="AA44" i="33"/>
  <c r="AA45" i="33"/>
  <c r="AA47" i="33"/>
  <c r="AA58" i="33"/>
  <c r="AA36" i="33"/>
  <c r="AA50" i="33" s="1"/>
  <c r="AA46" i="33"/>
  <c r="AA48" i="33"/>
  <c r="AA82" i="33"/>
  <c r="AI44" i="33"/>
  <c r="AI45" i="33"/>
  <c r="AI82" i="33"/>
  <c r="AI48" i="33"/>
  <c r="AI47" i="33"/>
  <c r="AI58" i="33"/>
  <c r="AI46" i="33"/>
  <c r="AI36" i="33"/>
  <c r="AI50" i="33" s="1"/>
  <c r="M59" i="13"/>
  <c r="AR16" i="33"/>
  <c r="AR47" i="33" s="1"/>
  <c r="AO14" i="33"/>
  <c r="AP14" i="33"/>
  <c r="AN64" i="39"/>
  <c r="AY58" i="13"/>
  <c r="AY60" i="13" s="1"/>
  <c r="AY36" i="13"/>
  <c r="AN44" i="33"/>
  <c r="I32" i="39"/>
  <c r="I39" i="39"/>
  <c r="I64" i="39"/>
  <c r="I66" i="39"/>
  <c r="S32" i="39"/>
  <c r="S39" i="39" s="1"/>
  <c r="S65" i="39"/>
  <c r="AN45" i="33"/>
  <c r="AO23" i="33"/>
  <c r="AP23" i="33"/>
  <c r="AS47" i="33"/>
  <c r="AG49" i="33"/>
  <c r="H34" i="15"/>
  <c r="H35" i="15"/>
  <c r="H49" i="15" s="1"/>
  <c r="H45" i="15"/>
  <c r="H46" i="15"/>
  <c r="AT46" i="15"/>
  <c r="AT34" i="15"/>
  <c r="I69" i="39"/>
  <c r="C13" i="13"/>
  <c r="D13" i="13" s="1"/>
  <c r="M16" i="13"/>
  <c r="M49" i="13" s="1"/>
  <c r="C35" i="13"/>
  <c r="D35" i="13"/>
  <c r="I59" i="13"/>
  <c r="S59" i="33"/>
  <c r="S49" i="33"/>
  <c r="S48" i="33"/>
  <c r="AA59" i="33"/>
  <c r="AA49" i="33"/>
  <c r="AI59" i="33"/>
  <c r="AI49" i="33"/>
  <c r="M71" i="33"/>
  <c r="C71" i="33"/>
  <c r="D71" i="33" s="1"/>
  <c r="C65" i="33"/>
  <c r="D65" i="33" s="1"/>
  <c r="AM65" i="33"/>
  <c r="C66" i="33"/>
  <c r="D66" i="33" s="1"/>
  <c r="AR66" i="33"/>
  <c r="AO66" i="33"/>
  <c r="AP66" i="33" s="1"/>
  <c r="AR70" i="33"/>
  <c r="AO70" i="33"/>
  <c r="AP70" i="33" s="1"/>
  <c r="J34" i="15"/>
  <c r="AO18" i="13"/>
  <c r="AP18" i="13"/>
  <c r="AO74" i="13"/>
  <c r="AP74" i="13"/>
  <c r="AR75" i="13"/>
  <c r="Q46" i="33"/>
  <c r="Q58" i="33"/>
  <c r="Q60" i="33" s="1"/>
  <c r="Q36" i="33"/>
  <c r="Q48" i="33"/>
  <c r="Q44" i="33"/>
  <c r="Q47" i="33"/>
  <c r="Y49" i="33"/>
  <c r="Y47" i="33"/>
  <c r="Y46" i="33"/>
  <c r="Y44" i="33"/>
  <c r="Y58" i="33"/>
  <c r="Y60" i="33"/>
  <c r="Y36" i="33"/>
  <c r="Y50" i="33" s="1"/>
  <c r="Y48" i="33"/>
  <c r="AG58" i="33"/>
  <c r="AG60" i="33" s="1"/>
  <c r="AG45" i="33"/>
  <c r="AG47" i="33"/>
  <c r="AG44" i="33"/>
  <c r="AG36" i="33"/>
  <c r="AG50" i="33"/>
  <c r="AG48" i="33"/>
  <c r="AG46" i="33"/>
  <c r="Q45" i="33"/>
  <c r="J59" i="33"/>
  <c r="AN31" i="39"/>
  <c r="AN32" i="39"/>
  <c r="AN39" i="39" s="1"/>
  <c r="K32" i="39"/>
  <c r="K39" i="39"/>
  <c r="AO78" i="39"/>
  <c r="AP78" i="39" s="1"/>
  <c r="C20" i="13"/>
  <c r="D20" i="13"/>
  <c r="AS35" i="33"/>
  <c r="AN71" i="33"/>
  <c r="AO26" i="15"/>
  <c r="AP26" i="15" s="1"/>
  <c r="T70" i="39"/>
  <c r="AO80" i="39"/>
  <c r="AP80" i="39"/>
  <c r="AS13" i="13"/>
  <c r="AS16" i="13"/>
  <c r="AS48" i="13" s="1"/>
  <c r="AO23" i="13"/>
  <c r="AP23" i="13" s="1"/>
  <c r="G49" i="13"/>
  <c r="G59" i="13"/>
  <c r="AS44" i="33"/>
  <c r="AS46" i="33"/>
  <c r="AS45" i="33"/>
  <c r="AX36" i="33"/>
  <c r="AX50" i="33" s="1"/>
  <c r="T48" i="15"/>
  <c r="T35" i="15"/>
  <c r="T49" i="15"/>
  <c r="T58" i="15"/>
  <c r="F70" i="47"/>
  <c r="P70" i="47" s="1"/>
  <c r="U65" i="39"/>
  <c r="U70" i="39" s="1"/>
  <c r="U32" i="39"/>
  <c r="U39" i="39" s="1"/>
  <c r="N69" i="39"/>
  <c r="AS64" i="39"/>
  <c r="I36" i="13"/>
  <c r="I42" i="13" s="1"/>
  <c r="I44" i="13"/>
  <c r="AS21" i="13"/>
  <c r="AO21" i="13"/>
  <c r="AP21" i="13" s="1"/>
  <c r="O35" i="13"/>
  <c r="AN21" i="13"/>
  <c r="C52" i="13"/>
  <c r="D52" i="13" s="1"/>
  <c r="AS75" i="13"/>
  <c r="AT44" i="33"/>
  <c r="AT45" i="33"/>
  <c r="AT58" i="33"/>
  <c r="AT46" i="33"/>
  <c r="L48" i="15"/>
  <c r="L47" i="15"/>
  <c r="L58" i="15"/>
  <c r="L59" i="15"/>
  <c r="U58" i="15"/>
  <c r="U48" i="15"/>
  <c r="AR15" i="39"/>
  <c r="AO14" i="39"/>
  <c r="M64" i="39"/>
  <c r="R69" i="39"/>
  <c r="S48" i="13"/>
  <c r="U49" i="13"/>
  <c r="U59" i="13"/>
  <c r="U36" i="13"/>
  <c r="Y82" i="33"/>
  <c r="AG82" i="33"/>
  <c r="K17" i="15"/>
  <c r="AM14" i="15"/>
  <c r="AM17" i="15"/>
  <c r="AM44" i="15" s="1"/>
  <c r="AO76" i="39"/>
  <c r="AP76" i="39"/>
  <c r="R49" i="13"/>
  <c r="R62" i="13"/>
  <c r="AV58" i="33"/>
  <c r="AV60" i="33" s="1"/>
  <c r="AV47" i="33"/>
  <c r="AV46" i="33"/>
  <c r="AV45" i="33"/>
  <c r="AV36" i="33"/>
  <c r="AV44" i="33"/>
  <c r="AT35" i="33"/>
  <c r="AZ42" i="33"/>
  <c r="AS71" i="33"/>
  <c r="H57" i="15"/>
  <c r="Q45" i="15"/>
  <c r="Q57" i="15"/>
  <c r="Q59" i="15" s="1"/>
  <c r="Q46" i="15"/>
  <c r="Q44" i="15"/>
  <c r="Q35" i="15"/>
  <c r="M45" i="15"/>
  <c r="C45" i="15" s="1"/>
  <c r="M57" i="15"/>
  <c r="M46" i="15"/>
  <c r="M44" i="15"/>
  <c r="M43" i="15"/>
  <c r="M35" i="15"/>
  <c r="U58" i="13"/>
  <c r="U47" i="13"/>
  <c r="L49" i="13"/>
  <c r="U48" i="13"/>
  <c r="T59" i="13"/>
  <c r="AO77" i="13"/>
  <c r="AP77" i="13" s="1"/>
  <c r="K16" i="33"/>
  <c r="K49" i="33" s="1"/>
  <c r="T45" i="33"/>
  <c r="T48" i="33"/>
  <c r="T47" i="33"/>
  <c r="T46" i="33"/>
  <c r="T36" i="33"/>
  <c r="T50" i="33" s="1"/>
  <c r="T44" i="33"/>
  <c r="AB45" i="33"/>
  <c r="AB48" i="33"/>
  <c r="AB47" i="33"/>
  <c r="AB46" i="33"/>
  <c r="AB36" i="33"/>
  <c r="AB50" i="33" s="1"/>
  <c r="AB58" i="33"/>
  <c r="AB60" i="33"/>
  <c r="AB44" i="33"/>
  <c r="AJ45" i="33"/>
  <c r="AJ48" i="33"/>
  <c r="AJ47" i="33"/>
  <c r="AJ46" i="33"/>
  <c r="AJ36" i="33"/>
  <c r="AJ50" i="33" s="1"/>
  <c r="AJ58" i="33"/>
  <c r="AJ60" i="33"/>
  <c r="AB82" i="33"/>
  <c r="AO19" i="13"/>
  <c r="AP19" i="13"/>
  <c r="AO25" i="13"/>
  <c r="AP25" i="13"/>
  <c r="C14" i="33"/>
  <c r="D14" i="33"/>
  <c r="M16" i="33"/>
  <c r="M36" i="33" s="1"/>
  <c r="N16" i="33"/>
  <c r="N49" i="33" s="1"/>
  <c r="V49" i="33"/>
  <c r="V48" i="33"/>
  <c r="V47" i="33"/>
  <c r="V46" i="33"/>
  <c r="V58" i="33"/>
  <c r="V60" i="33"/>
  <c r="V36" i="33"/>
  <c r="V50" i="33"/>
  <c r="AD49" i="33"/>
  <c r="AD48" i="33"/>
  <c r="AD47" i="33"/>
  <c r="AD46" i="33"/>
  <c r="AD58" i="33"/>
  <c r="AD60" i="33"/>
  <c r="AD44" i="33"/>
  <c r="AD45" i="33"/>
  <c r="AN46" i="33"/>
  <c r="AD36" i="33"/>
  <c r="AD50" i="33" s="1"/>
  <c r="V45" i="33"/>
  <c r="AJ82" i="33"/>
  <c r="AS15" i="15"/>
  <c r="AO15" i="15" s="1"/>
  <c r="AP15" i="15" s="1"/>
  <c r="N17" i="15"/>
  <c r="N47" i="15"/>
  <c r="R58" i="15"/>
  <c r="R59" i="15" s="1"/>
  <c r="AT59" i="15" s="1"/>
  <c r="R48" i="15"/>
  <c r="R35" i="15"/>
  <c r="R49" i="15"/>
  <c r="AO24" i="13"/>
  <c r="AP24" i="13"/>
  <c r="L62" i="13"/>
  <c r="U49" i="33"/>
  <c r="U59" i="33"/>
  <c r="AC49" i="33"/>
  <c r="AC59" i="33"/>
  <c r="AK49" i="33"/>
  <c r="AK59" i="33"/>
  <c r="AS20" i="13"/>
  <c r="U48" i="33"/>
  <c r="U47" i="33"/>
  <c r="U46" i="33"/>
  <c r="U36" i="33"/>
  <c r="U50" i="33"/>
  <c r="U58" i="33"/>
  <c r="AC48" i="33"/>
  <c r="AC47" i="33"/>
  <c r="AC46" i="33"/>
  <c r="AC36" i="33"/>
  <c r="AC50" i="33" s="1"/>
  <c r="AC58" i="33"/>
  <c r="AK48" i="33"/>
  <c r="AK47" i="33"/>
  <c r="AK46" i="33"/>
  <c r="AK36" i="33"/>
  <c r="AK50" i="33"/>
  <c r="AK58" i="33"/>
  <c r="W44" i="33"/>
  <c r="P45" i="33"/>
  <c r="Z45" i="33"/>
  <c r="W46" i="33"/>
  <c r="AH46" i="33"/>
  <c r="AF48" i="33"/>
  <c r="Q49" i="33"/>
  <c r="AE49" i="33"/>
  <c r="K59" i="33"/>
  <c r="AT71" i="33"/>
  <c r="AO73" i="33"/>
  <c r="AC82" i="33"/>
  <c r="AT47" i="15"/>
  <c r="M47" i="15"/>
  <c r="M58" i="15"/>
  <c r="J35" i="13"/>
  <c r="AW58" i="33"/>
  <c r="AW60" i="33" s="1"/>
  <c r="AW48" i="33"/>
  <c r="AW47" i="33"/>
  <c r="AW46" i="33"/>
  <c r="AE36" i="33"/>
  <c r="AE50" i="33"/>
  <c r="O44" i="33"/>
  <c r="AK44" i="33"/>
  <c r="R45" i="33"/>
  <c r="X47" i="33"/>
  <c r="W48" i="33"/>
  <c r="AH48" i="33"/>
  <c r="P58" i="33"/>
  <c r="P60" i="33"/>
  <c r="K71" i="33"/>
  <c r="AH82" i="33"/>
  <c r="C15" i="15"/>
  <c r="D15" i="15"/>
  <c r="F46" i="15"/>
  <c r="F34" i="15"/>
  <c r="F35" i="15"/>
  <c r="F49" i="15" s="1"/>
  <c r="P44" i="15"/>
  <c r="F45" i="15"/>
  <c r="K65" i="47"/>
  <c r="Q65" i="47"/>
  <c r="AM35" i="33"/>
  <c r="AU47" i="33"/>
  <c r="U45" i="33"/>
  <c r="AE45" i="33"/>
  <c r="O46" i="33"/>
  <c r="Z46" i="33"/>
  <c r="W49" i="33"/>
  <c r="L71" i="33"/>
  <c r="AO68" i="33"/>
  <c r="AP68" i="33"/>
  <c r="U82" i="33"/>
  <c r="J17" i="15"/>
  <c r="J45" i="15" s="1"/>
  <c r="AR14" i="15"/>
  <c r="F57" i="15"/>
  <c r="F44" i="15"/>
  <c r="F43" i="15"/>
  <c r="G34" i="15"/>
  <c r="G35" i="15" s="1"/>
  <c r="G49" i="15" s="1"/>
  <c r="G45" i="15"/>
  <c r="P43" i="15"/>
  <c r="M48" i="15"/>
  <c r="T49" i="33"/>
  <c r="AB49" i="33"/>
  <c r="AJ49" i="33"/>
  <c r="AH36" i="33"/>
  <c r="AH50" i="33"/>
  <c r="Z48" i="33"/>
  <c r="AM66" i="33"/>
  <c r="AM70" i="33"/>
  <c r="AE82" i="33"/>
  <c r="Z82" i="33"/>
  <c r="AK82" i="33"/>
  <c r="L45" i="15"/>
  <c r="L46" i="15"/>
  <c r="L44" i="15"/>
  <c r="L43" i="15"/>
  <c r="I34" i="15"/>
  <c r="C21" i="15"/>
  <c r="D21" i="15"/>
  <c r="AO25" i="15"/>
  <c r="AP25" i="15" s="1"/>
  <c r="S47" i="15"/>
  <c r="S58" i="15"/>
  <c r="S59" i="15"/>
  <c r="S48" i="15"/>
  <c r="N58" i="15"/>
  <c r="R57" i="15"/>
  <c r="R46" i="15"/>
  <c r="R44" i="15"/>
  <c r="AS22" i="15"/>
  <c r="O34" i="15"/>
  <c r="AN34" i="15"/>
  <c r="Q48" i="15"/>
  <c r="AV48" i="33"/>
  <c r="AV49" i="33"/>
  <c r="N59" i="33"/>
  <c r="P48" i="15"/>
  <c r="P47" i="15"/>
  <c r="T57" i="15"/>
  <c r="P58" i="15"/>
  <c r="AO69" i="15"/>
  <c r="AP69" i="15" s="1"/>
  <c r="AW49" i="33"/>
  <c r="Q47" i="15"/>
  <c r="D102" i="26"/>
  <c r="D95" i="26"/>
  <c r="B64" i="26"/>
  <c r="B66" i="26"/>
  <c r="C102" i="26"/>
  <c r="C11" i="26"/>
  <c r="C14" i="26"/>
  <c r="C16" i="26" s="1"/>
  <c r="B18" i="26" s="1"/>
  <c r="D117" i="26"/>
  <c r="D110" i="26"/>
  <c r="D112" i="26"/>
  <c r="B114" i="26" s="1"/>
  <c r="E95" i="26"/>
  <c r="E97" i="26"/>
  <c r="J21" i="33"/>
  <c r="J296" i="47"/>
  <c r="E213" i="47"/>
  <c r="E214" i="47"/>
  <c r="E41" i="47"/>
  <c r="E201" i="47"/>
  <c r="G125" i="47"/>
  <c r="G146" i="47" s="1"/>
  <c r="G159" i="47" s="1"/>
  <c r="G174" i="47" s="1"/>
  <c r="G200" i="47" s="1"/>
  <c r="G227" i="47" s="1"/>
  <c r="D146" i="47"/>
  <c r="D159" i="47" s="1"/>
  <c r="D174" i="47" s="1"/>
  <c r="D200" i="47" s="1"/>
  <c r="D227" i="47" s="1"/>
  <c r="H125" i="47"/>
  <c r="H146" i="47"/>
  <c r="H159" i="47" s="1"/>
  <c r="H174" i="47" s="1"/>
  <c r="H200" i="47" s="1"/>
  <c r="H227" i="47" s="1"/>
  <c r="E146" i="47"/>
  <c r="E159" i="47" s="1"/>
  <c r="E174" i="47" s="1"/>
  <c r="E200" i="47" s="1"/>
  <c r="E227" i="47" s="1"/>
  <c r="I45" i="15"/>
  <c r="P71" i="39"/>
  <c r="AU36" i="33"/>
  <c r="AU42" i="33" s="1"/>
  <c r="R60" i="33"/>
  <c r="I18" i="33"/>
  <c r="I20" i="33"/>
  <c r="C20" i="33"/>
  <c r="D20" i="33" s="1"/>
  <c r="AO82" i="39"/>
  <c r="AP82" i="39" s="1"/>
  <c r="P41" i="15"/>
  <c r="I57" i="15"/>
  <c r="I59" i="15" s="1"/>
  <c r="C59" i="15" s="1"/>
  <c r="D59" i="15" s="1"/>
  <c r="AR34" i="15"/>
  <c r="K48" i="15"/>
  <c r="AZ50" i="13"/>
  <c r="I43" i="15"/>
  <c r="C43" i="15"/>
  <c r="AO20" i="13"/>
  <c r="AP20" i="13" s="1"/>
  <c r="I44" i="15"/>
  <c r="C44" i="15"/>
  <c r="I46" i="15"/>
  <c r="C46" i="15" s="1"/>
  <c r="L41" i="15"/>
  <c r="AN43" i="15"/>
  <c r="AN46" i="15"/>
  <c r="AN44" i="15"/>
  <c r="AM44" i="13"/>
  <c r="P59" i="15"/>
  <c r="J46" i="33"/>
  <c r="AN46" i="13"/>
  <c r="AN47" i="13"/>
  <c r="I70" i="39"/>
  <c r="K47" i="15"/>
  <c r="AN47" i="33"/>
  <c r="P42" i="33"/>
  <c r="O44" i="15"/>
  <c r="AU48" i="33"/>
  <c r="AM45" i="15"/>
  <c r="AN35" i="13"/>
  <c r="AU49" i="33"/>
  <c r="AM59" i="33"/>
  <c r="BG64" i="43"/>
  <c r="AU60" i="33"/>
  <c r="O46" i="15"/>
  <c r="R71" i="39"/>
  <c r="O57" i="15"/>
  <c r="AN57" i="15" s="1"/>
  <c r="AN59" i="15" s="1"/>
  <c r="BI60" i="43"/>
  <c r="BI65" i="43" s="1"/>
  <c r="O45" i="15"/>
  <c r="K46" i="15"/>
  <c r="AK60" i="33"/>
  <c r="AC64" i="43"/>
  <c r="AM35" i="15"/>
  <c r="AM49" i="15" s="1"/>
  <c r="AY41" i="15"/>
  <c r="AY49" i="15"/>
  <c r="AI60" i="43"/>
  <c r="AI65" i="43" s="1"/>
  <c r="AI64" i="43"/>
  <c r="U60" i="13"/>
  <c r="U64" i="13"/>
  <c r="AC60" i="33"/>
  <c r="D85" i="26"/>
  <c r="O21" i="33"/>
  <c r="AM43" i="15"/>
  <c r="E85" i="26"/>
  <c r="B87" i="26" s="1"/>
  <c r="N21" i="33"/>
  <c r="X60" i="33"/>
  <c r="BG49" i="43"/>
  <c r="BG41" i="43"/>
  <c r="BG50" i="43" s="1"/>
  <c r="AR31" i="39"/>
  <c r="AR32" i="39" s="1"/>
  <c r="AO19" i="39"/>
  <c r="AP19" i="39"/>
  <c r="BI41" i="43"/>
  <c r="BI50" i="43" s="1"/>
  <c r="BI49" i="43"/>
  <c r="N48" i="15"/>
  <c r="AM71" i="33"/>
  <c r="AH41" i="43"/>
  <c r="AH50" i="43"/>
  <c r="AH49" i="43"/>
  <c r="O47" i="15"/>
  <c r="O48" i="15"/>
  <c r="O58" i="15"/>
  <c r="AN58" i="15"/>
  <c r="AS35" i="13"/>
  <c r="AO35" i="13" s="1"/>
  <c r="AP35" i="13" s="1"/>
  <c r="AT58" i="15"/>
  <c r="Q49" i="15"/>
  <c r="Q41" i="15"/>
  <c r="AO22" i="15"/>
  <c r="AP22" i="15"/>
  <c r="U50" i="13"/>
  <c r="U42" i="13"/>
  <c r="M69" i="39"/>
  <c r="AM58" i="15"/>
  <c r="O35" i="15"/>
  <c r="AT48" i="15"/>
  <c r="AT35" i="15"/>
  <c r="N67" i="39"/>
  <c r="N71" i="39"/>
  <c r="AR71" i="33"/>
  <c r="AO71" i="33" s="1"/>
  <c r="AP71" i="33" s="1"/>
  <c r="J44" i="13"/>
  <c r="AJ49" i="43"/>
  <c r="AJ41" i="43"/>
  <c r="AJ50" i="43" s="1"/>
  <c r="C19" i="33"/>
  <c r="D19" i="33" s="1"/>
  <c r="AR59" i="33"/>
  <c r="AM49" i="33"/>
  <c r="AM48" i="33"/>
  <c r="AM36" i="33"/>
  <c r="AM50" i="33" s="1"/>
  <c r="AS46" i="15"/>
  <c r="M49" i="15"/>
  <c r="M41" i="15"/>
  <c r="AT59" i="33"/>
  <c r="AT60" i="33" s="1"/>
  <c r="AT48" i="33"/>
  <c r="AT49" i="33"/>
  <c r="AL49" i="43"/>
  <c r="AL41" i="43"/>
  <c r="AL50" i="43" s="1"/>
  <c r="J18" i="33"/>
  <c r="J19" i="33"/>
  <c r="J20" i="33" s="1"/>
  <c r="T59" i="15"/>
  <c r="AR17" i="15"/>
  <c r="AR48" i="15" s="1"/>
  <c r="AO14" i="15"/>
  <c r="AP14" i="15" s="1"/>
  <c r="N48" i="33"/>
  <c r="K45" i="15"/>
  <c r="K44" i="15"/>
  <c r="K43" i="15"/>
  <c r="K35" i="15"/>
  <c r="K57" i="15"/>
  <c r="AM57" i="15" s="1"/>
  <c r="AM59" i="15" s="1"/>
  <c r="AO15" i="39"/>
  <c r="AP15" i="39" s="1"/>
  <c r="AT36" i="33"/>
  <c r="Q42" i="33"/>
  <c r="Q50" i="33"/>
  <c r="AY42" i="13"/>
  <c r="AY50" i="13"/>
  <c r="U59" i="15"/>
  <c r="AA61" i="43"/>
  <c r="AA65" i="43"/>
  <c r="L63" i="13"/>
  <c r="C59" i="13"/>
  <c r="D59" i="13"/>
  <c r="AN47" i="15"/>
  <c r="AN48" i="15"/>
  <c r="AT59" i="13"/>
  <c r="AN58" i="33"/>
  <c r="U62" i="13"/>
  <c r="U63" i="13"/>
  <c r="AR16" i="13"/>
  <c r="AR49" i="13" s="1"/>
  <c r="AO13" i="13"/>
  <c r="AP13" i="13"/>
  <c r="AA49" i="43"/>
  <c r="AA41" i="43"/>
  <c r="AA50" i="43" s="1"/>
  <c r="J57" i="15"/>
  <c r="J35" i="15"/>
  <c r="J43" i="15"/>
  <c r="J44" i="15"/>
  <c r="AM47" i="15"/>
  <c r="AM48" i="15"/>
  <c r="J59" i="13"/>
  <c r="U60" i="33"/>
  <c r="AV50" i="33"/>
  <c r="AV42" i="33"/>
  <c r="U66" i="39"/>
  <c r="U71" i="39"/>
  <c r="O59" i="13"/>
  <c r="AS49" i="33"/>
  <c r="AS48" i="33"/>
  <c r="AS36" i="33"/>
  <c r="AS50" i="33" s="1"/>
  <c r="J58" i="15"/>
  <c r="AR58" i="15" s="1"/>
  <c r="J47" i="15"/>
  <c r="J48" i="15"/>
  <c r="S70" i="39"/>
  <c r="S66" i="39"/>
  <c r="AI60" i="33"/>
  <c r="S60" i="33"/>
  <c r="AC49" i="43"/>
  <c r="AC41" i="43"/>
  <c r="AC50" i="43" s="1"/>
  <c r="AA64" i="43"/>
  <c r="AT57" i="15"/>
  <c r="I58" i="15"/>
  <c r="C58" i="15" s="1"/>
  <c r="D58" i="15" s="1"/>
  <c r="C34" i="15"/>
  <c r="D34" i="15"/>
  <c r="I47" i="15"/>
  <c r="C47" i="15" s="1"/>
  <c r="I48" i="15"/>
  <c r="C48" i="15" s="1"/>
  <c r="I35" i="15"/>
  <c r="F47" i="15"/>
  <c r="F58" i="15"/>
  <c r="F59" i="15" s="1"/>
  <c r="F48" i="15"/>
  <c r="N57" i="15"/>
  <c r="N46" i="15"/>
  <c r="N44" i="15"/>
  <c r="N43" i="15"/>
  <c r="N35" i="15"/>
  <c r="N45" i="15"/>
  <c r="AN49" i="33"/>
  <c r="AN48" i="33"/>
  <c r="AS69" i="39"/>
  <c r="H48" i="15"/>
  <c r="H47" i="15"/>
  <c r="H58" i="15"/>
  <c r="H59" i="15" s="1"/>
  <c r="J70" i="39"/>
  <c r="J69" i="39"/>
  <c r="AH64" i="43"/>
  <c r="AH60" i="43"/>
  <c r="AH65" i="43" s="1"/>
  <c r="AO35" i="33"/>
  <c r="AP35" i="33"/>
  <c r="D97" i="26"/>
  <c r="B99" i="26"/>
  <c r="K21" i="33"/>
  <c r="AR21" i="33" s="1"/>
  <c r="AO21" i="33" s="1"/>
  <c r="AP21" i="33" s="1"/>
  <c r="AM46" i="15"/>
  <c r="G47" i="15"/>
  <c r="G48" i="15"/>
  <c r="G58" i="15"/>
  <c r="K36" i="33"/>
  <c r="K42" i="33" s="1"/>
  <c r="K48" i="33"/>
  <c r="M59" i="15"/>
  <c r="AO75" i="13"/>
  <c r="AP75" i="13"/>
  <c r="J46" i="15"/>
  <c r="AN35" i="15"/>
  <c r="AN49" i="15"/>
  <c r="I71" i="39"/>
  <c r="I67" i="39"/>
  <c r="AA60" i="33"/>
  <c r="AN69" i="39"/>
  <c r="BH60" i="43"/>
  <c r="BH65" i="43" s="1"/>
  <c r="BH64" i="43"/>
  <c r="E242" i="47"/>
  <c r="AU50" i="33"/>
  <c r="C18" i="33"/>
  <c r="D18" i="33"/>
  <c r="AS58" i="15"/>
  <c r="O20" i="33"/>
  <c r="AN20" i="33" s="1"/>
  <c r="AN21" i="33"/>
  <c r="AS21" i="33"/>
  <c r="AS20" i="33"/>
  <c r="N20" i="33"/>
  <c r="AR44" i="15"/>
  <c r="AO44" i="15" s="1"/>
  <c r="S67" i="39"/>
  <c r="S71" i="39"/>
  <c r="K59" i="15"/>
  <c r="K41" i="15"/>
  <c r="K49" i="15"/>
  <c r="I49" i="15"/>
  <c r="C49" i="15"/>
  <c r="I41" i="15"/>
  <c r="C41" i="15"/>
  <c r="D41" i="15" s="1"/>
  <c r="C35" i="15"/>
  <c r="D35" i="15"/>
  <c r="AT41" i="15"/>
  <c r="AT49" i="15"/>
  <c r="N59" i="15"/>
  <c r="AS57" i="15"/>
  <c r="AO57" i="15" s="1"/>
  <c r="AP57" i="15" s="1"/>
  <c r="AT62" i="13"/>
  <c r="AT42" i="33"/>
  <c r="AT50" i="33"/>
  <c r="N49" i="15"/>
  <c r="N41" i="15"/>
  <c r="J49" i="15"/>
  <c r="J41" i="15"/>
  <c r="O49" i="15"/>
  <c r="O41" i="15"/>
  <c r="AR57" i="15"/>
  <c r="K60" i="50"/>
  <c r="E238" i="47"/>
  <c r="E244" i="47"/>
  <c r="AS59" i="15"/>
  <c r="O35" i="33"/>
  <c r="O49" i="33" s="1"/>
  <c r="K64" i="47"/>
  <c r="D34" i="47"/>
  <c r="D234" i="47"/>
  <c r="F293" i="47"/>
  <c r="D25" i="47"/>
  <c r="F271" i="47"/>
  <c r="G271" i="47" s="1"/>
  <c r="H271" i="47" s="1"/>
  <c r="G235" i="47"/>
  <c r="D238" i="47"/>
  <c r="D244" i="47"/>
  <c r="L19" i="50" l="1"/>
  <c r="L16" i="50"/>
  <c r="AS42" i="33"/>
  <c r="L48" i="33"/>
  <c r="L46" i="33"/>
  <c r="C27" i="43"/>
  <c r="D27" i="43" s="1"/>
  <c r="H58" i="13"/>
  <c r="H63" i="13" s="1"/>
  <c r="R42" i="13"/>
  <c r="H36" i="13"/>
  <c r="H50" i="13" s="1"/>
  <c r="H49" i="13"/>
  <c r="H46" i="13"/>
  <c r="H44" i="13"/>
  <c r="H48" i="13"/>
  <c r="Q47" i="13"/>
  <c r="H62" i="13"/>
  <c r="T63" i="13"/>
  <c r="Q48" i="13"/>
  <c r="M45" i="33"/>
  <c r="M46" i="33"/>
  <c r="M47" i="33"/>
  <c r="L45" i="33"/>
  <c r="X19" i="50"/>
  <c r="C15" i="33"/>
  <c r="AR36" i="33"/>
  <c r="AR42" i="33" s="1"/>
  <c r="L49" i="33"/>
  <c r="AR49" i="33"/>
  <c r="AO49" i="33" s="1"/>
  <c r="AR48" i="33"/>
  <c r="AR46" i="33"/>
  <c r="AO46" i="33" s="1"/>
  <c r="L44" i="33"/>
  <c r="AO16" i="33"/>
  <c r="AP16" i="33" s="1"/>
  <c r="L36" i="33"/>
  <c r="L47" i="33"/>
  <c r="L37" i="50"/>
  <c r="BD64" i="43"/>
  <c r="C75" i="43"/>
  <c r="D75" i="43" s="1"/>
  <c r="AW38" i="43"/>
  <c r="AX38" i="43" s="1"/>
  <c r="K47" i="33"/>
  <c r="AM15" i="33"/>
  <c r="K58" i="33"/>
  <c r="K60" i="33" s="1"/>
  <c r="K46" i="33"/>
  <c r="K50" i="33"/>
  <c r="L34" i="50"/>
  <c r="C70" i="43"/>
  <c r="D70" i="43" s="1"/>
  <c r="K44" i="13"/>
  <c r="K48" i="13"/>
  <c r="K45" i="13"/>
  <c r="L50" i="13"/>
  <c r="AN36" i="13"/>
  <c r="AN50" i="13" s="1"/>
  <c r="O47" i="13"/>
  <c r="G44" i="13"/>
  <c r="G58" i="13"/>
  <c r="P45" i="13"/>
  <c r="O45" i="13"/>
  <c r="F58" i="13"/>
  <c r="F63" i="13" s="1"/>
  <c r="G48" i="13"/>
  <c r="O36" i="13"/>
  <c r="G45" i="13"/>
  <c r="O44" i="13"/>
  <c r="AN49" i="13"/>
  <c r="AT58" i="13"/>
  <c r="AT63" i="13" s="1"/>
  <c r="O49" i="13"/>
  <c r="AN44" i="13"/>
  <c r="G36" i="13"/>
  <c r="G50" i="13" s="1"/>
  <c r="O46" i="13"/>
  <c r="G62" i="13"/>
  <c r="G46" i="13"/>
  <c r="F49" i="13"/>
  <c r="V9" i="47"/>
  <c r="W9" i="47" s="1"/>
  <c r="X32" i="50"/>
  <c r="L20" i="50"/>
  <c r="G22" i="50"/>
  <c r="BD65" i="43"/>
  <c r="C23" i="43"/>
  <c r="D23" i="43" s="1"/>
  <c r="AV28" i="43"/>
  <c r="AO48" i="33"/>
  <c r="L29" i="50"/>
  <c r="X27" i="50"/>
  <c r="L28" i="50"/>
  <c r="L35" i="50"/>
  <c r="C20" i="43"/>
  <c r="D20" i="43" s="1"/>
  <c r="C30" i="43"/>
  <c r="E82" i="47"/>
  <c r="F82" i="47" s="1"/>
  <c r="P82" i="47" s="1"/>
  <c r="AR45" i="13"/>
  <c r="M62" i="13"/>
  <c r="M46" i="13"/>
  <c r="M36" i="13"/>
  <c r="M50" i="13" s="1"/>
  <c r="M48" i="13"/>
  <c r="M47" i="13"/>
  <c r="J49" i="13"/>
  <c r="J47" i="13"/>
  <c r="S44" i="13"/>
  <c r="J48" i="13"/>
  <c r="S45" i="13"/>
  <c r="S62" i="13"/>
  <c r="J45" i="13"/>
  <c r="S47" i="13"/>
  <c r="J58" i="13"/>
  <c r="J60" i="13" s="1"/>
  <c r="S58" i="13"/>
  <c r="S60" i="13" s="1"/>
  <c r="S64" i="13" s="1"/>
  <c r="S36" i="13"/>
  <c r="J36" i="13"/>
  <c r="S49" i="13"/>
  <c r="AO47" i="33"/>
  <c r="J45" i="33"/>
  <c r="I45" i="33"/>
  <c r="J36" i="33"/>
  <c r="J42" i="33" s="1"/>
  <c r="C16" i="33"/>
  <c r="D16" i="33" s="1"/>
  <c r="I49" i="33"/>
  <c r="H204" i="47"/>
  <c r="I47" i="33"/>
  <c r="X28" i="50"/>
  <c r="J47" i="33"/>
  <c r="X29" i="50"/>
  <c r="I44" i="33"/>
  <c r="J48" i="33"/>
  <c r="I46" i="33"/>
  <c r="C46" i="33" s="1"/>
  <c r="X20" i="50"/>
  <c r="J49" i="33"/>
  <c r="X31" i="50"/>
  <c r="J44" i="33"/>
  <c r="J301" i="47"/>
  <c r="X35" i="50"/>
  <c r="L33" i="50"/>
  <c r="H26" i="50"/>
  <c r="I35" i="50"/>
  <c r="AV27" i="43"/>
  <c r="BA73" i="43"/>
  <c r="I43" i="50"/>
  <c r="I20" i="50"/>
  <c r="I28" i="50"/>
  <c r="AU71" i="43"/>
  <c r="C28" i="43"/>
  <c r="D28" i="43" s="1"/>
  <c r="K63" i="50"/>
  <c r="K68" i="50" s="1"/>
  <c r="AR59" i="15"/>
  <c r="AO59" i="15" s="1"/>
  <c r="AP59" i="15" s="1"/>
  <c r="AO58" i="15"/>
  <c r="AP58" i="15" s="1"/>
  <c r="L66" i="39"/>
  <c r="AR39" i="39"/>
  <c r="AO39" i="39" s="1"/>
  <c r="AP39" i="39" s="1"/>
  <c r="AO32" i="39"/>
  <c r="AP32" i="39" s="1"/>
  <c r="O59" i="33"/>
  <c r="O62" i="13"/>
  <c r="K18" i="33"/>
  <c r="J60" i="33"/>
  <c r="AR60" i="33" s="1"/>
  <c r="BC61" i="43"/>
  <c r="AM32" i="39"/>
  <c r="AM39" i="39" s="1"/>
  <c r="AR19" i="33"/>
  <c r="AR46" i="15"/>
  <c r="AO46" i="15" s="1"/>
  <c r="M44" i="13"/>
  <c r="C21" i="33"/>
  <c r="D21" i="33" s="1"/>
  <c r="AS34" i="15"/>
  <c r="Z46" i="43"/>
  <c r="Z44" i="43"/>
  <c r="Z47" i="43"/>
  <c r="Z35" i="43"/>
  <c r="Z43" i="43"/>
  <c r="Z45" i="43"/>
  <c r="Z48" i="43"/>
  <c r="Z58" i="43"/>
  <c r="L65" i="39"/>
  <c r="L32" i="39"/>
  <c r="L39" i="39" s="1"/>
  <c r="AT48" i="13"/>
  <c r="AT35" i="13"/>
  <c r="Q49" i="13"/>
  <c r="Q59" i="13"/>
  <c r="AN59" i="13" s="1"/>
  <c r="AN62" i="13" s="1"/>
  <c r="K19" i="33"/>
  <c r="E60" i="50"/>
  <c r="Q60" i="50"/>
  <c r="AN48" i="13"/>
  <c r="M45" i="13"/>
  <c r="C45" i="13" s="1"/>
  <c r="AM64" i="39"/>
  <c r="AO31" i="39"/>
  <c r="AP31" i="39" s="1"/>
  <c r="C57" i="15"/>
  <c r="D57" i="15" s="1"/>
  <c r="M65" i="39"/>
  <c r="M32" i="39"/>
  <c r="M39" i="39" s="1"/>
  <c r="AM20" i="13"/>
  <c r="K47" i="13"/>
  <c r="K35" i="13"/>
  <c r="K46" i="13"/>
  <c r="AK35" i="43"/>
  <c r="AK59" i="43"/>
  <c r="AK48" i="43"/>
  <c r="O66" i="39"/>
  <c r="O69" i="39"/>
  <c r="BJ59" i="43"/>
  <c r="BJ64" i="43" s="1"/>
  <c r="BJ48" i="43"/>
  <c r="I59" i="33"/>
  <c r="C59" i="33" s="1"/>
  <c r="D59" i="33" s="1"/>
  <c r="C35" i="33"/>
  <c r="D35" i="33" s="1"/>
  <c r="I48" i="33"/>
  <c r="I36" i="33"/>
  <c r="C36" i="33" s="1"/>
  <c r="D36" i="33" s="1"/>
  <c r="J22" i="50"/>
  <c r="L17" i="50"/>
  <c r="AM21" i="33"/>
  <c r="J60" i="50"/>
  <c r="L60" i="50" s="1"/>
  <c r="M58" i="13"/>
  <c r="T44" i="13"/>
  <c r="T48" i="13"/>
  <c r="AM15" i="13"/>
  <c r="AR15" i="13"/>
  <c r="V71" i="33"/>
  <c r="V82" i="33" s="1"/>
  <c r="AU66" i="33"/>
  <c r="AU71" i="33" s="1"/>
  <c r="J59" i="15"/>
  <c r="AO17" i="15"/>
  <c r="AP17" i="15" s="1"/>
  <c r="AR43" i="15"/>
  <c r="AO43" i="15" s="1"/>
  <c r="J62" i="13"/>
  <c r="AR35" i="15"/>
  <c r="BJ35" i="43"/>
  <c r="AO28" i="15"/>
  <c r="AP28" i="15" s="1"/>
  <c r="Q66" i="39"/>
  <c r="Q69" i="39"/>
  <c r="Q70" i="39"/>
  <c r="I60" i="33"/>
  <c r="AR47" i="15"/>
  <c r="AO47" i="15" s="1"/>
  <c r="O59" i="15"/>
  <c r="J71" i="33"/>
  <c r="AS65" i="39"/>
  <c r="O70" i="39"/>
  <c r="AN65" i="39"/>
  <c r="N47" i="13"/>
  <c r="N62" i="13"/>
  <c r="N46" i="13"/>
  <c r="N48" i="13"/>
  <c r="N58" i="13"/>
  <c r="N49" i="13"/>
  <c r="N44" i="13"/>
  <c r="N36" i="13"/>
  <c r="O48" i="33"/>
  <c r="H61" i="50"/>
  <c r="AB59" i="43"/>
  <c r="AB48" i="43"/>
  <c r="AB35" i="43"/>
  <c r="J66" i="39"/>
  <c r="AR64" i="39"/>
  <c r="O36" i="33"/>
  <c r="AR45" i="15"/>
  <c r="AO45" i="15" s="1"/>
  <c r="AS70" i="15"/>
  <c r="AO70" i="15" s="1"/>
  <c r="AP70" i="15" s="1"/>
  <c r="AM47" i="33"/>
  <c r="AM46" i="33"/>
  <c r="G60" i="50"/>
  <c r="S60" i="50"/>
  <c r="K70" i="39"/>
  <c r="K69" i="39"/>
  <c r="AM65" i="39"/>
  <c r="K66" i="39"/>
  <c r="C24" i="43"/>
  <c r="D24" i="43" s="1"/>
  <c r="BC65" i="43"/>
  <c r="AV78" i="43"/>
  <c r="J62" i="50"/>
  <c r="Q76" i="43"/>
  <c r="J76" i="43"/>
  <c r="S22" i="50"/>
  <c r="AU24" i="43"/>
  <c r="AW36" i="43"/>
  <c r="AX36" i="43" s="1"/>
  <c r="P33" i="50"/>
  <c r="AU70" i="43"/>
  <c r="AU74" i="43"/>
  <c r="G62" i="50"/>
  <c r="S62" i="50"/>
  <c r="AU75" i="43"/>
  <c r="X34" i="50"/>
  <c r="AU14" i="43"/>
  <c r="AU15" i="43" s="1"/>
  <c r="C44" i="13"/>
  <c r="I40" i="43"/>
  <c r="C40" i="43" s="1"/>
  <c r="D40" i="43" s="1"/>
  <c r="AV74" i="43"/>
  <c r="N76" i="43"/>
  <c r="AZ78" i="43"/>
  <c r="T62" i="50"/>
  <c r="H62" i="50"/>
  <c r="J43" i="43"/>
  <c r="J44" i="43"/>
  <c r="AV29" i="43"/>
  <c r="AV75" i="43"/>
  <c r="E62" i="50"/>
  <c r="Q62" i="50"/>
  <c r="M60" i="50"/>
  <c r="Y60" i="50"/>
  <c r="AW37" i="43"/>
  <c r="K62" i="50"/>
  <c r="W62" i="50"/>
  <c r="L60" i="33"/>
  <c r="U18" i="50"/>
  <c r="I19" i="50"/>
  <c r="X30" i="50"/>
  <c r="R33" i="50"/>
  <c r="Z38" i="50"/>
  <c r="L31" i="50"/>
  <c r="W21" i="50"/>
  <c r="W22" i="50" s="1"/>
  <c r="Q24" i="50"/>
  <c r="D17" i="50"/>
  <c r="D22" i="50" s="1"/>
  <c r="I29" i="50"/>
  <c r="T16" i="50"/>
  <c r="T22" i="50" s="1"/>
  <c r="AN15" i="13"/>
  <c r="AO52" i="33"/>
  <c r="Q25" i="50"/>
  <c r="Q26" i="50" s="1"/>
  <c r="D24" i="50"/>
  <c r="E22" i="50"/>
  <c r="E46" i="50" s="1"/>
  <c r="F26" i="50"/>
  <c r="I34" i="50"/>
  <c r="D25" i="50"/>
  <c r="J24" i="50"/>
  <c r="P16" i="50"/>
  <c r="P22" i="50" s="1"/>
  <c r="E25" i="50"/>
  <c r="J25" i="50"/>
  <c r="J26" i="50" s="1"/>
  <c r="E204" i="47"/>
  <c r="V24" i="50"/>
  <c r="I27" i="50"/>
  <c r="N27" i="50" s="1"/>
  <c r="H22" i="50"/>
  <c r="H46" i="50" s="1"/>
  <c r="L18" i="50"/>
  <c r="M24" i="50"/>
  <c r="I18" i="50"/>
  <c r="K22" i="50"/>
  <c r="K46" i="50" s="1"/>
  <c r="M25" i="50"/>
  <c r="S24" i="50"/>
  <c r="Y62" i="50"/>
  <c r="E36" i="50"/>
  <c r="I36" i="50" s="1"/>
  <c r="V16" i="50"/>
  <c r="X16" i="50" s="1"/>
  <c r="L43" i="50"/>
  <c r="AO52" i="13"/>
  <c r="AP52" i="13" s="1"/>
  <c r="AR15" i="33"/>
  <c r="AO15" i="33" s="1"/>
  <c r="U30" i="50"/>
  <c r="S25" i="50"/>
  <c r="G24" i="50"/>
  <c r="T25" i="50"/>
  <c r="T26" i="50" s="1"/>
  <c r="Y24" i="50"/>
  <c r="I16" i="50"/>
  <c r="G25" i="50"/>
  <c r="U32" i="50"/>
  <c r="Y25" i="50"/>
  <c r="K67" i="50"/>
  <c r="BD19" i="43"/>
  <c r="BD46" i="43" s="1"/>
  <c r="S34" i="50"/>
  <c r="U34" i="50" s="1"/>
  <c r="F306" i="47"/>
  <c r="AT60" i="13"/>
  <c r="AT64" i="13" s="1"/>
  <c r="R64" i="13"/>
  <c r="AN58" i="13"/>
  <c r="O60" i="13"/>
  <c r="O64" i="13" s="1"/>
  <c r="O63" i="13"/>
  <c r="Q63" i="13"/>
  <c r="Q60" i="13"/>
  <c r="Q64" i="13" s="1"/>
  <c r="AS36" i="13"/>
  <c r="R63" i="13"/>
  <c r="C36" i="13"/>
  <c r="D36" i="13" s="1"/>
  <c r="S63" i="13"/>
  <c r="C16" i="13"/>
  <c r="D16" i="13" s="1"/>
  <c r="I48" i="13"/>
  <c r="P47" i="13"/>
  <c r="Q44" i="13"/>
  <c r="H60" i="13"/>
  <c r="H64" i="13" s="1"/>
  <c r="I47" i="13"/>
  <c r="P49" i="13"/>
  <c r="I58" i="13"/>
  <c r="T47" i="13"/>
  <c r="AS45" i="13"/>
  <c r="T62" i="13"/>
  <c r="AS47" i="13"/>
  <c r="I46" i="13"/>
  <c r="C46" i="13" s="1"/>
  <c r="F48" i="13"/>
  <c r="I49" i="13"/>
  <c r="C49" i="13" s="1"/>
  <c r="Q36" i="13"/>
  <c r="F62" i="13"/>
  <c r="F44" i="13"/>
  <c r="M42" i="13"/>
  <c r="C42" i="13" s="1"/>
  <c r="D42" i="13" s="1"/>
  <c r="AR44" i="13"/>
  <c r="AO16" i="13"/>
  <c r="AP16" i="13" s="1"/>
  <c r="AS44" i="13"/>
  <c r="AS49" i="13"/>
  <c r="AO49" i="13" s="1"/>
  <c r="T49" i="13"/>
  <c r="P36" i="13"/>
  <c r="P58" i="13"/>
  <c r="T45" i="13"/>
  <c r="F45" i="13"/>
  <c r="Q46" i="13"/>
  <c r="AS15" i="13"/>
  <c r="AR48" i="13"/>
  <c r="AO48" i="13" s="1"/>
  <c r="AR47" i="13"/>
  <c r="AR36" i="13"/>
  <c r="I50" i="13"/>
  <c r="C50" i="13" s="1"/>
  <c r="P46" i="13"/>
  <c r="T36" i="13"/>
  <c r="AR46" i="13"/>
  <c r="I62" i="13"/>
  <c r="C62" i="13" s="1"/>
  <c r="Q62" i="13"/>
  <c r="AS46" i="13"/>
  <c r="F47" i="13"/>
  <c r="P48" i="13"/>
  <c r="T46" i="13"/>
  <c r="F36" i="13"/>
  <c r="F50" i="13" s="1"/>
  <c r="Q45" i="13"/>
  <c r="P62" i="13"/>
  <c r="M42" i="33"/>
  <c r="M50" i="33"/>
  <c r="M44" i="33"/>
  <c r="J50" i="33"/>
  <c r="M49" i="33"/>
  <c r="M48" i="33"/>
  <c r="M58" i="33"/>
  <c r="M60" i="33" s="1"/>
  <c r="N44" i="33"/>
  <c r="N36" i="33"/>
  <c r="N58" i="33"/>
  <c r="N46" i="33"/>
  <c r="L32" i="50"/>
  <c r="N45" i="33"/>
  <c r="N47" i="33"/>
  <c r="D214" i="47"/>
  <c r="J214" i="47" s="1"/>
  <c r="X43" i="50"/>
  <c r="X37" i="50"/>
  <c r="L261" i="47"/>
  <c r="L264" i="47"/>
  <c r="L259" i="47"/>
  <c r="H40" i="50"/>
  <c r="H51" i="50" s="1"/>
  <c r="H48" i="50"/>
  <c r="H49" i="50"/>
  <c r="T46" i="50"/>
  <c r="I21" i="50"/>
  <c r="N21" i="50" s="1"/>
  <c r="F22" i="50"/>
  <c r="F47" i="50" s="1"/>
  <c r="S76" i="43"/>
  <c r="BA40" i="43"/>
  <c r="K76" i="43"/>
  <c r="I274" i="47"/>
  <c r="AV26" i="43"/>
  <c r="AU30" i="43"/>
  <c r="C71" i="43"/>
  <c r="D71" i="43" s="1"/>
  <c r="C72" i="43"/>
  <c r="D72" i="43" s="1"/>
  <c r="C73" i="43"/>
  <c r="D73" i="43" s="1"/>
  <c r="AV20" i="43"/>
  <c r="AU22" i="43"/>
  <c r="BA23" i="43"/>
  <c r="C25" i="43"/>
  <c r="D25" i="43" s="1"/>
  <c r="BA25" i="43"/>
  <c r="AZ26" i="43"/>
  <c r="AU27" i="43"/>
  <c r="AU29" i="43"/>
  <c r="M43" i="43"/>
  <c r="BD47" i="43"/>
  <c r="C36" i="43"/>
  <c r="D36" i="43" s="1"/>
  <c r="AU20" i="43"/>
  <c r="Q47" i="43"/>
  <c r="BA30" i="43"/>
  <c r="AV40" i="43"/>
  <c r="M76" i="43"/>
  <c r="AZ14" i="43"/>
  <c r="AZ15" i="43" s="1"/>
  <c r="AZ58" i="43" s="1"/>
  <c r="O44" i="43"/>
  <c r="BD44" i="43"/>
  <c r="BA20" i="43"/>
  <c r="AZ22" i="43"/>
  <c r="AV25" i="43"/>
  <c r="C26" i="43"/>
  <c r="D26" i="43" s="1"/>
  <c r="AZ27" i="43"/>
  <c r="AZ29" i="43"/>
  <c r="BB65" i="43"/>
  <c r="AZ74" i="43"/>
  <c r="I30" i="50"/>
  <c r="N30" i="50" s="1"/>
  <c r="U20" i="50"/>
  <c r="L76" i="43"/>
  <c r="AZ70" i="43"/>
  <c r="AV23" i="43"/>
  <c r="E12" i="47"/>
  <c r="I31" i="50"/>
  <c r="BA22" i="43"/>
  <c r="AV30" i="43"/>
  <c r="U37" i="50"/>
  <c r="R47" i="43"/>
  <c r="S47" i="43"/>
  <c r="L47" i="43"/>
  <c r="BC47" i="43"/>
  <c r="C29" i="43"/>
  <c r="BD76" i="43"/>
  <c r="AV73" i="43"/>
  <c r="AZ75" i="43"/>
  <c r="R76" i="43"/>
  <c r="BA78" i="43"/>
  <c r="E11" i="47"/>
  <c r="K15" i="43"/>
  <c r="K44" i="43" s="1"/>
  <c r="M47" i="43"/>
  <c r="AV22" i="43"/>
  <c r="Q43" i="43"/>
  <c r="M44" i="43"/>
  <c r="I32" i="50"/>
  <c r="U35" i="50"/>
  <c r="BC44" i="43"/>
  <c r="E129" i="47"/>
  <c r="I12" i="47"/>
  <c r="J49" i="47"/>
  <c r="D39" i="47"/>
  <c r="J16" i="47"/>
  <c r="J27" i="47" s="1"/>
  <c r="Y14" i="43"/>
  <c r="Y15" i="43" s="1"/>
  <c r="Y58" i="43" s="1"/>
  <c r="I21" i="47"/>
  <c r="I266" i="47"/>
  <c r="L266" i="47" s="1"/>
  <c r="H112" i="47"/>
  <c r="I298" i="47"/>
  <c r="L298" i="47" s="1"/>
  <c r="D66" i="47"/>
  <c r="F66" i="47" s="1"/>
  <c r="P66" i="47" s="1"/>
  <c r="P14" i="43"/>
  <c r="BA14" i="43" s="1"/>
  <c r="E134" i="47"/>
  <c r="F272" i="47"/>
  <c r="G272" i="47"/>
  <c r="G234" i="47"/>
  <c r="K234" i="47" s="1"/>
  <c r="G305" i="47"/>
  <c r="G61" i="50"/>
  <c r="P25" i="50"/>
  <c r="S19" i="43"/>
  <c r="S45" i="43" s="1"/>
  <c r="D32" i="47"/>
  <c r="G32" i="47" s="1"/>
  <c r="O32" i="47" s="1"/>
  <c r="E235" i="47"/>
  <c r="F38" i="47"/>
  <c r="E40" i="47"/>
  <c r="D33" i="47"/>
  <c r="G33" i="47" s="1"/>
  <c r="O33" i="47" s="1"/>
  <c r="E39" i="47"/>
  <c r="D40" i="47"/>
  <c r="D37" i="47"/>
  <c r="C17" i="43"/>
  <c r="D17" i="43" s="1"/>
  <c r="AV18" i="43"/>
  <c r="C18" i="43"/>
  <c r="D18" i="43" s="1"/>
  <c r="L43" i="43"/>
  <c r="K265" i="47"/>
  <c r="K273" i="47" s="1"/>
  <c r="K275" i="47" s="1"/>
  <c r="W26" i="50"/>
  <c r="K26" i="50"/>
  <c r="K40" i="50" s="1"/>
  <c r="E177" i="47"/>
  <c r="E163" i="47"/>
  <c r="BB19" i="43"/>
  <c r="BB46" i="43" s="1"/>
  <c r="M19" i="43"/>
  <c r="M34" i="43" s="1"/>
  <c r="M35" i="43" s="1"/>
  <c r="Q19" i="43"/>
  <c r="Q45" i="43" s="1"/>
  <c r="BC19" i="43"/>
  <c r="BC63" i="43" s="1"/>
  <c r="BA18" i="43"/>
  <c r="O19" i="43"/>
  <c r="O45" i="43" s="1"/>
  <c r="BC43" i="43"/>
  <c r="Q44" i="43"/>
  <c r="P24" i="50"/>
  <c r="I19" i="43"/>
  <c r="J19" i="43"/>
  <c r="J34" i="43" s="1"/>
  <c r="AZ17" i="43"/>
  <c r="H33" i="47"/>
  <c r="Q164" i="47"/>
  <c r="I85" i="47"/>
  <c r="Q85" i="47" s="1"/>
  <c r="L36" i="50"/>
  <c r="W36" i="50"/>
  <c r="G24" i="47"/>
  <c r="K85" i="47"/>
  <c r="M127" i="47"/>
  <c r="E132" i="47"/>
  <c r="E67" i="47" s="1"/>
  <c r="H131" i="47"/>
  <c r="H68" i="47" s="1"/>
  <c r="U17" i="50"/>
  <c r="Y19" i="43"/>
  <c r="M130" i="47"/>
  <c r="H134" i="47"/>
  <c r="E139" i="47"/>
  <c r="U31" i="50"/>
  <c r="U29" i="50"/>
  <c r="R27" i="50"/>
  <c r="U27" i="50" s="1"/>
  <c r="R19" i="50"/>
  <c r="R22" i="50" s="1"/>
  <c r="R62" i="50"/>
  <c r="U43" i="50"/>
  <c r="I37" i="50"/>
  <c r="U28" i="50"/>
  <c r="Y76" i="43"/>
  <c r="I33" i="50"/>
  <c r="D76" i="47"/>
  <c r="I268" i="47"/>
  <c r="L268" i="47" s="1"/>
  <c r="R19" i="43"/>
  <c r="R43" i="43"/>
  <c r="I269" i="47"/>
  <c r="L269" i="47" s="1"/>
  <c r="U21" i="50"/>
  <c r="Q22" i="50"/>
  <c r="I267" i="47"/>
  <c r="L267" i="47" s="1"/>
  <c r="I297" i="47"/>
  <c r="L297" i="47" s="1"/>
  <c r="I263" i="47"/>
  <c r="L263" i="47" s="1"/>
  <c r="BB44" i="43"/>
  <c r="BB43" i="43"/>
  <c r="P19" i="43"/>
  <c r="L44" i="43"/>
  <c r="AZ18" i="43"/>
  <c r="C22" i="43"/>
  <c r="D22" i="43" s="1"/>
  <c r="AU23" i="43"/>
  <c r="AZ23" i="43"/>
  <c r="BA26" i="43"/>
  <c r="N47" i="43"/>
  <c r="AZ30" i="43"/>
  <c r="AV70" i="43"/>
  <c r="BA70" i="43"/>
  <c r="O76" i="43"/>
  <c r="AV71" i="43"/>
  <c r="P76" i="43"/>
  <c r="BA71" i="43"/>
  <c r="AV72" i="43"/>
  <c r="BA72" i="43"/>
  <c r="C74" i="43"/>
  <c r="D74" i="43" s="1"/>
  <c r="I76" i="43"/>
  <c r="AU40" i="43"/>
  <c r="AZ40" i="43"/>
  <c r="BC64" i="43"/>
  <c r="BA74" i="43"/>
  <c r="I296" i="47"/>
  <c r="L296" i="47" s="1"/>
  <c r="M126" i="47"/>
  <c r="N58" i="43"/>
  <c r="N44" i="43"/>
  <c r="S58" i="43"/>
  <c r="S43" i="43"/>
  <c r="O43" i="43"/>
  <c r="AV17" i="43"/>
  <c r="BA17" i="43"/>
  <c r="AU18" i="43"/>
  <c r="S44" i="43"/>
  <c r="AZ20" i="43"/>
  <c r="J47" i="43"/>
  <c r="AU25" i="43"/>
  <c r="BA27" i="43"/>
  <c r="I15" i="43"/>
  <c r="I47" i="43" s="1"/>
  <c r="C14" i="43"/>
  <c r="D14" i="43" s="1"/>
  <c r="AU17" i="43"/>
  <c r="K19" i="43"/>
  <c r="BB47" i="43"/>
  <c r="AV24" i="43"/>
  <c r="BA24" i="43"/>
  <c r="AU28" i="43"/>
  <c r="AZ28" i="43"/>
  <c r="AZ71" i="43"/>
  <c r="BB76" i="43"/>
  <c r="AZ72" i="43"/>
  <c r="AU72" i="43"/>
  <c r="AZ73" i="43"/>
  <c r="AU73" i="43"/>
  <c r="AU78" i="43"/>
  <c r="H66" i="47"/>
  <c r="I260" i="47"/>
  <c r="L19" i="43"/>
  <c r="BD43" i="43"/>
  <c r="O47" i="43"/>
  <c r="AW52" i="43"/>
  <c r="AX52" i="43" s="1"/>
  <c r="BB64" i="43"/>
  <c r="BC76" i="43"/>
  <c r="BA75" i="43"/>
  <c r="N43" i="43"/>
  <c r="N19" i="43"/>
  <c r="R44" i="43"/>
  <c r="AZ24" i="43"/>
  <c r="AZ25" i="43"/>
  <c r="AU26" i="43"/>
  <c r="BA28" i="43"/>
  <c r="BA29" i="43"/>
  <c r="I295" i="47"/>
  <c r="C78" i="43"/>
  <c r="D78" i="43" s="1"/>
  <c r="I262" i="47"/>
  <c r="L262" i="47" s="1"/>
  <c r="J188" i="47"/>
  <c r="K51" i="47"/>
  <c r="P51" i="47" s="1"/>
  <c r="P164" i="47"/>
  <c r="K23" i="47"/>
  <c r="P23" i="47" s="1"/>
  <c r="H86" i="47"/>
  <c r="I86" i="47" s="1"/>
  <c r="Q86" i="47" s="1"/>
  <c r="G35" i="47"/>
  <c r="G41" i="47"/>
  <c r="O41" i="47" s="1"/>
  <c r="D136" i="47"/>
  <c r="F188" i="47"/>
  <c r="P188" i="47" s="1"/>
  <c r="J187" i="47"/>
  <c r="F185" i="47"/>
  <c r="P185" i="47" s="1"/>
  <c r="J184" i="47"/>
  <c r="F187" i="47"/>
  <c r="P187" i="47" s="1"/>
  <c r="J185" i="47"/>
  <c r="E192" i="47"/>
  <c r="F184" i="47"/>
  <c r="P184" i="47" s="1"/>
  <c r="F238" i="47"/>
  <c r="P238" i="47" s="1"/>
  <c r="J244" i="47"/>
  <c r="J234" i="47"/>
  <c r="G25" i="47"/>
  <c r="I33" i="47"/>
  <c r="M23" i="47"/>
  <c r="F16" i="47"/>
  <c r="F85" i="47"/>
  <c r="P85" i="47" s="1"/>
  <c r="K35" i="47"/>
  <c r="P35" i="47" s="1"/>
  <c r="F20" i="47"/>
  <c r="G23" i="47"/>
  <c r="O23" i="47" s="1"/>
  <c r="F86" i="47"/>
  <c r="P86" i="47" s="1"/>
  <c r="M51" i="47"/>
  <c r="G51" i="47"/>
  <c r="O51" i="47" s="1"/>
  <c r="K32" i="47"/>
  <c r="P32" i="47" s="1"/>
  <c r="F228" i="47"/>
  <c r="P228" i="47" s="1"/>
  <c r="I235" i="47"/>
  <c r="F239" i="47"/>
  <c r="P239" i="47" s="1"/>
  <c r="J213" i="47"/>
  <c r="F213" i="47"/>
  <c r="F212" i="47"/>
  <c r="J212" i="47"/>
  <c r="K235" i="47"/>
  <c r="F244" i="47"/>
  <c r="P244" i="47" s="1"/>
  <c r="J239" i="47"/>
  <c r="F234" i="47"/>
  <c r="H243" i="47"/>
  <c r="J238" i="47"/>
  <c r="J228" i="47"/>
  <c r="U33" i="50" l="1"/>
  <c r="D26" i="50"/>
  <c r="N16" i="50"/>
  <c r="N19" i="50"/>
  <c r="Z29" i="50"/>
  <c r="J47" i="50"/>
  <c r="S46" i="50"/>
  <c r="G46" i="50"/>
  <c r="C47" i="33"/>
  <c r="AR50" i="33"/>
  <c r="AO50" i="33" s="1"/>
  <c r="AO36" i="33"/>
  <c r="AP36" i="33" s="1"/>
  <c r="N20" i="50"/>
  <c r="C45" i="33"/>
  <c r="Z34" i="50"/>
  <c r="L42" i="33"/>
  <c r="L50" i="33"/>
  <c r="Z32" i="50"/>
  <c r="C60" i="33"/>
  <c r="D60" i="33" s="1"/>
  <c r="AM58" i="33"/>
  <c r="AM60" i="33" s="1"/>
  <c r="N37" i="50"/>
  <c r="C48" i="33"/>
  <c r="N28" i="50"/>
  <c r="N34" i="50"/>
  <c r="G47" i="50"/>
  <c r="F46" i="50"/>
  <c r="Q65" i="50"/>
  <c r="I62" i="50"/>
  <c r="I17" i="50"/>
  <c r="AW40" i="43"/>
  <c r="AX40" i="43" s="1"/>
  <c r="C76" i="43"/>
  <c r="D76" i="43" s="1"/>
  <c r="AW26" i="43"/>
  <c r="AX26" i="43" s="1"/>
  <c r="K47" i="50"/>
  <c r="L22" i="50"/>
  <c r="K42" i="50"/>
  <c r="K44" i="50" s="1"/>
  <c r="K52" i="50" s="1"/>
  <c r="Z28" i="50"/>
  <c r="N35" i="50"/>
  <c r="S26" i="50"/>
  <c r="S49" i="50" s="1"/>
  <c r="F48" i="50"/>
  <c r="AW20" i="43"/>
  <c r="AX20" i="43" s="1"/>
  <c r="D47" i="50"/>
  <c r="AW73" i="43"/>
  <c r="AX73" i="43" s="1"/>
  <c r="C47" i="13"/>
  <c r="Y26" i="50"/>
  <c r="Y40" i="50" s="1"/>
  <c r="F60" i="13"/>
  <c r="F64" i="13" s="1"/>
  <c r="C48" i="13"/>
  <c r="N43" i="50"/>
  <c r="H47" i="50"/>
  <c r="H66" i="50"/>
  <c r="T47" i="50"/>
  <c r="H50" i="50"/>
  <c r="AO45" i="13"/>
  <c r="O50" i="13"/>
  <c r="O42" i="13"/>
  <c r="J63" i="13"/>
  <c r="AR58" i="13"/>
  <c r="G63" i="13"/>
  <c r="G60" i="13"/>
  <c r="G64" i="13" s="1"/>
  <c r="Z43" i="50"/>
  <c r="C44" i="33"/>
  <c r="Z20" i="50"/>
  <c r="Z27" i="50"/>
  <c r="J46" i="50"/>
  <c r="N29" i="50"/>
  <c r="AC22" i="50"/>
  <c r="J49" i="50"/>
  <c r="S47" i="50"/>
  <c r="U62" i="50"/>
  <c r="F49" i="50"/>
  <c r="F40" i="50"/>
  <c r="F42" i="50" s="1"/>
  <c r="F44" i="50" s="1"/>
  <c r="F52" i="50" s="1"/>
  <c r="BD34" i="43"/>
  <c r="BD48" i="43" s="1"/>
  <c r="AU44" i="43"/>
  <c r="BD45" i="43"/>
  <c r="U16" i="50"/>
  <c r="Z16" i="50" s="1"/>
  <c r="K43" i="43"/>
  <c r="AW30" i="43"/>
  <c r="E47" i="50"/>
  <c r="N24" i="50"/>
  <c r="N36" i="50"/>
  <c r="J64" i="13"/>
  <c r="AR60" i="13"/>
  <c r="AR64" i="13" s="1"/>
  <c r="J50" i="13"/>
  <c r="J42" i="13"/>
  <c r="S42" i="13"/>
  <c r="S50" i="13"/>
  <c r="H25" i="47"/>
  <c r="K25" i="47" s="1"/>
  <c r="AO47" i="13"/>
  <c r="AO44" i="13"/>
  <c r="AO15" i="13"/>
  <c r="AP15" i="13" s="1"/>
  <c r="N31" i="50"/>
  <c r="Z35" i="50"/>
  <c r="N32" i="50"/>
  <c r="C49" i="33"/>
  <c r="Z30" i="50"/>
  <c r="Z31" i="50"/>
  <c r="X21" i="50"/>
  <c r="Z21" i="50" s="1"/>
  <c r="J61" i="50"/>
  <c r="J66" i="50" s="1"/>
  <c r="N33" i="50"/>
  <c r="E117" i="47"/>
  <c r="H42" i="50"/>
  <c r="H44" i="50" s="1"/>
  <c r="H52" i="50" s="1"/>
  <c r="AW78" i="43"/>
  <c r="AX78" i="43" s="1"/>
  <c r="E112" i="47"/>
  <c r="Q48" i="50"/>
  <c r="E22" i="47"/>
  <c r="T40" i="50"/>
  <c r="T49" i="50"/>
  <c r="W47" i="50"/>
  <c r="W46" i="50"/>
  <c r="T48" i="50"/>
  <c r="E131" i="47"/>
  <c r="E68" i="47" s="1"/>
  <c r="E78" i="47" s="1"/>
  <c r="N42" i="13"/>
  <c r="N50" i="13"/>
  <c r="BJ49" i="43"/>
  <c r="BJ41" i="43"/>
  <c r="BJ50" i="43" s="1"/>
  <c r="M63" i="13"/>
  <c r="M60" i="13"/>
  <c r="M64" i="13" s="1"/>
  <c r="AO19" i="33"/>
  <c r="AP19" i="33" s="1"/>
  <c r="AR45" i="33"/>
  <c r="AO45" i="33" s="1"/>
  <c r="E26" i="50"/>
  <c r="E48" i="50" s="1"/>
  <c r="M26" i="50"/>
  <c r="O42" i="33"/>
  <c r="O50" i="33"/>
  <c r="AB49" i="43"/>
  <c r="AB41" i="43"/>
  <c r="AB50" i="43" s="1"/>
  <c r="AM35" i="13"/>
  <c r="AM46" i="13"/>
  <c r="AM47" i="13"/>
  <c r="AM66" i="39"/>
  <c r="Z49" i="43"/>
  <c r="Z41" i="43"/>
  <c r="Z50" i="43" s="1"/>
  <c r="AS59" i="33"/>
  <c r="AO59" i="33" s="1"/>
  <c r="AP59" i="33" s="1"/>
  <c r="AN59" i="33"/>
  <c r="AN60" i="33" s="1"/>
  <c r="O60" i="33"/>
  <c r="V25" i="50"/>
  <c r="Z25" i="50" s="1"/>
  <c r="D46" i="50"/>
  <c r="W33" i="50"/>
  <c r="X33" i="50" s="1"/>
  <c r="J300" i="47"/>
  <c r="AO64" i="39"/>
  <c r="AP64" i="39" s="1"/>
  <c r="AR69" i="39"/>
  <c r="AO69" i="39" s="1"/>
  <c r="L67" i="39"/>
  <c r="L71" i="39"/>
  <c r="V18" i="50"/>
  <c r="X18" i="50" s="1"/>
  <c r="J295" i="47"/>
  <c r="L295" i="47" s="1"/>
  <c r="J71" i="39"/>
  <c r="J67" i="39"/>
  <c r="AB63" i="43"/>
  <c r="AB64" i="43"/>
  <c r="N63" i="13"/>
  <c r="AS58" i="13"/>
  <c r="N60" i="13"/>
  <c r="N64" i="13" s="1"/>
  <c r="M70" i="39"/>
  <c r="M66" i="39"/>
  <c r="AB60" i="43"/>
  <c r="AB65" i="43" s="1"/>
  <c r="N25" i="50"/>
  <c r="L62" i="50"/>
  <c r="BJ60" i="43"/>
  <c r="BJ65" i="43" s="1"/>
  <c r="P47" i="50"/>
  <c r="G26" i="50"/>
  <c r="G66" i="50" s="1"/>
  <c r="AN15" i="33"/>
  <c r="V62" i="50"/>
  <c r="X62" i="50" s="1"/>
  <c r="K71" i="39"/>
  <c r="K67" i="39"/>
  <c r="P60" i="50"/>
  <c r="D60" i="50"/>
  <c r="D65" i="50" s="1"/>
  <c r="O71" i="39"/>
  <c r="O67" i="39"/>
  <c r="AT49" i="13"/>
  <c r="AT36" i="13"/>
  <c r="AS48" i="15"/>
  <c r="AO48" i="15" s="1"/>
  <c r="AS35" i="15"/>
  <c r="AM69" i="39"/>
  <c r="AM70" i="39"/>
  <c r="AR49" i="15"/>
  <c r="AR41" i="15"/>
  <c r="I42" i="33"/>
  <c r="C42" i="33" s="1"/>
  <c r="D42" i="33" s="1"/>
  <c r="I50" i="33"/>
  <c r="C50" i="33" s="1"/>
  <c r="AK64" i="43"/>
  <c r="AK60" i="43"/>
  <c r="AK65" i="43" s="1"/>
  <c r="T8" i="47"/>
  <c r="V8" i="47" s="1"/>
  <c r="W8" i="47" s="1"/>
  <c r="AO34" i="15"/>
  <c r="AP34" i="15" s="1"/>
  <c r="E21" i="47"/>
  <c r="AN66" i="39"/>
  <c r="AN70" i="39"/>
  <c r="Q71" i="39"/>
  <c r="Q67" i="39"/>
  <c r="AK49" i="43"/>
  <c r="AK41" i="43"/>
  <c r="AK50" i="43" s="1"/>
  <c r="L70" i="39"/>
  <c r="L69" i="39"/>
  <c r="AR65" i="39"/>
  <c r="K49" i="13"/>
  <c r="K36" i="13"/>
  <c r="K59" i="13"/>
  <c r="AW24" i="43"/>
  <c r="AX24" i="43" s="1"/>
  <c r="Q36" i="50"/>
  <c r="Z60" i="43"/>
  <c r="Z63" i="43"/>
  <c r="Z64" i="43"/>
  <c r="K44" i="33"/>
  <c r="K20" i="33"/>
  <c r="AM20" i="33" s="1"/>
  <c r="AM18" i="33"/>
  <c r="AM44" i="33" s="1"/>
  <c r="AR18" i="33"/>
  <c r="AS59" i="13"/>
  <c r="BD63" i="43"/>
  <c r="V17" i="50"/>
  <c r="X17" i="50" s="1"/>
  <c r="AS66" i="39"/>
  <c r="AS70" i="39"/>
  <c r="AM19" i="33"/>
  <c r="AM45" i="33" s="1"/>
  <c r="K45" i="33"/>
  <c r="H203" i="47"/>
  <c r="S34" i="43"/>
  <c r="S35" i="43" s="1"/>
  <c r="H160" i="47"/>
  <c r="J48" i="50"/>
  <c r="J40" i="50"/>
  <c r="J42" i="50" s="1"/>
  <c r="J44" i="50" s="1"/>
  <c r="J52" i="50" s="1"/>
  <c r="J65" i="50"/>
  <c r="F36" i="47"/>
  <c r="Z37" i="50"/>
  <c r="H272" i="47"/>
  <c r="T50" i="13"/>
  <c r="T42" i="13"/>
  <c r="AS50" i="13"/>
  <c r="AS42" i="13"/>
  <c r="AR42" i="13"/>
  <c r="AR50" i="13"/>
  <c r="AO36" i="13"/>
  <c r="AP36" i="13" s="1"/>
  <c r="P42" i="13"/>
  <c r="P50" i="13"/>
  <c r="P63" i="13"/>
  <c r="P60" i="13"/>
  <c r="P64" i="13" s="1"/>
  <c r="H24" i="47"/>
  <c r="K24" i="47" s="1"/>
  <c r="Q42" i="13"/>
  <c r="Q50" i="13"/>
  <c r="I60" i="13"/>
  <c r="C58" i="13"/>
  <c r="D58" i="13" s="1"/>
  <c r="I63" i="13"/>
  <c r="AN63" i="13"/>
  <c r="AN60" i="13"/>
  <c r="AN64" i="13" s="1"/>
  <c r="AO46" i="13"/>
  <c r="N50" i="33"/>
  <c r="N42" i="33"/>
  <c r="N60" i="33"/>
  <c r="AS58" i="33"/>
  <c r="C58" i="33"/>
  <c r="D58" i="33" s="1"/>
  <c r="F214" i="47"/>
  <c r="H60" i="50"/>
  <c r="I22" i="50"/>
  <c r="E136" i="47"/>
  <c r="F136" i="47" s="1"/>
  <c r="P136" i="47" s="1"/>
  <c r="AW25" i="43"/>
  <c r="AX25" i="43" s="1"/>
  <c r="AW71" i="43"/>
  <c r="AX71" i="43" s="1"/>
  <c r="K58" i="43"/>
  <c r="AU58" i="43" s="1"/>
  <c r="K47" i="43"/>
  <c r="AW75" i="43"/>
  <c r="AX75" i="43" s="1"/>
  <c r="AW27" i="43"/>
  <c r="AX27" i="43" s="1"/>
  <c r="AU76" i="43"/>
  <c r="AW74" i="43"/>
  <c r="AX74" i="43" s="1"/>
  <c r="C47" i="43"/>
  <c r="M48" i="43"/>
  <c r="AW29" i="43"/>
  <c r="AX29" i="43" s="1"/>
  <c r="AW28" i="43"/>
  <c r="AX28" i="43" s="1"/>
  <c r="AW22" i="43"/>
  <c r="AX22" i="43" s="1"/>
  <c r="I308" i="47"/>
  <c r="E13" i="47"/>
  <c r="G82" i="47"/>
  <c r="G39" i="47"/>
  <c r="O39" i="47" s="1"/>
  <c r="H82" i="47"/>
  <c r="E36" i="47"/>
  <c r="D36" i="47"/>
  <c r="H39" i="47"/>
  <c r="P39" i="47" s="1"/>
  <c r="I234" i="47"/>
  <c r="Y46" i="43"/>
  <c r="Y43" i="43"/>
  <c r="Y44" i="43"/>
  <c r="H139" i="47"/>
  <c r="Y47" i="43"/>
  <c r="I14" i="47"/>
  <c r="E10" i="47"/>
  <c r="E115" i="47"/>
  <c r="E19" i="47"/>
  <c r="BA15" i="43"/>
  <c r="AW15" i="43" s="1"/>
  <c r="AX15" i="43" s="1"/>
  <c r="AW14" i="43"/>
  <c r="AX14" i="43" s="1"/>
  <c r="AV14" i="43"/>
  <c r="AV15" i="43" s="1"/>
  <c r="AV47" i="43" s="1"/>
  <c r="P15" i="43"/>
  <c r="P47" i="43" s="1"/>
  <c r="H117" i="47"/>
  <c r="I22" i="47"/>
  <c r="E14" i="47"/>
  <c r="H114" i="47"/>
  <c r="E114" i="47"/>
  <c r="E208" i="47"/>
  <c r="E205" i="47" s="1"/>
  <c r="L26" i="50"/>
  <c r="H177" i="47"/>
  <c r="H180" i="47"/>
  <c r="S61" i="50"/>
  <c r="G67" i="50"/>
  <c r="S46" i="43"/>
  <c r="G40" i="47"/>
  <c r="O40" i="47" s="1"/>
  <c r="D38" i="47"/>
  <c r="H37" i="47"/>
  <c r="P37" i="47" s="1"/>
  <c r="J63" i="50"/>
  <c r="AZ19" i="43"/>
  <c r="AZ45" i="43" s="1"/>
  <c r="M45" i="43"/>
  <c r="C19" i="43"/>
  <c r="D19" i="43" s="1"/>
  <c r="M59" i="43"/>
  <c r="M60" i="43" s="1"/>
  <c r="M65" i="43" s="1"/>
  <c r="M46" i="43"/>
  <c r="H230" i="47"/>
  <c r="E236" i="47"/>
  <c r="K66" i="50"/>
  <c r="K48" i="50"/>
  <c r="K65" i="50"/>
  <c r="K49" i="50"/>
  <c r="K51" i="50"/>
  <c r="K50" i="50"/>
  <c r="W48" i="50"/>
  <c r="W49" i="50"/>
  <c r="E180" i="47"/>
  <c r="S48" i="50"/>
  <c r="H163" i="47"/>
  <c r="Q34" i="43"/>
  <c r="Q48" i="43" s="1"/>
  <c r="BB45" i="43"/>
  <c r="H162" i="47"/>
  <c r="BB63" i="43"/>
  <c r="Q46" i="43"/>
  <c r="BB34" i="43"/>
  <c r="BB48" i="43" s="1"/>
  <c r="D61" i="50"/>
  <c r="I34" i="43"/>
  <c r="I59" i="43" s="1"/>
  <c r="AZ43" i="43"/>
  <c r="O34" i="43"/>
  <c r="O48" i="43" s="1"/>
  <c r="D49" i="50"/>
  <c r="D40" i="50"/>
  <c r="D48" i="50"/>
  <c r="BC34" i="43"/>
  <c r="BC46" i="43"/>
  <c r="BC45" i="43"/>
  <c r="J46" i="43"/>
  <c r="J45" i="43"/>
  <c r="O46" i="43"/>
  <c r="P26" i="50"/>
  <c r="P46" i="50"/>
  <c r="Y34" i="43"/>
  <c r="Y59" i="43" s="1"/>
  <c r="Y45" i="43"/>
  <c r="F27" i="47"/>
  <c r="F44" i="47"/>
  <c r="G306" i="47"/>
  <c r="H306" i="47" s="1"/>
  <c r="K33" i="47"/>
  <c r="P33" i="47" s="1"/>
  <c r="J304" i="47"/>
  <c r="L304" i="47" s="1"/>
  <c r="X36" i="50"/>
  <c r="R47" i="50"/>
  <c r="U19" i="50"/>
  <c r="Z19" i="50" s="1"/>
  <c r="F61" i="50"/>
  <c r="M128" i="47"/>
  <c r="E161" i="47"/>
  <c r="R24" i="50"/>
  <c r="I294" i="47"/>
  <c r="E15" i="47"/>
  <c r="H129" i="47"/>
  <c r="M41" i="43"/>
  <c r="M50" i="43" s="1"/>
  <c r="M49" i="43"/>
  <c r="J59" i="43"/>
  <c r="J48" i="43"/>
  <c r="J35" i="43"/>
  <c r="I293" i="47"/>
  <c r="I303" i="47"/>
  <c r="L303" i="47" s="1"/>
  <c r="H132" i="47"/>
  <c r="H67" i="47" s="1"/>
  <c r="H78" i="47" s="1"/>
  <c r="AZ76" i="43"/>
  <c r="M132" i="47"/>
  <c r="I301" i="47"/>
  <c r="L301" i="47" s="1"/>
  <c r="R34" i="43"/>
  <c r="R46" i="43"/>
  <c r="R45" i="43"/>
  <c r="BA19" i="43"/>
  <c r="G66" i="47"/>
  <c r="L46" i="43"/>
  <c r="L34" i="43"/>
  <c r="L45" i="43"/>
  <c r="AW72" i="43"/>
  <c r="AX72" i="43" s="1"/>
  <c r="AV19" i="43"/>
  <c r="E111" i="47"/>
  <c r="AW18" i="43"/>
  <c r="AX18" i="43" s="1"/>
  <c r="AZ44" i="43"/>
  <c r="I44" i="43"/>
  <c r="C44" i="43" s="1"/>
  <c r="C15" i="43"/>
  <c r="D15" i="43" s="1"/>
  <c r="I45" i="43"/>
  <c r="I46" i="43"/>
  <c r="I43" i="43"/>
  <c r="C43" i="43" s="1"/>
  <c r="I58" i="43"/>
  <c r="K34" i="43"/>
  <c r="K45" i="43"/>
  <c r="K46" i="43"/>
  <c r="I13" i="47"/>
  <c r="L260" i="47"/>
  <c r="AU43" i="43"/>
  <c r="AU19" i="43"/>
  <c r="E113" i="47"/>
  <c r="H113" i="47"/>
  <c r="M129" i="47"/>
  <c r="I302" i="47"/>
  <c r="AW23" i="43"/>
  <c r="AX23" i="43" s="1"/>
  <c r="AZ47" i="43"/>
  <c r="N46" i="43"/>
  <c r="N34" i="43"/>
  <c r="N45" i="43"/>
  <c r="I300" i="47"/>
  <c r="M131" i="47"/>
  <c r="BA76" i="43"/>
  <c r="AW70" i="43"/>
  <c r="AX70" i="43" s="1"/>
  <c r="P34" i="43"/>
  <c r="E116" i="47"/>
  <c r="H116" i="47"/>
  <c r="AV76" i="43"/>
  <c r="AU47" i="43"/>
  <c r="Q47" i="50"/>
  <c r="Q46" i="50"/>
  <c r="Q49" i="50"/>
  <c r="AW17" i="43"/>
  <c r="AX17" i="43" s="1"/>
  <c r="K86" i="47"/>
  <c r="E217" i="47"/>
  <c r="Z33" i="50" l="1"/>
  <c r="J67" i="50"/>
  <c r="L61" i="50"/>
  <c r="L67" i="50" s="1"/>
  <c r="F51" i="50"/>
  <c r="Y65" i="50"/>
  <c r="AO58" i="13"/>
  <c r="AP58" i="13" s="1"/>
  <c r="W40" i="50"/>
  <c r="W51" i="50" s="1"/>
  <c r="L48" i="50"/>
  <c r="N62" i="50"/>
  <c r="BD35" i="43"/>
  <c r="BD49" i="43" s="1"/>
  <c r="J51" i="50"/>
  <c r="J50" i="50"/>
  <c r="X22" i="50"/>
  <c r="S65" i="50"/>
  <c r="S40" i="50"/>
  <c r="S50" i="50" s="1"/>
  <c r="Z62" i="50"/>
  <c r="C63" i="13"/>
  <c r="F50" i="50"/>
  <c r="E40" i="50"/>
  <c r="E50" i="50" s="1"/>
  <c r="I265" i="47"/>
  <c r="I273" i="47" s="1"/>
  <c r="I275" i="47" s="1"/>
  <c r="E49" i="50"/>
  <c r="S48" i="43"/>
  <c r="I26" i="50"/>
  <c r="I48" i="50" s="1"/>
  <c r="E65" i="50"/>
  <c r="Z65" i="43"/>
  <c r="Z61" i="43"/>
  <c r="AS41" i="15"/>
  <c r="AS49" i="15"/>
  <c r="AN67" i="39"/>
  <c r="AN71" i="39"/>
  <c r="E37" i="47"/>
  <c r="G37" i="47" s="1"/>
  <c r="O37" i="47" s="1"/>
  <c r="L300" i="47"/>
  <c r="AW76" i="43"/>
  <c r="AX76" i="43" s="1"/>
  <c r="H208" i="47"/>
  <c r="H205" i="47" s="1"/>
  <c r="K63" i="13"/>
  <c r="K62" i="13"/>
  <c r="K60" i="13"/>
  <c r="K64" i="13" s="1"/>
  <c r="AM59" i="13"/>
  <c r="AR59" i="13"/>
  <c r="H175" i="47"/>
  <c r="AO35" i="15"/>
  <c r="AP35" i="15" s="1"/>
  <c r="AT50" i="13"/>
  <c r="AT42" i="13"/>
  <c r="H201" i="47"/>
  <c r="M67" i="39"/>
  <c r="M71" i="39"/>
  <c r="AO49" i="15"/>
  <c r="AO50" i="13"/>
  <c r="AS71" i="39"/>
  <c r="AS67" i="39"/>
  <c r="M40" i="50"/>
  <c r="M65" i="50"/>
  <c r="AS62" i="13"/>
  <c r="AS63" i="13"/>
  <c r="AR70" i="39"/>
  <c r="AO70" i="39" s="1"/>
  <c r="AO65" i="39"/>
  <c r="AP65" i="39" s="1"/>
  <c r="G40" i="50"/>
  <c r="G48" i="50"/>
  <c r="G49" i="50"/>
  <c r="G65" i="50"/>
  <c r="AS60" i="13"/>
  <c r="V22" i="50"/>
  <c r="V46" i="50" s="1"/>
  <c r="AR20" i="33"/>
  <c r="AO20" i="33" s="1"/>
  <c r="AP20" i="33" s="1"/>
  <c r="AO18" i="33"/>
  <c r="AP18" i="33" s="1"/>
  <c r="AR44" i="33"/>
  <c r="AO44" i="33" s="1"/>
  <c r="AM67" i="39"/>
  <c r="AM71" i="39"/>
  <c r="E160" i="47"/>
  <c r="T61" i="50"/>
  <c r="T66" i="50" s="1"/>
  <c r="U36" i="50"/>
  <c r="Z36" i="50" s="1"/>
  <c r="Q40" i="50"/>
  <c r="E175" i="47"/>
  <c r="K42" i="13"/>
  <c r="K50" i="13"/>
  <c r="AR66" i="39"/>
  <c r="V26" i="50"/>
  <c r="AM48" i="13"/>
  <c r="AM49" i="13"/>
  <c r="AM36" i="13"/>
  <c r="AM50" i="13" s="1"/>
  <c r="AR67" i="39"/>
  <c r="AO67" i="39" s="1"/>
  <c r="AP67" i="39" s="1"/>
  <c r="T51" i="50"/>
  <c r="T42" i="50"/>
  <c r="T44" i="50" s="1"/>
  <c r="T52" i="50" s="1"/>
  <c r="J294" i="47"/>
  <c r="L294" i="47" s="1"/>
  <c r="S59" i="43"/>
  <c r="S60" i="43" s="1"/>
  <c r="S65" i="43" s="1"/>
  <c r="H242" i="47"/>
  <c r="M61" i="50"/>
  <c r="M67" i="50" s="1"/>
  <c r="J265" i="47"/>
  <c r="J273" i="47" s="1"/>
  <c r="J275" i="47" s="1"/>
  <c r="G76" i="47"/>
  <c r="M24" i="47"/>
  <c r="C60" i="13"/>
  <c r="D60" i="13" s="1"/>
  <c r="I64" i="13"/>
  <c r="C64" i="13" s="1"/>
  <c r="AS60" i="33"/>
  <c r="AO60" i="33" s="1"/>
  <c r="AP60" i="33" s="1"/>
  <c r="AO58" i="33"/>
  <c r="AP58" i="33" s="1"/>
  <c r="F250" i="47"/>
  <c r="G250" i="47" s="1"/>
  <c r="H67" i="50"/>
  <c r="H65" i="50"/>
  <c r="H63" i="50"/>
  <c r="H68" i="50" s="1"/>
  <c r="AZ34" i="43"/>
  <c r="AZ48" i="43" s="1"/>
  <c r="BA47" i="43"/>
  <c r="AW47" i="43" s="1"/>
  <c r="I82" i="47"/>
  <c r="K82" i="47"/>
  <c r="G36" i="47"/>
  <c r="O36" i="47" s="1"/>
  <c r="P35" i="43"/>
  <c r="P49" i="43" s="1"/>
  <c r="P46" i="43"/>
  <c r="P58" i="43"/>
  <c r="BA58" i="43" s="1"/>
  <c r="AW58" i="43" s="1"/>
  <c r="AX58" i="43" s="1"/>
  <c r="P45" i="43"/>
  <c r="AV44" i="43"/>
  <c r="P44" i="43"/>
  <c r="P43" i="43"/>
  <c r="AV43" i="43"/>
  <c r="BA43" i="43"/>
  <c r="AW43" i="43" s="1"/>
  <c r="BA44" i="43"/>
  <c r="AW44" i="43" s="1"/>
  <c r="H179" i="47"/>
  <c r="L65" i="50"/>
  <c r="L40" i="50"/>
  <c r="L42" i="50" s="1"/>
  <c r="L44" i="50" s="1"/>
  <c r="L52" i="50" s="1"/>
  <c r="L49" i="50"/>
  <c r="G63" i="50"/>
  <c r="G68" i="50" s="1"/>
  <c r="C46" i="43"/>
  <c r="E61" i="50"/>
  <c r="I61" i="50" s="1"/>
  <c r="M64" i="43"/>
  <c r="M63" i="43"/>
  <c r="C45" i="43"/>
  <c r="AZ46" i="43"/>
  <c r="H36" i="47"/>
  <c r="P36" i="47" s="1"/>
  <c r="M63" i="50"/>
  <c r="M68" i="50" s="1"/>
  <c r="H38" i="47"/>
  <c r="P38" i="47" s="1"/>
  <c r="E210" i="47"/>
  <c r="J68" i="50"/>
  <c r="L63" i="50"/>
  <c r="L68" i="50" s="1"/>
  <c r="Y35" i="43"/>
  <c r="Y41" i="43" s="1"/>
  <c r="Y50" i="43" s="1"/>
  <c r="Q35" i="43"/>
  <c r="Q49" i="43" s="1"/>
  <c r="Y48" i="43"/>
  <c r="C34" i="43"/>
  <c r="D34" i="43" s="1"/>
  <c r="Q59" i="43"/>
  <c r="Q63" i="43" s="1"/>
  <c r="M61" i="43"/>
  <c r="O59" i="43"/>
  <c r="O60" i="43" s="1"/>
  <c r="BB35" i="43"/>
  <c r="BB49" i="43" s="1"/>
  <c r="H238" i="47"/>
  <c r="H236" i="47"/>
  <c r="H232" i="47" s="1"/>
  <c r="E237" i="47"/>
  <c r="E232" i="47"/>
  <c r="E191" i="47"/>
  <c r="E179" i="47"/>
  <c r="S67" i="50"/>
  <c r="S66" i="50"/>
  <c r="S42" i="50"/>
  <c r="S44" i="50" s="1"/>
  <c r="S52" i="50" s="1"/>
  <c r="S51" i="50"/>
  <c r="I48" i="43"/>
  <c r="C48" i="43" s="1"/>
  <c r="O35" i="43"/>
  <c r="O49" i="43" s="1"/>
  <c r="I35" i="43"/>
  <c r="I49" i="43" s="1"/>
  <c r="C49" i="43" s="1"/>
  <c r="D42" i="50"/>
  <c r="D44" i="50" s="1"/>
  <c r="D52" i="50" s="1"/>
  <c r="D51" i="50"/>
  <c r="D50" i="50"/>
  <c r="D63" i="50"/>
  <c r="D68" i="50" s="1"/>
  <c r="P40" i="50"/>
  <c r="P65" i="50"/>
  <c r="P48" i="50"/>
  <c r="P49" i="50"/>
  <c r="BC35" i="43"/>
  <c r="BC48" i="43"/>
  <c r="D66" i="50"/>
  <c r="D67" i="50"/>
  <c r="F28" i="47"/>
  <c r="F45" i="47"/>
  <c r="J299" i="47"/>
  <c r="AB22" i="50"/>
  <c r="U22" i="50"/>
  <c r="R46" i="50"/>
  <c r="R26" i="50"/>
  <c r="Z24" i="50"/>
  <c r="H161" i="47"/>
  <c r="E128" i="47"/>
  <c r="R60" i="50"/>
  <c r="F60" i="50"/>
  <c r="F67" i="50" s="1"/>
  <c r="F66" i="50"/>
  <c r="E63" i="50"/>
  <c r="E16" i="47"/>
  <c r="I10" i="47"/>
  <c r="I66" i="47"/>
  <c r="Q66" i="47" s="1"/>
  <c r="K66" i="47"/>
  <c r="H111" i="47"/>
  <c r="K48" i="43"/>
  <c r="K59" i="43"/>
  <c r="K35" i="43"/>
  <c r="L48" i="43"/>
  <c r="L59" i="43"/>
  <c r="L35" i="43"/>
  <c r="H115" i="47"/>
  <c r="I63" i="43"/>
  <c r="I64" i="43"/>
  <c r="C59" i="43"/>
  <c r="D59" i="43" s="1"/>
  <c r="E51" i="50"/>
  <c r="E42" i="50"/>
  <c r="E44" i="50" s="1"/>
  <c r="E52" i="50" s="1"/>
  <c r="S49" i="43"/>
  <c r="S41" i="43"/>
  <c r="S50" i="43" s="1"/>
  <c r="I15" i="47"/>
  <c r="N35" i="43"/>
  <c r="N59" i="43"/>
  <c r="N48" i="43"/>
  <c r="AU45" i="43"/>
  <c r="AU46" i="43"/>
  <c r="AU34" i="43"/>
  <c r="Y60" i="43"/>
  <c r="Y64" i="43"/>
  <c r="Y63" i="43"/>
  <c r="R59" i="43"/>
  <c r="R35" i="43"/>
  <c r="R48" i="43"/>
  <c r="J60" i="43"/>
  <c r="J64" i="43"/>
  <c r="J63" i="43"/>
  <c r="I60" i="43"/>
  <c r="C58" i="43"/>
  <c r="D58" i="43" s="1"/>
  <c r="H128" i="47"/>
  <c r="I19" i="47"/>
  <c r="E118" i="47"/>
  <c r="J49" i="43"/>
  <c r="J41" i="43"/>
  <c r="J50" i="43" s="1"/>
  <c r="P59" i="43"/>
  <c r="P48" i="43"/>
  <c r="E58" i="47"/>
  <c r="E62" i="47" s="1"/>
  <c r="E79" i="47" s="1"/>
  <c r="I11" i="47"/>
  <c r="AV46" i="43"/>
  <c r="AV45" i="43"/>
  <c r="AV34" i="43"/>
  <c r="BA46" i="43"/>
  <c r="BA34" i="43"/>
  <c r="BA45" i="43"/>
  <c r="AW45" i="43" s="1"/>
  <c r="AW19" i="43"/>
  <c r="AX19" i="43" s="1"/>
  <c r="L293" i="47"/>
  <c r="D26" i="47"/>
  <c r="E219" i="47"/>
  <c r="H210" i="47"/>
  <c r="L66" i="50" l="1"/>
  <c r="W42" i="50"/>
  <c r="W44" i="50" s="1"/>
  <c r="W52" i="50" s="1"/>
  <c r="W50" i="50"/>
  <c r="BD41" i="43"/>
  <c r="BD50" i="43" s="1"/>
  <c r="S61" i="43"/>
  <c r="V47" i="50"/>
  <c r="Y61" i="50"/>
  <c r="J307" i="47"/>
  <c r="J309" i="47" s="1"/>
  <c r="I66" i="50"/>
  <c r="I40" i="50"/>
  <c r="I51" i="50" s="1"/>
  <c r="N26" i="50"/>
  <c r="N40" i="50" s="1"/>
  <c r="I49" i="50"/>
  <c r="S63" i="43"/>
  <c r="S64" i="43"/>
  <c r="H217" i="47"/>
  <c r="E126" i="47"/>
  <c r="E152" i="47" s="1"/>
  <c r="W61" i="50"/>
  <c r="W66" i="50" s="1"/>
  <c r="AS64" i="13"/>
  <c r="AO64" i="13" s="1"/>
  <c r="AO60" i="13"/>
  <c r="AP60" i="13" s="1"/>
  <c r="E38" i="47"/>
  <c r="G38" i="47" s="1"/>
  <c r="O38" i="47" s="1"/>
  <c r="AO59" i="13"/>
  <c r="AP59" i="13" s="1"/>
  <c r="AR62" i="13"/>
  <c r="AO62" i="13" s="1"/>
  <c r="AR63" i="13"/>
  <c r="AO63" i="13" s="1"/>
  <c r="AM62" i="13"/>
  <c r="AM63" i="13"/>
  <c r="AM60" i="13"/>
  <c r="AM64" i="13" s="1"/>
  <c r="V60" i="50"/>
  <c r="V65" i="50" s="1"/>
  <c r="G42" i="50"/>
  <c r="G44" i="50" s="1"/>
  <c r="G52" i="50" s="1"/>
  <c r="G51" i="50"/>
  <c r="G50" i="50"/>
  <c r="V49" i="50"/>
  <c r="V40" i="50"/>
  <c r="X26" i="50"/>
  <c r="V48" i="50"/>
  <c r="Q51" i="50"/>
  <c r="Q42" i="50"/>
  <c r="Q44" i="50" s="1"/>
  <c r="Q52" i="50" s="1"/>
  <c r="Q50" i="50"/>
  <c r="E162" i="47"/>
  <c r="AO66" i="39"/>
  <c r="AP66" i="39" s="1"/>
  <c r="AR71" i="39"/>
  <c r="AO71" i="39" s="1"/>
  <c r="L265" i="47"/>
  <c r="L273" i="47" s="1"/>
  <c r="L275" i="47" s="1"/>
  <c r="AZ35" i="43"/>
  <c r="AZ41" i="43" s="1"/>
  <c r="Q61" i="50"/>
  <c r="Q67" i="50" s="1"/>
  <c r="BB41" i="43"/>
  <c r="BB50" i="43" s="1"/>
  <c r="L50" i="50"/>
  <c r="L51" i="50"/>
  <c r="H182" i="47"/>
  <c r="P41" i="43"/>
  <c r="P50" i="43" s="1"/>
  <c r="Q64" i="43"/>
  <c r="C64" i="43"/>
  <c r="Q41" i="43"/>
  <c r="Q50" i="43" s="1"/>
  <c r="AV58" i="43"/>
  <c r="Y49" i="43"/>
  <c r="E66" i="50"/>
  <c r="AW46" i="43"/>
  <c r="E67" i="50"/>
  <c r="Q60" i="43"/>
  <c r="Q65" i="43" s="1"/>
  <c r="O41" i="43"/>
  <c r="O50" i="43" s="1"/>
  <c r="O64" i="43"/>
  <c r="C63" i="43"/>
  <c r="AZ59" i="43"/>
  <c r="AZ60" i="43" s="1"/>
  <c r="O63" i="43"/>
  <c r="C35" i="43"/>
  <c r="D35" i="43" s="1"/>
  <c r="Y63" i="50"/>
  <c r="Y68" i="50" s="1"/>
  <c r="H244" i="47"/>
  <c r="S63" i="50"/>
  <c r="S68" i="50" s="1"/>
  <c r="E243" i="47"/>
  <c r="Y67" i="50"/>
  <c r="V61" i="50"/>
  <c r="H191" i="47"/>
  <c r="E193" i="47"/>
  <c r="E182" i="47"/>
  <c r="BC49" i="43"/>
  <c r="BC41" i="43"/>
  <c r="BC50" i="43" s="1"/>
  <c r="P61" i="50"/>
  <c r="I41" i="43"/>
  <c r="I50" i="43" s="1"/>
  <c r="C50" i="43" s="1"/>
  <c r="P42" i="50"/>
  <c r="P44" i="50" s="1"/>
  <c r="P52" i="50" s="1"/>
  <c r="P50" i="50"/>
  <c r="P51" i="50"/>
  <c r="F30" i="47"/>
  <c r="F31" i="47" s="1"/>
  <c r="F46" i="47"/>
  <c r="H118" i="47"/>
  <c r="E133" i="47"/>
  <c r="E18" i="47"/>
  <c r="R48" i="50"/>
  <c r="R49" i="50"/>
  <c r="R40" i="50"/>
  <c r="R65" i="50"/>
  <c r="U26" i="50"/>
  <c r="F63" i="50"/>
  <c r="F68" i="50" s="1"/>
  <c r="I60" i="50"/>
  <c r="I67" i="50" s="1"/>
  <c r="F65" i="50"/>
  <c r="E68" i="50"/>
  <c r="N61" i="50"/>
  <c r="Q63" i="50"/>
  <c r="BA48" i="43"/>
  <c r="AW48" i="43" s="1"/>
  <c r="BA35" i="43"/>
  <c r="I299" i="47"/>
  <c r="H133" i="47"/>
  <c r="H130" i="47" s="1"/>
  <c r="E99" i="47"/>
  <c r="E102" i="47"/>
  <c r="E97" i="47"/>
  <c r="E100" i="47"/>
  <c r="E101" i="47"/>
  <c r="P63" i="43"/>
  <c r="P64" i="43"/>
  <c r="C60" i="43"/>
  <c r="D60" i="43" s="1"/>
  <c r="I61" i="43"/>
  <c r="C61" i="43" s="1"/>
  <c r="D61" i="43" s="1"/>
  <c r="I65" i="43"/>
  <c r="C65" i="43" s="1"/>
  <c r="AU35" i="43"/>
  <c r="AU48" i="43"/>
  <c r="AV59" i="43"/>
  <c r="E43" i="47"/>
  <c r="Y65" i="43"/>
  <c r="Y61" i="43"/>
  <c r="N64" i="43"/>
  <c r="N63" i="43"/>
  <c r="BA59" i="43"/>
  <c r="N60" i="43"/>
  <c r="J65" i="43"/>
  <c r="J61" i="43"/>
  <c r="O61" i="43"/>
  <c r="O65" i="43"/>
  <c r="K41" i="43"/>
  <c r="K50" i="43" s="1"/>
  <c r="K49" i="43"/>
  <c r="L63" i="43"/>
  <c r="L60" i="43"/>
  <c r="L64" i="43"/>
  <c r="R41" i="43"/>
  <c r="R50" i="43" s="1"/>
  <c r="R49" i="43"/>
  <c r="N49" i="43"/>
  <c r="N41" i="43"/>
  <c r="N50" i="43" s="1"/>
  <c r="R64" i="43"/>
  <c r="R60" i="43"/>
  <c r="R63" i="43"/>
  <c r="K64" i="43"/>
  <c r="K63" i="43"/>
  <c r="AU59" i="43"/>
  <c r="K60" i="43"/>
  <c r="I43" i="47"/>
  <c r="AV48" i="43"/>
  <c r="AV35" i="43"/>
  <c r="AW34" i="43"/>
  <c r="AX34" i="43" s="1"/>
  <c r="P60" i="43"/>
  <c r="L41" i="43"/>
  <c r="L50" i="43" s="1"/>
  <c r="L49" i="43"/>
  <c r="I16" i="47"/>
  <c r="H97" i="47" s="1"/>
  <c r="W63" i="50"/>
  <c r="H219" i="47"/>
  <c r="AZ49" i="43" l="1"/>
  <c r="I42" i="50"/>
  <c r="I44" i="50" s="1"/>
  <c r="I52" i="50" s="1"/>
  <c r="I50" i="50"/>
  <c r="X61" i="50"/>
  <c r="Q66" i="50"/>
  <c r="AV60" i="43"/>
  <c r="AV65" i="43" s="1"/>
  <c r="E148" i="47"/>
  <c r="E150" i="47"/>
  <c r="E151" i="47"/>
  <c r="E149" i="47"/>
  <c r="W60" i="50"/>
  <c r="W68" i="50" s="1"/>
  <c r="X49" i="50"/>
  <c r="X40" i="50"/>
  <c r="X48" i="50"/>
  <c r="V42" i="50"/>
  <c r="V44" i="50" s="1"/>
  <c r="V52" i="50" s="1"/>
  <c r="V51" i="50"/>
  <c r="V50" i="50"/>
  <c r="T60" i="50"/>
  <c r="Q61" i="43"/>
  <c r="I63" i="50"/>
  <c r="I68" i="50" s="1"/>
  <c r="P63" i="50"/>
  <c r="P68" i="50" s="1"/>
  <c r="AZ63" i="43"/>
  <c r="AZ64" i="43"/>
  <c r="AC44" i="50"/>
  <c r="V63" i="50"/>
  <c r="V68" i="50" s="1"/>
  <c r="H193" i="47"/>
  <c r="V67" i="50"/>
  <c r="V66" i="50"/>
  <c r="C41" i="43"/>
  <c r="D41" i="43" s="1"/>
  <c r="P67" i="50"/>
  <c r="P66" i="50"/>
  <c r="F48" i="47"/>
  <c r="AB44" i="50"/>
  <c r="H138" i="47"/>
  <c r="N60" i="50"/>
  <c r="N65" i="50" s="1"/>
  <c r="I65" i="50"/>
  <c r="E96" i="47"/>
  <c r="U40" i="50"/>
  <c r="Z26" i="50"/>
  <c r="U48" i="50"/>
  <c r="U49" i="50"/>
  <c r="I18" i="47"/>
  <c r="H96" i="47" s="1"/>
  <c r="R63" i="50"/>
  <c r="R68" i="50" s="1"/>
  <c r="R51" i="50"/>
  <c r="R50" i="50"/>
  <c r="R42" i="50"/>
  <c r="R44" i="50" s="1"/>
  <c r="R52" i="50" s="1"/>
  <c r="E130" i="47"/>
  <c r="E26" i="47"/>
  <c r="E59" i="47"/>
  <c r="E138" i="47"/>
  <c r="R61" i="50"/>
  <c r="Q68" i="50"/>
  <c r="BA64" i="43"/>
  <c r="BA63" i="43"/>
  <c r="BA49" i="43"/>
  <c r="BA41" i="43"/>
  <c r="BA50" i="43" s="1"/>
  <c r="L61" i="43"/>
  <c r="L65" i="43"/>
  <c r="AW35" i="43"/>
  <c r="AX35" i="43" s="1"/>
  <c r="AU49" i="43"/>
  <c r="AU41" i="43"/>
  <c r="AU50" i="43" s="1"/>
  <c r="AZ61" i="43"/>
  <c r="AZ65" i="43"/>
  <c r="AZ50" i="43"/>
  <c r="I307" i="47"/>
  <c r="I309" i="47" s="1"/>
  <c r="P65" i="43"/>
  <c r="P61" i="43"/>
  <c r="K61" i="43"/>
  <c r="K65" i="43"/>
  <c r="AV63" i="43"/>
  <c r="AV64" i="43"/>
  <c r="AV49" i="43"/>
  <c r="AV41" i="43"/>
  <c r="AV50" i="43" s="1"/>
  <c r="AW59" i="43"/>
  <c r="AX59" i="43" s="1"/>
  <c r="H100" i="47"/>
  <c r="H99" i="47"/>
  <c r="H58" i="47"/>
  <c r="H62" i="47" s="1"/>
  <c r="H79" i="47" s="1"/>
  <c r="H101" i="47"/>
  <c r="H102" i="47"/>
  <c r="AU64" i="43"/>
  <c r="AU63" i="43"/>
  <c r="AU60" i="43"/>
  <c r="R65" i="43"/>
  <c r="R61" i="43"/>
  <c r="N65" i="43"/>
  <c r="BA60" i="43"/>
  <c r="BA65" i="43" s="1"/>
  <c r="N61" i="43"/>
  <c r="X66" i="50"/>
  <c r="AW49" i="43" l="1"/>
  <c r="AV61" i="43"/>
  <c r="AW64" i="43"/>
  <c r="AW63" i="43"/>
  <c r="E153" i="47"/>
  <c r="E165" i="47"/>
  <c r="X60" i="50"/>
  <c r="W65" i="50"/>
  <c r="W67" i="50"/>
  <c r="T63" i="50"/>
  <c r="T68" i="50" s="1"/>
  <c r="U60" i="50"/>
  <c r="T67" i="50"/>
  <c r="T65" i="50"/>
  <c r="E135" i="47"/>
  <c r="X42" i="50"/>
  <c r="X44" i="50" s="1"/>
  <c r="X52" i="50" s="1"/>
  <c r="X51" i="50"/>
  <c r="X50" i="50"/>
  <c r="X63" i="50"/>
  <c r="N63" i="50"/>
  <c r="N68" i="50" s="1"/>
  <c r="N67" i="50"/>
  <c r="BA61" i="43"/>
  <c r="AW61" i="43" s="1"/>
  <c r="AX61" i="43" s="1"/>
  <c r="F50" i="47"/>
  <c r="R66" i="50"/>
  <c r="R67" i="50"/>
  <c r="U61" i="50"/>
  <c r="E27" i="47"/>
  <c r="Z40" i="50"/>
  <c r="E44" i="47"/>
  <c r="E80" i="47"/>
  <c r="U42" i="50"/>
  <c r="U44" i="50" s="1"/>
  <c r="U52" i="50" s="1"/>
  <c r="U51" i="50"/>
  <c r="U50" i="50"/>
  <c r="G26" i="47"/>
  <c r="O26" i="47" s="1"/>
  <c r="E20" i="47"/>
  <c r="E103" i="47"/>
  <c r="I26" i="47"/>
  <c r="E140" i="47"/>
  <c r="H126" i="47"/>
  <c r="H165" i="47"/>
  <c r="AW41" i="43"/>
  <c r="AX41" i="43" s="1"/>
  <c r="AW50" i="43"/>
  <c r="AW60" i="43"/>
  <c r="AX60" i="43" s="1"/>
  <c r="AU65" i="43"/>
  <c r="AU61" i="43"/>
  <c r="AW65" i="43"/>
  <c r="U63" i="50" l="1"/>
  <c r="Z63" i="50" s="1"/>
  <c r="X68" i="50"/>
  <c r="Z60" i="50"/>
  <c r="Z65" i="50" s="1"/>
  <c r="U65" i="50"/>
  <c r="X67" i="50"/>
  <c r="X65" i="50"/>
  <c r="Z61" i="50"/>
  <c r="U67" i="50"/>
  <c r="U66" i="50"/>
  <c r="H59" i="47"/>
  <c r="I20" i="47"/>
  <c r="H103" i="47"/>
  <c r="E45" i="47"/>
  <c r="E34" i="47"/>
  <c r="G34" i="47" s="1"/>
  <c r="O34" i="47" s="1"/>
  <c r="H148" i="47"/>
  <c r="H151" i="47"/>
  <c r="H152" i="47"/>
  <c r="H150" i="47"/>
  <c r="H140" i="47"/>
  <c r="H149" i="47"/>
  <c r="I27" i="47"/>
  <c r="E98" i="47"/>
  <c r="I44" i="47"/>
  <c r="E28" i="47"/>
  <c r="U68" i="50" l="1"/>
  <c r="Z68" i="50"/>
  <c r="I45" i="47"/>
  <c r="H81" i="47" s="1"/>
  <c r="H83" i="47" s="1"/>
  <c r="H98" i="47"/>
  <c r="E81" i="47"/>
  <c r="E30" i="47"/>
  <c r="H135" i="47"/>
  <c r="E46" i="47"/>
  <c r="H153" i="47"/>
  <c r="H80" i="47"/>
  <c r="I28" i="47"/>
  <c r="Z67" i="50"/>
  <c r="H34" i="47"/>
  <c r="K34" i="47" s="1"/>
  <c r="P34" i="47" s="1"/>
  <c r="E31" i="47" l="1"/>
  <c r="I46" i="47"/>
  <c r="I30" i="47"/>
  <c r="E48" i="47"/>
  <c r="I48" i="47"/>
  <c r="P47" i="47" s="1"/>
  <c r="E83" i="47"/>
  <c r="I49" i="47" l="1"/>
  <c r="I31" i="47"/>
  <c r="I50" i="47"/>
  <c r="H84" i="47" s="1"/>
  <c r="E50" i="47"/>
  <c r="E49" i="47"/>
  <c r="E84" i="47" l="1"/>
  <c r="Z18" i="50" l="1"/>
  <c r="N18" i="50"/>
  <c r="F264" i="47"/>
  <c r="D231" i="47"/>
  <c r="D233" i="47"/>
  <c r="E268" i="47"/>
  <c r="D230" i="47"/>
  <c r="D206" i="47"/>
  <c r="D178" i="47"/>
  <c r="F263" i="47"/>
  <c r="D204" i="47"/>
  <c r="D181" i="47"/>
  <c r="D209" i="47"/>
  <c r="D207" i="47"/>
  <c r="F298" i="47" l="1"/>
  <c r="F296" i="47"/>
  <c r="F295" i="47"/>
  <c r="F297" i="47"/>
  <c r="E266" i="47"/>
  <c r="E267" i="47"/>
  <c r="G268" i="47"/>
  <c r="F268" i="47" s="1"/>
  <c r="H268" i="47" s="1"/>
  <c r="E274" i="47"/>
  <c r="D264" i="47"/>
  <c r="F294" i="47"/>
  <c r="N17" i="50"/>
  <c r="N22" i="50" s="1"/>
  <c r="M22" i="50"/>
  <c r="D203" i="47"/>
  <c r="D261" i="47"/>
  <c r="D266" i="47"/>
  <c r="G233" i="47"/>
  <c r="F266" i="47"/>
  <c r="G207" i="47"/>
  <c r="J204" i="47"/>
  <c r="F204" i="47"/>
  <c r="P204" i="47" s="1"/>
  <c r="D267" i="47"/>
  <c r="D269" i="47"/>
  <c r="D262" i="47"/>
  <c r="G237" i="47"/>
  <c r="F230" i="47"/>
  <c r="P230" i="47" s="1"/>
  <c r="J230" i="47"/>
  <c r="F209" i="47"/>
  <c r="P209" i="47" s="1"/>
  <c r="D218" i="47"/>
  <c r="J209" i="47"/>
  <c r="J178" i="47"/>
  <c r="F178" i="47"/>
  <c r="P178" i="47" s="1"/>
  <c r="D132" i="47"/>
  <c r="G231" i="47"/>
  <c r="D77" i="47"/>
  <c r="P77" i="47" s="1"/>
  <c r="F233" i="47"/>
  <c r="P233" i="47" s="1"/>
  <c r="J233" i="47"/>
  <c r="J207" i="47"/>
  <c r="D72" i="47"/>
  <c r="F72" i="47" s="1"/>
  <c r="P72" i="47" s="1"/>
  <c r="D192" i="47"/>
  <c r="J181" i="47"/>
  <c r="F181" i="47"/>
  <c r="P181" i="47" s="1"/>
  <c r="Y22" i="50"/>
  <c r="Z17" i="50"/>
  <c r="Z22" i="50" s="1"/>
  <c r="D242" i="47"/>
  <c r="G181" i="47"/>
  <c r="G209" i="47"/>
  <c r="G178" i="47"/>
  <c r="J206" i="47"/>
  <c r="F206" i="47"/>
  <c r="D71" i="47"/>
  <c r="F71" i="47" s="1"/>
  <c r="P71" i="47" s="1"/>
  <c r="D270" i="47"/>
  <c r="D129" i="47"/>
  <c r="F129" i="47" s="1"/>
  <c r="P129" i="47" s="1"/>
  <c r="G204" i="47"/>
  <c r="D177" i="47"/>
  <c r="J231" i="47"/>
  <c r="F231" i="47"/>
  <c r="P231" i="47" s="1"/>
  <c r="D134" i="47"/>
  <c r="F134" i="47" s="1"/>
  <c r="P134" i="47" s="1"/>
  <c r="D260" i="47"/>
  <c r="D274" i="47"/>
  <c r="D263" i="47"/>
  <c r="G206" i="47"/>
  <c r="E261" i="47" l="1"/>
  <c r="G261" i="47" s="1"/>
  <c r="H261" i="47" s="1"/>
  <c r="E260" i="47"/>
  <c r="G260" i="47" s="1"/>
  <c r="H260" i="47" s="1"/>
  <c r="F274" i="47"/>
  <c r="H274" i="47" s="1"/>
  <c r="G267" i="47"/>
  <c r="F267" i="47" s="1"/>
  <c r="H267" i="47" s="1"/>
  <c r="G270" i="47"/>
  <c r="H270" i="47" s="1"/>
  <c r="G266" i="47"/>
  <c r="H266" i="47" s="1"/>
  <c r="D208" i="47"/>
  <c r="F203" i="47"/>
  <c r="P203" i="47" s="1"/>
  <c r="J203" i="47"/>
  <c r="E301" i="47"/>
  <c r="D19" i="47"/>
  <c r="I209" i="47"/>
  <c r="Q209" i="47" s="1"/>
  <c r="G218" i="47"/>
  <c r="K209" i="47"/>
  <c r="D22" i="47"/>
  <c r="G22" i="47" s="1"/>
  <c r="O21" i="47" s="1"/>
  <c r="D259" i="47"/>
  <c r="L127" i="47"/>
  <c r="N127" i="47" s="1"/>
  <c r="O127" i="47" s="1"/>
  <c r="E304" i="47"/>
  <c r="G269" i="47"/>
  <c r="H269" i="47" s="1"/>
  <c r="E259" i="47"/>
  <c r="D114" i="47"/>
  <c r="F114" i="47" s="1"/>
  <c r="P114" i="47" s="1"/>
  <c r="D139" i="47"/>
  <c r="F139" i="47" s="1"/>
  <c r="P139" i="47" s="1"/>
  <c r="G129" i="47"/>
  <c r="I129" i="47" s="1"/>
  <c r="Q129" i="47" s="1"/>
  <c r="G203" i="47"/>
  <c r="T265" i="47"/>
  <c r="D10" i="47"/>
  <c r="K181" i="47"/>
  <c r="G192" i="47"/>
  <c r="I181" i="47"/>
  <c r="Q181" i="47" s="1"/>
  <c r="K231" i="47"/>
  <c r="I231" i="47"/>
  <c r="Q231" i="47" s="1"/>
  <c r="G132" i="47"/>
  <c r="L131" i="47"/>
  <c r="N131" i="47" s="1"/>
  <c r="O131" i="47" s="1"/>
  <c r="D113" i="47"/>
  <c r="F113" i="47" s="1"/>
  <c r="P113" i="47" s="1"/>
  <c r="D116" i="47"/>
  <c r="F116" i="47" s="1"/>
  <c r="P116" i="47" s="1"/>
  <c r="D67" i="47"/>
  <c r="F67" i="47" s="1"/>
  <c r="P67" i="47" s="1"/>
  <c r="F132" i="47"/>
  <c r="P132" i="47" s="1"/>
  <c r="D303" i="47"/>
  <c r="D112" i="47"/>
  <c r="F112" i="47" s="1"/>
  <c r="P112" i="47" s="1"/>
  <c r="T262" i="47"/>
  <c r="K237" i="47"/>
  <c r="I237" i="47"/>
  <c r="Q237" i="47" s="1"/>
  <c r="G243" i="47"/>
  <c r="L130" i="47"/>
  <c r="N130" i="47" s="1"/>
  <c r="O130" i="47" s="1"/>
  <c r="I233" i="47"/>
  <c r="Q233" i="47" s="1"/>
  <c r="K233" i="47"/>
  <c r="G77" i="47"/>
  <c r="T263" i="47"/>
  <c r="D111" i="47"/>
  <c r="G177" i="47"/>
  <c r="E263" i="47"/>
  <c r="G263" i="47" s="1"/>
  <c r="H263" i="47" s="1"/>
  <c r="K302" i="47"/>
  <c r="G71" i="47"/>
  <c r="K206" i="47"/>
  <c r="I206" i="47"/>
  <c r="L129" i="47"/>
  <c r="N129" i="47" s="1"/>
  <c r="O129" i="47" s="1"/>
  <c r="I204" i="47"/>
  <c r="Q204" i="47" s="1"/>
  <c r="K204" i="47"/>
  <c r="I178" i="47"/>
  <c r="Q178" i="47" s="1"/>
  <c r="K178" i="47"/>
  <c r="T264" i="47"/>
  <c r="D117" i="47"/>
  <c r="F117" i="47" s="1"/>
  <c r="P117" i="47" s="1"/>
  <c r="D300" i="47"/>
  <c r="D115" i="47"/>
  <c r="F115" i="47" s="1"/>
  <c r="P115" i="47" s="1"/>
  <c r="M51" i="50"/>
  <c r="M49" i="50"/>
  <c r="M50" i="50"/>
  <c r="M47" i="50"/>
  <c r="AD22" i="50"/>
  <c r="M42" i="50"/>
  <c r="M44" i="50" s="1"/>
  <c r="M46" i="50"/>
  <c r="M66" i="50"/>
  <c r="M48" i="50"/>
  <c r="D302" i="47"/>
  <c r="D301" i="47"/>
  <c r="T261" i="47"/>
  <c r="G134" i="47"/>
  <c r="I134" i="47" s="1"/>
  <c r="Q134" i="47" s="1"/>
  <c r="D11" i="47"/>
  <c r="G11" i="47" s="1"/>
  <c r="O11" i="47" s="1"/>
  <c r="D131" i="47"/>
  <c r="E308" i="47"/>
  <c r="Z46" i="50"/>
  <c r="Z48" i="50"/>
  <c r="Z49" i="50"/>
  <c r="Z42" i="50"/>
  <c r="Z44" i="50" s="1"/>
  <c r="Z52" i="50" s="1"/>
  <c r="Z50" i="50"/>
  <c r="Z66" i="50"/>
  <c r="Z47" i="50"/>
  <c r="Z51" i="50"/>
  <c r="J218" i="47"/>
  <c r="F218" i="47"/>
  <c r="P218" i="47" s="1"/>
  <c r="E262" i="47"/>
  <c r="G262" i="47" s="1"/>
  <c r="H262" i="47" s="1"/>
  <c r="N49" i="50"/>
  <c r="N42" i="50"/>
  <c r="N44" i="50" s="1"/>
  <c r="N52" i="50" s="1"/>
  <c r="N66" i="50"/>
  <c r="N50" i="50"/>
  <c r="N46" i="50"/>
  <c r="N51" i="50"/>
  <c r="N47" i="50"/>
  <c r="N48" i="50"/>
  <c r="G230" i="47"/>
  <c r="E303" i="47"/>
  <c r="J177" i="47"/>
  <c r="F177" i="47"/>
  <c r="P177" i="47" s="1"/>
  <c r="E300" i="47"/>
  <c r="L128" i="47"/>
  <c r="N128" i="47" s="1"/>
  <c r="O128" i="47" s="1"/>
  <c r="G72" i="47"/>
  <c r="K207" i="47"/>
  <c r="D235" i="47"/>
  <c r="D180" i="47"/>
  <c r="L126" i="47"/>
  <c r="N126" i="47" s="1"/>
  <c r="O126" i="47" s="1"/>
  <c r="D14" i="47"/>
  <c r="G14" i="47" s="1"/>
  <c r="O14" i="47" s="1"/>
  <c r="D128" i="47"/>
  <c r="F128" i="47" s="1"/>
  <c r="P128" i="47" s="1"/>
  <c r="E302" i="47"/>
  <c r="J242" i="47"/>
  <c r="F242" i="47"/>
  <c r="P242" i="47" s="1"/>
  <c r="Y66" i="50"/>
  <c r="Y48" i="50"/>
  <c r="Y50" i="50"/>
  <c r="Y49" i="50"/>
  <c r="Y42" i="50"/>
  <c r="Y44" i="50" s="1"/>
  <c r="Y52" i="50" s="1"/>
  <c r="Y46" i="50"/>
  <c r="Y51" i="50"/>
  <c r="Y47" i="50"/>
  <c r="F192" i="47"/>
  <c r="P192" i="47" s="1"/>
  <c r="J192" i="47"/>
  <c r="E264" i="47"/>
  <c r="G264" i="47" s="1"/>
  <c r="H264" i="47" s="1"/>
  <c r="L132" i="47"/>
  <c r="N132" i="47" s="1"/>
  <c r="O132" i="47" s="1"/>
  <c r="D308" i="47"/>
  <c r="D12" i="47" l="1"/>
  <c r="G12" i="47" s="1"/>
  <c r="O12" i="47" s="1"/>
  <c r="D13" i="47"/>
  <c r="G13" i="47" s="1"/>
  <c r="O13" i="47" s="1"/>
  <c r="D15" i="47"/>
  <c r="G15" i="47" s="1"/>
  <c r="O15" i="47" s="1"/>
  <c r="E297" i="47"/>
  <c r="E295" i="47"/>
  <c r="E296" i="47"/>
  <c r="E294" i="47"/>
  <c r="E298" i="47"/>
  <c r="L308" i="47"/>
  <c r="D118" i="47"/>
  <c r="F118" i="47" s="1"/>
  <c r="P118" i="47" s="1"/>
  <c r="F111" i="47"/>
  <c r="P111" i="47" s="1"/>
  <c r="G116" i="47"/>
  <c r="I116" i="47" s="1"/>
  <c r="Q116" i="47" s="1"/>
  <c r="D18" i="47"/>
  <c r="H11" i="47"/>
  <c r="G112" i="47"/>
  <c r="I112" i="47" s="1"/>
  <c r="Q112" i="47" s="1"/>
  <c r="I192" i="47"/>
  <c r="Q192" i="47" s="1"/>
  <c r="K192" i="47"/>
  <c r="G19" i="47"/>
  <c r="O19" i="47" s="1"/>
  <c r="H14" i="47"/>
  <c r="G297" i="47"/>
  <c r="D297" i="47"/>
  <c r="G301" i="47"/>
  <c r="F301" i="47" s="1"/>
  <c r="H301" i="47" s="1"/>
  <c r="G117" i="47"/>
  <c r="I117" i="47" s="1"/>
  <c r="Q117" i="47" s="1"/>
  <c r="G180" i="47"/>
  <c r="H22" i="47"/>
  <c r="K22" i="47" s="1"/>
  <c r="H19" i="47"/>
  <c r="H10" i="47"/>
  <c r="F180" i="47"/>
  <c r="P180" i="47" s="1"/>
  <c r="D179" i="47"/>
  <c r="J180" i="47"/>
  <c r="G131" i="47"/>
  <c r="G115" i="47"/>
  <c r="I115" i="47" s="1"/>
  <c r="Q115" i="47" s="1"/>
  <c r="G303" i="47"/>
  <c r="F303" i="47" s="1"/>
  <c r="H303" i="47" s="1"/>
  <c r="G128" i="47"/>
  <c r="I128" i="47" s="1"/>
  <c r="Q128" i="47" s="1"/>
  <c r="H15" i="47"/>
  <c r="D294" i="47"/>
  <c r="G294" i="47"/>
  <c r="G114" i="47"/>
  <c r="I114" i="47" s="1"/>
  <c r="Q114" i="47" s="1"/>
  <c r="K218" i="47"/>
  <c r="I218" i="47"/>
  <c r="Q218" i="47" s="1"/>
  <c r="F235" i="47"/>
  <c r="J235" i="47"/>
  <c r="I230" i="47"/>
  <c r="Q230" i="47" s="1"/>
  <c r="K230" i="47"/>
  <c r="D68" i="47"/>
  <c r="D78" i="47" s="1"/>
  <c r="F78" i="47" s="1"/>
  <c r="P78" i="47" s="1"/>
  <c r="F131" i="47"/>
  <c r="P131" i="47" s="1"/>
  <c r="T266" i="47"/>
  <c r="D295" i="47"/>
  <c r="G295" i="47"/>
  <c r="H13" i="47"/>
  <c r="G67" i="47"/>
  <c r="I132" i="47"/>
  <c r="Q132" i="47" s="1"/>
  <c r="H12" i="47"/>
  <c r="E314" i="47"/>
  <c r="F308" i="47"/>
  <c r="F314" i="47" s="1"/>
  <c r="D133" i="47"/>
  <c r="V261" i="47"/>
  <c r="L302" i="47"/>
  <c r="K299" i="47"/>
  <c r="I177" i="47"/>
  <c r="Q177" i="47" s="1"/>
  <c r="K177" i="47"/>
  <c r="F265" i="47"/>
  <c r="F273" i="47" s="1"/>
  <c r="G296" i="47"/>
  <c r="D296" i="47"/>
  <c r="V263" i="47"/>
  <c r="G208" i="47"/>
  <c r="D21" i="47"/>
  <c r="D191" i="47"/>
  <c r="D293" i="47"/>
  <c r="D314" i="47"/>
  <c r="D304" i="47"/>
  <c r="V264" i="47"/>
  <c r="G236" i="47"/>
  <c r="G302" i="47"/>
  <c r="F302" i="47" s="1"/>
  <c r="H302" i="47" s="1"/>
  <c r="AD44" i="50"/>
  <c r="M52" i="50"/>
  <c r="V265" i="47"/>
  <c r="G300" i="47"/>
  <c r="F300" i="47" s="1"/>
  <c r="H300" i="47" s="1"/>
  <c r="Q71" i="47"/>
  <c r="K71" i="47"/>
  <c r="G111" i="47"/>
  <c r="K243" i="47"/>
  <c r="I243" i="47"/>
  <c r="Q243" i="47" s="1"/>
  <c r="K203" i="47"/>
  <c r="I203" i="47"/>
  <c r="Q203" i="47" s="1"/>
  <c r="G139" i="47"/>
  <c r="I139" i="47" s="1"/>
  <c r="Q139" i="47" s="1"/>
  <c r="D201" i="47"/>
  <c r="G259" i="47"/>
  <c r="H259" i="47" s="1"/>
  <c r="D205" i="47"/>
  <c r="F208" i="47"/>
  <c r="P208" i="47" s="1"/>
  <c r="J208" i="47"/>
  <c r="E293" i="47"/>
  <c r="D298" i="47"/>
  <c r="G298" i="47"/>
  <c r="D175" i="47"/>
  <c r="K77" i="47"/>
  <c r="Q77" i="47"/>
  <c r="G113" i="47"/>
  <c r="I113" i="47" s="1"/>
  <c r="Q113" i="47" s="1"/>
  <c r="V262" i="47"/>
  <c r="G10" i="47"/>
  <c r="O10" i="47" s="1"/>
  <c r="D217" i="47"/>
  <c r="D16" i="47" l="1"/>
  <c r="G16" i="47" s="1"/>
  <c r="O16" i="47" s="1"/>
  <c r="D58" i="47"/>
  <c r="D62" i="47" s="1"/>
  <c r="D20" i="47"/>
  <c r="G304" i="47"/>
  <c r="F304" i="47" s="1"/>
  <c r="H304" i="47" s="1"/>
  <c r="H298" i="47"/>
  <c r="G118" i="47"/>
  <c r="I111" i="47"/>
  <c r="Q111" i="47" s="1"/>
  <c r="G242" i="47"/>
  <c r="G293" i="47"/>
  <c r="D265" i="47"/>
  <c r="D273" i="47" s="1"/>
  <c r="D275" i="47" s="1"/>
  <c r="K180" i="47"/>
  <c r="G179" i="47"/>
  <c r="I180" i="47"/>
  <c r="Q180" i="47" s="1"/>
  <c r="H18" i="47"/>
  <c r="D160" i="47"/>
  <c r="F160" i="47" s="1"/>
  <c r="P160" i="47" s="1"/>
  <c r="H308" i="47"/>
  <c r="D130" i="47"/>
  <c r="F130" i="47" s="1"/>
  <c r="P130" i="47" s="1"/>
  <c r="F133" i="47"/>
  <c r="P133" i="47" s="1"/>
  <c r="G175" i="47"/>
  <c r="D161" i="47"/>
  <c r="F161" i="47" s="1"/>
  <c r="P161" i="47" s="1"/>
  <c r="J175" i="47"/>
  <c r="F175" i="47"/>
  <c r="P175" i="47" s="1"/>
  <c r="J205" i="47"/>
  <c r="F205" i="47"/>
  <c r="P205" i="47" s="1"/>
  <c r="J201" i="47"/>
  <c r="F201" i="47"/>
  <c r="P201" i="47" s="1"/>
  <c r="E299" i="47"/>
  <c r="E307" i="47" s="1"/>
  <c r="E309" i="47" s="1"/>
  <c r="I208" i="47"/>
  <c r="Q208" i="47" s="1"/>
  <c r="G205" i="47"/>
  <c r="K208" i="47"/>
  <c r="V266" i="47"/>
  <c r="D299" i="47"/>
  <c r="D313" i="47" s="1"/>
  <c r="D315" i="47" s="1"/>
  <c r="G68" i="47"/>
  <c r="G78" i="47" s="1"/>
  <c r="I131" i="47"/>
  <c r="Q131" i="47" s="1"/>
  <c r="M10" i="47"/>
  <c r="H16" i="47"/>
  <c r="G97" i="47" s="1"/>
  <c r="I97" i="47" s="1"/>
  <c r="K10" i="47"/>
  <c r="P10" i="47" s="1"/>
  <c r="M14" i="47"/>
  <c r="K14" i="47"/>
  <c r="P14" i="47" s="1"/>
  <c r="G18" i="47"/>
  <c r="O18" i="47" s="1"/>
  <c r="M13" i="47"/>
  <c r="K13" i="47"/>
  <c r="P13" i="47" s="1"/>
  <c r="F191" i="47"/>
  <c r="P191" i="47" s="1"/>
  <c r="J191" i="47"/>
  <c r="D162" i="47"/>
  <c r="F162" i="47" s="1"/>
  <c r="P162" i="47" s="1"/>
  <c r="I67" i="47"/>
  <c r="Q67" i="47" s="1"/>
  <c r="K67" i="47"/>
  <c r="E265" i="47"/>
  <c r="E273" i="47" s="1"/>
  <c r="E275" i="47" s="1"/>
  <c r="K12" i="47"/>
  <c r="P12" i="47" s="1"/>
  <c r="M12" i="47"/>
  <c r="G133" i="47"/>
  <c r="G191" i="47"/>
  <c r="H21" i="47"/>
  <c r="G201" i="47"/>
  <c r="M15" i="47"/>
  <c r="K15" i="47"/>
  <c r="P15" i="47" s="1"/>
  <c r="J179" i="47"/>
  <c r="F179" i="47"/>
  <c r="P179" i="47" s="1"/>
  <c r="K19" i="47"/>
  <c r="P19" i="47" s="1"/>
  <c r="M19" i="47"/>
  <c r="J217" i="47"/>
  <c r="F217" i="47"/>
  <c r="P217" i="47" s="1"/>
  <c r="D138" i="47"/>
  <c r="F138" i="47" s="1"/>
  <c r="P138" i="47" s="1"/>
  <c r="G217" i="47"/>
  <c r="I236" i="47"/>
  <c r="Q236" i="47" s="1"/>
  <c r="G232" i="47"/>
  <c r="K236" i="47"/>
  <c r="G21" i="47"/>
  <c r="L299" i="47"/>
  <c r="L307" i="47" s="1"/>
  <c r="L309" i="47" s="1"/>
  <c r="K307" i="47"/>
  <c r="K309" i="47" s="1"/>
  <c r="D163" i="47"/>
  <c r="F163" i="47" s="1"/>
  <c r="P163" i="47" s="1"/>
  <c r="K11" i="47"/>
  <c r="P11" i="47" s="1"/>
  <c r="M11" i="47"/>
  <c r="D59" i="47"/>
  <c r="F59" i="47" s="1"/>
  <c r="P59" i="47" s="1"/>
  <c r="D103" i="47" l="1"/>
  <c r="F103" i="47" s="1"/>
  <c r="D96" i="47"/>
  <c r="F96" i="47" s="1"/>
  <c r="D101" i="47"/>
  <c r="F101" i="47" s="1"/>
  <c r="D100" i="47"/>
  <c r="F100" i="47" s="1"/>
  <c r="D99" i="47"/>
  <c r="F99" i="47" s="1"/>
  <c r="D102" i="47"/>
  <c r="F102" i="47" s="1"/>
  <c r="D97" i="47"/>
  <c r="F97" i="47" s="1"/>
  <c r="F58" i="47"/>
  <c r="P58" i="47" s="1"/>
  <c r="D43" i="47"/>
  <c r="G43" i="47" s="1"/>
  <c r="D27" i="47"/>
  <c r="G27" i="47" s="1"/>
  <c r="O27" i="47" s="1"/>
  <c r="E313" i="47"/>
  <c r="E315" i="47" s="1"/>
  <c r="G138" i="47"/>
  <c r="I138" i="47" s="1"/>
  <c r="Q138" i="47" s="1"/>
  <c r="G99" i="47"/>
  <c r="I99" i="47" s="1"/>
  <c r="G102" i="47"/>
  <c r="I102" i="47" s="1"/>
  <c r="M16" i="47"/>
  <c r="K16" i="47"/>
  <c r="P16" i="47" s="1"/>
  <c r="G58" i="47"/>
  <c r="G101" i="47"/>
  <c r="I101" i="47" s="1"/>
  <c r="G96" i="47"/>
  <c r="I96" i="47" s="1"/>
  <c r="K18" i="47"/>
  <c r="P18" i="47" s="1"/>
  <c r="M18" i="47"/>
  <c r="I179" i="47"/>
  <c r="Q179" i="47" s="1"/>
  <c r="K179" i="47"/>
  <c r="G160" i="47"/>
  <c r="I160" i="47" s="1"/>
  <c r="Q160" i="47" s="1"/>
  <c r="D307" i="47"/>
  <c r="D309" i="47" s="1"/>
  <c r="G265" i="47"/>
  <c r="K205" i="47"/>
  <c r="I205" i="47"/>
  <c r="Q205" i="47" s="1"/>
  <c r="K175" i="47"/>
  <c r="I175" i="47"/>
  <c r="Q175" i="47" s="1"/>
  <c r="I242" i="47"/>
  <c r="Q242" i="47" s="1"/>
  <c r="K242" i="47"/>
  <c r="M21" i="47"/>
  <c r="G100" i="47"/>
  <c r="I100" i="47" s="1"/>
  <c r="K21" i="47"/>
  <c r="P21" i="47" s="1"/>
  <c r="H43" i="47"/>
  <c r="D126" i="47"/>
  <c r="G163" i="47"/>
  <c r="I163" i="47" s="1"/>
  <c r="Q163" i="47" s="1"/>
  <c r="H26" i="47"/>
  <c r="K232" i="47"/>
  <c r="I232" i="47"/>
  <c r="Q232" i="47" s="1"/>
  <c r="I217" i="47"/>
  <c r="Q217" i="47" s="1"/>
  <c r="K217" i="47"/>
  <c r="D182" i="47"/>
  <c r="I133" i="47"/>
  <c r="Q133" i="47" s="1"/>
  <c r="G130" i="47"/>
  <c r="I130" i="47" s="1"/>
  <c r="Q130" i="47" s="1"/>
  <c r="I78" i="47"/>
  <c r="Q78" i="47" s="1"/>
  <c r="K78" i="47"/>
  <c r="G161" i="47"/>
  <c r="I161" i="47" s="1"/>
  <c r="Q161" i="47" s="1"/>
  <c r="H27" i="47"/>
  <c r="K27" i="47" s="1"/>
  <c r="P27" i="47" s="1"/>
  <c r="H293" i="47"/>
  <c r="I118" i="47"/>
  <c r="Q118" i="47" s="1"/>
  <c r="K118" i="47"/>
  <c r="D210" i="47"/>
  <c r="D98" i="47"/>
  <c r="F98" i="47" s="1"/>
  <c r="G20" i="47"/>
  <c r="O20" i="47" s="1"/>
  <c r="I201" i="47"/>
  <c r="Q201" i="47" s="1"/>
  <c r="K201" i="47"/>
  <c r="F62" i="47"/>
  <c r="D79" i="47"/>
  <c r="F79" i="47" s="1"/>
  <c r="P79" i="47" s="1"/>
  <c r="I191" i="47"/>
  <c r="Q191" i="47" s="1"/>
  <c r="K191" i="47"/>
  <c r="D193" i="47"/>
  <c r="G162" i="47"/>
  <c r="I162" i="47" s="1"/>
  <c r="Q162" i="47" s="1"/>
  <c r="D219" i="47"/>
  <c r="D28" i="47" l="1"/>
  <c r="G28" i="47" s="1"/>
  <c r="O28" i="47" s="1"/>
  <c r="J210" i="47"/>
  <c r="F210" i="47"/>
  <c r="P210" i="47" s="1"/>
  <c r="J193" i="47"/>
  <c r="F193" i="47"/>
  <c r="P193" i="47" s="1"/>
  <c r="G299" i="47"/>
  <c r="M43" i="47"/>
  <c r="K43" i="47"/>
  <c r="H28" i="47"/>
  <c r="G59" i="47"/>
  <c r="H20" i="47"/>
  <c r="G103" i="47"/>
  <c r="I103" i="47" s="1"/>
  <c r="M26" i="47"/>
  <c r="K26" i="47"/>
  <c r="P26" i="47" s="1"/>
  <c r="G182" i="47"/>
  <c r="F182" i="47"/>
  <c r="P182" i="47" s="1"/>
  <c r="J182" i="47"/>
  <c r="G219" i="47"/>
  <c r="G273" i="47"/>
  <c r="H265" i="47"/>
  <c r="J219" i="47"/>
  <c r="F219" i="47"/>
  <c r="P219" i="47" s="1"/>
  <c r="G193" i="47"/>
  <c r="G210" i="47"/>
  <c r="I58" i="47"/>
  <c r="Q58" i="47" s="1"/>
  <c r="G62" i="47"/>
  <c r="K58" i="47"/>
  <c r="D165" i="47"/>
  <c r="F165" i="47" s="1"/>
  <c r="G126" i="47"/>
  <c r="D148" i="47"/>
  <c r="F126" i="47"/>
  <c r="P126" i="47" s="1"/>
  <c r="D140" i="47"/>
  <c r="F140" i="47" s="1"/>
  <c r="P140" i="47" s="1"/>
  <c r="D151" i="47"/>
  <c r="F151" i="47" s="1"/>
  <c r="P151" i="47" s="1"/>
  <c r="D149" i="47"/>
  <c r="F149" i="47" s="1"/>
  <c r="P149" i="47" s="1"/>
  <c r="D150" i="47"/>
  <c r="F150" i="47" s="1"/>
  <c r="P150" i="47" s="1"/>
  <c r="D152" i="47"/>
  <c r="F152" i="47" s="1"/>
  <c r="P152" i="47" s="1"/>
  <c r="D30" i="47" l="1"/>
  <c r="G30" i="47" s="1"/>
  <c r="O30" i="47" s="1"/>
  <c r="I126" i="47"/>
  <c r="Q126" i="47" s="1"/>
  <c r="G151" i="47"/>
  <c r="I151" i="47" s="1"/>
  <c r="Q151" i="47" s="1"/>
  <c r="G148" i="47"/>
  <c r="G140" i="47"/>
  <c r="I140" i="47" s="1"/>
  <c r="Q140" i="47" s="1"/>
  <c r="G150" i="47"/>
  <c r="I150" i="47" s="1"/>
  <c r="Q150" i="47" s="1"/>
  <c r="G149" i="47"/>
  <c r="I149" i="47" s="1"/>
  <c r="Q149" i="47" s="1"/>
  <c r="G152" i="47"/>
  <c r="I152" i="47" s="1"/>
  <c r="Q152" i="47" s="1"/>
  <c r="H30" i="47"/>
  <c r="K30" i="47" s="1"/>
  <c r="P30" i="47" s="1"/>
  <c r="G165" i="47"/>
  <c r="I165" i="47" s="1"/>
  <c r="K210" i="47"/>
  <c r="I210" i="47"/>
  <c r="Q210" i="47" s="1"/>
  <c r="K193" i="47"/>
  <c r="I193" i="47"/>
  <c r="Q193" i="47" s="1"/>
  <c r="G275" i="47"/>
  <c r="F275" i="47" s="1"/>
  <c r="H275" i="47" s="1"/>
  <c r="H273" i="47"/>
  <c r="K28" i="47"/>
  <c r="P28" i="47" s="1"/>
  <c r="F299" i="47"/>
  <c r="G313" i="47"/>
  <c r="G315" i="47" s="1"/>
  <c r="G307" i="47"/>
  <c r="G309" i="47" s="1"/>
  <c r="F309" i="47" s="1"/>
  <c r="H309" i="47" s="1"/>
  <c r="G79" i="47"/>
  <c r="I62" i="47"/>
  <c r="K20" i="47"/>
  <c r="P20" i="47" s="1"/>
  <c r="G98" i="47"/>
  <c r="I98" i="47" s="1"/>
  <c r="M20" i="47"/>
  <c r="I59" i="47"/>
  <c r="Q59" i="47" s="1"/>
  <c r="K59" i="47"/>
  <c r="M80" i="47"/>
  <c r="D135" i="47"/>
  <c r="F135" i="47" s="1"/>
  <c r="P135" i="47" s="1"/>
  <c r="D153" i="47"/>
  <c r="F148" i="47"/>
  <c r="P148" i="47" s="1"/>
  <c r="I219" i="47"/>
  <c r="Q219" i="47" s="1"/>
  <c r="K219" i="47"/>
  <c r="I182" i="47"/>
  <c r="Q182" i="47" s="1"/>
  <c r="K182" i="47"/>
  <c r="D31" i="47" l="1"/>
  <c r="G31" i="47" s="1"/>
  <c r="O31" i="47" s="1"/>
  <c r="H31" i="47"/>
  <c r="K31" i="47" s="1"/>
  <c r="P31" i="47" s="1"/>
  <c r="F313" i="47"/>
  <c r="F315" i="47" s="1"/>
  <c r="F307" i="47"/>
  <c r="H307" i="47" s="1"/>
  <c r="G228" i="47"/>
  <c r="D236" i="47"/>
  <c r="I79" i="47"/>
  <c r="Q79" i="47" s="1"/>
  <c r="K79" i="47"/>
  <c r="G135" i="47"/>
  <c r="I135" i="47" s="1"/>
  <c r="Q135" i="47" s="1"/>
  <c r="G153" i="47"/>
  <c r="I148" i="47"/>
  <c r="Q148" i="47" s="1"/>
  <c r="H299" i="47"/>
  <c r="K228" i="47" l="1"/>
  <c r="I228" i="47"/>
  <c r="Q228" i="47" s="1"/>
  <c r="F236" i="47"/>
  <c r="P236" i="47" s="1"/>
  <c r="D232" i="47"/>
  <c r="J236" i="47"/>
  <c r="D80" i="47"/>
  <c r="F80" i="47" s="1"/>
  <c r="P80" i="47" s="1"/>
  <c r="D44" i="47"/>
  <c r="G44" i="47" s="1"/>
  <c r="O44" i="47" s="1"/>
  <c r="D237" i="47"/>
  <c r="J232" i="47" l="1"/>
  <c r="F232" i="47"/>
  <c r="P232" i="47" s="1"/>
  <c r="F237" i="47"/>
  <c r="P237" i="47" s="1"/>
  <c r="J237" i="47"/>
  <c r="D243" i="47"/>
  <c r="D45" i="47"/>
  <c r="G244" i="47"/>
  <c r="H44" i="47"/>
  <c r="G238" i="47"/>
  <c r="K238" i="47" l="1"/>
  <c r="I238" i="47"/>
  <c r="Q238" i="47" s="1"/>
  <c r="K244" i="47"/>
  <c r="I244" i="47"/>
  <c r="Q244" i="47" s="1"/>
  <c r="F243" i="47"/>
  <c r="P243" i="47" s="1"/>
  <c r="J243" i="47"/>
  <c r="K44" i="47"/>
  <c r="P44" i="47" s="1"/>
  <c r="G80" i="47"/>
  <c r="M44" i="47"/>
  <c r="H45" i="47"/>
  <c r="D81" i="47"/>
  <c r="G45" i="47"/>
  <c r="O45" i="47" s="1"/>
  <c r="D46" i="47"/>
  <c r="D48" i="47" l="1"/>
  <c r="G48" i="47" s="1"/>
  <c r="O48" i="47" s="1"/>
  <c r="G46" i="47"/>
  <c r="O46" i="47" s="1"/>
  <c r="I80" i="47"/>
  <c r="Q80" i="47" s="1"/>
  <c r="K80" i="47"/>
  <c r="H46" i="47"/>
  <c r="F81" i="47"/>
  <c r="P81" i="47" s="1"/>
  <c r="D83" i="47"/>
  <c r="F83" i="47" s="1"/>
  <c r="P83" i="47" s="1"/>
  <c r="G81" i="47"/>
  <c r="M45" i="47"/>
  <c r="K45" i="47"/>
  <c r="P45" i="47" s="1"/>
  <c r="D49" i="47" l="1"/>
  <c r="G49" i="47" s="1"/>
  <c r="H48" i="47"/>
  <c r="H49" i="47" s="1"/>
  <c r="D50" i="47"/>
  <c r="K46" i="47"/>
  <c r="P46" i="47" s="1"/>
  <c r="M46" i="47"/>
  <c r="K81" i="47"/>
  <c r="G83" i="47"/>
  <c r="I81" i="47"/>
  <c r="M49" i="47" l="1"/>
  <c r="K49" i="47"/>
  <c r="P49" i="47" s="1"/>
  <c r="M48" i="47"/>
  <c r="K48" i="47"/>
  <c r="P48" i="47" s="1"/>
  <c r="H50" i="47"/>
  <c r="K83" i="47"/>
  <c r="I83" i="47"/>
  <c r="D84" i="47"/>
  <c r="F84" i="47" s="1"/>
  <c r="P84" i="47" s="1"/>
  <c r="G50" i="47"/>
  <c r="O50" i="47" s="1"/>
  <c r="G84" i="47" l="1"/>
  <c r="M50" i="47"/>
  <c r="K50" i="47"/>
  <c r="P50" i="47" s="1"/>
  <c r="K84" i="47" l="1"/>
  <c r="I84" i="47"/>
  <c r="Q84"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c_lee</author>
  </authors>
  <commentList>
    <comment ref="BV15" authorId="0" shapeId="0" xr:uid="{00000000-0006-0000-0800-000001000000}">
      <text>
        <r>
          <rPr>
            <b/>
            <sz val="8"/>
            <color indexed="81"/>
            <rFont val="Tahoma"/>
            <family val="2"/>
          </rPr>
          <t>c_lee:</t>
        </r>
        <r>
          <rPr>
            <sz val="8"/>
            <color indexed="81"/>
            <rFont val="Tahoma"/>
            <family val="2"/>
          </rPr>
          <t xml:space="preserve">
CS Dave CG US should be $99,328
Use Supp figure to be consistent with previously disclosed amount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c_lee</author>
  </authors>
  <commentList>
    <comment ref="E80" authorId="0" shapeId="0" xr:uid="{00000000-0006-0000-2100-000001000000}">
      <text>
        <r>
          <rPr>
            <b/>
            <sz val="8"/>
            <color indexed="81"/>
            <rFont val="Tahoma"/>
            <family val="2"/>
          </rPr>
          <t>c_lee:</t>
        </r>
        <r>
          <rPr>
            <sz val="8"/>
            <color indexed="81"/>
            <rFont val="Tahoma"/>
            <family val="2"/>
          </rPr>
          <t xml:space="preserve">
translated with March rate as Co acquired in March</t>
        </r>
      </text>
    </comment>
  </commentList>
</comments>
</file>

<file path=xl/sharedStrings.xml><?xml version="1.0" encoding="utf-8"?>
<sst xmlns="http://schemas.openxmlformats.org/spreadsheetml/2006/main" count="5533" uniqueCount="742">
  <si>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</si>
  <si>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</si>
  <si>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</si>
  <si>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</si>
  <si>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</si>
  <si>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</si>
  <si>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</si>
  <si>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</si>
  <si>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</si>
  <si>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</si>
  <si>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</si>
  <si>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</si>
  <si>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</si>
  <si>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</si>
  <si>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</si>
  <si>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</si>
  <si>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</si>
  <si>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</si>
  <si>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</si>
  <si>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</si>
  <si>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</si>
  <si>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</si>
  <si>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</si>
  <si>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Financial measures</t>
  </si>
  <si>
    <t>Dividends per share</t>
  </si>
  <si>
    <r>
      <t xml:space="preserve">Special distributions per share </t>
    </r>
    <r>
      <rPr>
        <vertAlign val="superscript"/>
        <sz val="9"/>
        <rFont val="Arial"/>
        <family val="2"/>
      </rPr>
      <t>(9)</t>
    </r>
  </si>
  <si>
    <r>
      <t xml:space="preserve">Dividend yield (closing share price) </t>
    </r>
    <r>
      <rPr>
        <vertAlign val="superscript"/>
        <sz val="9"/>
        <rFont val="Arial"/>
        <family val="2"/>
      </rPr>
      <t>(9)</t>
    </r>
  </si>
  <si>
    <t>n.m.: not meaningful</t>
  </si>
  <si>
    <t>p.p.: percentage points</t>
  </si>
  <si>
    <t>Q1/09</t>
  </si>
  <si>
    <t>Q4/08</t>
  </si>
  <si>
    <t>Q3/08</t>
  </si>
  <si>
    <t>Q2/08</t>
  </si>
  <si>
    <t>Q1/08</t>
  </si>
  <si>
    <t>Q4/07</t>
  </si>
  <si>
    <t>Q3/07</t>
  </si>
  <si>
    <t>Q2/07</t>
  </si>
  <si>
    <t>Q1/07</t>
  </si>
  <si>
    <t>Increase (decrease)</t>
  </si>
  <si>
    <t>FY08</t>
  </si>
  <si>
    <t>FY07</t>
  </si>
  <si>
    <t>n.m.</t>
  </si>
  <si>
    <t>FY09</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</si>
  <si>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</si>
  <si>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</si>
  <si>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</si>
  <si>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</si>
  <si>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</si>
  <si>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</si>
  <si>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</si>
  <si>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</si>
  <si>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</si>
  <si>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</si>
  <si>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</si>
  <si>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</si>
  <si>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</si>
  <si>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</si>
  <si>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</si>
  <si>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</si>
  <si>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</si>
  <si>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</si>
  <si>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</si>
  <si>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</si>
  <si>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</si>
  <si>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Salaries and benefits</t>
  </si>
  <si>
    <t xml:space="preserve">Trading costs </t>
  </si>
  <si>
    <t>Premises and equipment</t>
  </si>
  <si>
    <t>Communication and technology</t>
  </si>
  <si>
    <t xml:space="preserve">General and administrative </t>
  </si>
  <si>
    <t>Amortization</t>
  </si>
  <si>
    <t>Development costs</t>
  </si>
  <si>
    <t>ABCP fair value adjustment</t>
  </si>
  <si>
    <t>Income (loss) before income taxes</t>
  </si>
  <si>
    <t xml:space="preserve">Net income (loss)    </t>
  </si>
  <si>
    <t>Incentive compensation as % of revenue</t>
  </si>
  <si>
    <t>Non-compensation exp. as % of revenue</t>
  </si>
  <si>
    <t>Total expenses as % of revenue</t>
  </si>
  <si>
    <t>Pre-tax profit margin</t>
  </si>
  <si>
    <t>Effective tax rate</t>
  </si>
  <si>
    <t>Net profit margin</t>
  </si>
  <si>
    <t>Total expenses</t>
  </si>
  <si>
    <t>Q4/09</t>
  </si>
  <si>
    <t>Q3/09</t>
  </si>
  <si>
    <t>Q2/09</t>
  </si>
  <si>
    <t>Canada</t>
  </si>
  <si>
    <t>Capital Markets</t>
  </si>
  <si>
    <t>International Trading</t>
  </si>
  <si>
    <t>Fixed Income</t>
  </si>
  <si>
    <t>Total Canada</t>
  </si>
  <si>
    <t>Number of employees</t>
  </si>
  <si>
    <t>General and administrative</t>
  </si>
  <si>
    <t>Corporate and Other segment</t>
  </si>
  <si>
    <t>Corporate and Other</t>
  </si>
  <si>
    <t>Trading costs</t>
  </si>
  <si>
    <t>Total incentive compensation</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</si>
  <si>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</si>
  <si>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</si>
  <si>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</si>
  <si>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</si>
  <si>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</si>
  <si>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</si>
  <si>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</si>
  <si>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Investment in asset backed commercial paper</t>
  </si>
  <si>
    <t>Equipment and leasehold improvements</t>
  </si>
  <si>
    <t>Notes receivable</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</si>
  <si>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</si>
  <si>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</si>
  <si>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</si>
  <si>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</si>
  <si>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</si>
  <si>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</si>
  <si>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</si>
  <si>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</si>
  <si>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London Stock Exchange (LSE)</t>
  </si>
  <si>
    <t>Alternative Investment Market (AIM)</t>
  </si>
  <si>
    <t>Total Broker</t>
  </si>
  <si>
    <t>LSE</t>
  </si>
  <si>
    <t>AIM</t>
  </si>
  <si>
    <t>Q1/10</t>
  </si>
  <si>
    <t>Q2/10</t>
  </si>
  <si>
    <t>Q3/10</t>
  </si>
  <si>
    <t>Q4/10</t>
  </si>
  <si>
    <t>FY10</t>
  </si>
  <si>
    <t>FY11</t>
  </si>
  <si>
    <t>FY2008</t>
  </si>
  <si>
    <t>FY2009</t>
  </si>
  <si>
    <t>(all are YTD NHI numbers in GBP)</t>
  </si>
  <si>
    <t>Q1 08 YTD</t>
  </si>
  <si>
    <t>Q2 08 YTD</t>
  </si>
  <si>
    <t>Q3 08 YTD</t>
  </si>
  <si>
    <t>Q4 08 YTD</t>
  </si>
  <si>
    <t>Sales Draws - NHI</t>
  </si>
  <si>
    <t>Syndication Salaries NHI</t>
  </si>
  <si>
    <t>Research NHI</t>
  </si>
  <si>
    <t>Corporate Finance NHI</t>
  </si>
  <si>
    <t>Dealing NHI</t>
  </si>
  <si>
    <t>average rate</t>
  </si>
  <si>
    <t>Convert to CDN$</t>
  </si>
  <si>
    <t>YTD NHI</t>
  </si>
  <si>
    <t>NHI Calculation - UK</t>
  </si>
  <si>
    <t>Annualized ROE</t>
  </si>
  <si>
    <t>.</t>
  </si>
  <si>
    <t>FY06</t>
  </si>
  <si>
    <t>FY05</t>
  </si>
  <si>
    <t>FY04</t>
  </si>
  <si>
    <t>Quarterly NHI</t>
  </si>
  <si>
    <t>Q1 rates</t>
  </si>
  <si>
    <t>Apr</t>
  </si>
  <si>
    <t>May</t>
  </si>
  <si>
    <t>June</t>
  </si>
  <si>
    <t>Average</t>
  </si>
  <si>
    <t>UK</t>
  </si>
  <si>
    <t>The employee count excludes temporary employees and those on long term disability but includes employees on leave of absence.</t>
  </si>
  <si>
    <t>Q2 rates</t>
  </si>
  <si>
    <r>
      <t xml:space="preserve">US </t>
    </r>
    <r>
      <rPr>
        <vertAlign val="superscript"/>
        <sz val="9"/>
        <rFont val="Arial"/>
        <family val="2"/>
      </rPr>
      <t>(21)</t>
    </r>
  </si>
  <si>
    <t>Q3 rates</t>
  </si>
  <si>
    <t>Jul</t>
  </si>
  <si>
    <t>Aug</t>
  </si>
  <si>
    <t>Sep</t>
  </si>
  <si>
    <t>Oct</t>
  </si>
  <si>
    <t>Nov</t>
  </si>
  <si>
    <t>Dec</t>
  </si>
  <si>
    <t>Impairment of goodwill and intangibles</t>
  </si>
  <si>
    <t>Canaccord relief program</t>
  </si>
  <si>
    <t>Restructuring costs</t>
  </si>
  <si>
    <t>Q4 rates</t>
  </si>
  <si>
    <t>Jan</t>
  </si>
  <si>
    <t>Feb</t>
  </si>
  <si>
    <t>Mar</t>
  </si>
  <si>
    <t>March</t>
  </si>
  <si>
    <t>January</t>
  </si>
  <si>
    <t>February</t>
  </si>
  <si>
    <t>FY2010</t>
  </si>
  <si>
    <t>Q1 10 YTD</t>
  </si>
  <si>
    <t>Q1 09 YTD</t>
  </si>
  <si>
    <t>Q2 09 YTD</t>
  </si>
  <si>
    <t>Q3 09 YTD</t>
  </si>
  <si>
    <t>Q4 09 YTD</t>
  </si>
  <si>
    <t>Q2 10 YTD</t>
  </si>
  <si>
    <t>Q3 10 YTD</t>
  </si>
  <si>
    <t>Q4 10 YTD</t>
  </si>
  <si>
    <t>n/a</t>
  </si>
  <si>
    <t>Pre-tax and intersegment allocation profit margin</t>
  </si>
  <si>
    <t>Income (loss) before intersegment allocations and income taxes</t>
  </si>
  <si>
    <t>Q4/10 vs. Q4/09</t>
  </si>
  <si>
    <t>Acquisition-related costs</t>
  </si>
  <si>
    <t>Canaccord Genuity</t>
  </si>
  <si>
    <t>Number in Canaccord Genuity</t>
  </si>
  <si>
    <t xml:space="preserve">Canaccord Genuity statement of operations </t>
  </si>
  <si>
    <t>Q4/11</t>
  </si>
  <si>
    <t>Q3/11</t>
  </si>
  <si>
    <t>Q2/11</t>
  </si>
  <si>
    <t>Q1/11</t>
  </si>
  <si>
    <t>FY11 vs FY10</t>
  </si>
  <si>
    <t>Supplementary Revenue Breakdown</t>
  </si>
  <si>
    <t>Hiring incentives</t>
  </si>
  <si>
    <t>Number of companies with Canaccord Genuity Limited as Broker</t>
  </si>
  <si>
    <t>FY2011</t>
  </si>
  <si>
    <t>-</t>
  </si>
  <si>
    <t>Loss before intersegment allocations and income taxes</t>
  </si>
  <si>
    <t xml:space="preserve">  </t>
  </si>
  <si>
    <t>Total Nomad</t>
  </si>
  <si>
    <t xml:space="preserve">US </t>
  </si>
  <si>
    <t>h</t>
  </si>
  <si>
    <t xml:space="preserve">Q1 11 </t>
  </si>
  <si>
    <t xml:space="preserve">Q2 11 </t>
  </si>
  <si>
    <t xml:space="preserve">Q3 11 </t>
  </si>
  <si>
    <t xml:space="preserve">Q4 11 </t>
  </si>
  <si>
    <t>Advisory fees</t>
  </si>
  <si>
    <r>
      <t xml:space="preserve">Price to earnings multiple </t>
    </r>
    <r>
      <rPr>
        <vertAlign val="superscript"/>
        <sz val="9"/>
        <rFont val="Arial"/>
        <family val="2"/>
      </rPr>
      <t>(12)</t>
    </r>
  </si>
  <si>
    <r>
      <t xml:space="preserve">Total compensation exp. as % of revenue </t>
    </r>
    <r>
      <rPr>
        <vertAlign val="superscript"/>
        <sz val="9"/>
        <rFont val="Arial"/>
        <family val="2"/>
      </rPr>
      <t>(15)</t>
    </r>
  </si>
  <si>
    <r>
      <t xml:space="preserve">Incentive compensation </t>
    </r>
    <r>
      <rPr>
        <vertAlign val="superscript"/>
        <sz val="9"/>
        <rFont val="Arial"/>
        <family val="2"/>
      </rPr>
      <t>(14)</t>
    </r>
  </si>
  <si>
    <r>
      <t xml:space="preserve">Incentive compensation </t>
    </r>
    <r>
      <rPr>
        <vertAlign val="superscript"/>
        <sz val="9"/>
        <rFont val="Arial"/>
        <family val="2"/>
      </rPr>
      <t xml:space="preserve">(14) </t>
    </r>
  </si>
  <si>
    <t>Income before income taxes</t>
  </si>
  <si>
    <t>Income before intersegment allocations and income taxes</t>
  </si>
  <si>
    <r>
      <t>Condensed statement of operations</t>
    </r>
    <r>
      <rPr>
        <b/>
        <i/>
        <vertAlign val="superscript"/>
        <sz val="12"/>
        <rFont val="Arial"/>
        <family val="2"/>
      </rPr>
      <t xml:space="preserve"> (20) </t>
    </r>
  </si>
  <si>
    <r>
      <t xml:space="preserve">Condensed statement of operations </t>
    </r>
    <r>
      <rPr>
        <b/>
        <i/>
        <vertAlign val="superscript"/>
        <sz val="12"/>
        <rFont val="Arial"/>
        <family val="2"/>
      </rPr>
      <t xml:space="preserve">(17) </t>
    </r>
  </si>
  <si>
    <r>
      <t>Total compensation exp. as % of revenue</t>
    </r>
    <r>
      <rPr>
        <vertAlign val="superscript"/>
        <sz val="9"/>
        <rFont val="Arial"/>
        <family val="2"/>
      </rPr>
      <t xml:space="preserve"> (15)</t>
    </r>
  </si>
  <si>
    <r>
      <t xml:space="preserve">Condensed statement of operations </t>
    </r>
    <r>
      <rPr>
        <b/>
        <i/>
        <vertAlign val="superscript"/>
        <sz val="12"/>
        <rFont val="Arial"/>
        <family val="2"/>
      </rPr>
      <t>(21)</t>
    </r>
  </si>
  <si>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</si>
  <si>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</si>
  <si>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Trading NHI</t>
  </si>
  <si>
    <t>Q1/12</t>
  </si>
  <si>
    <t>Q4/12</t>
  </si>
  <si>
    <t>Q3/12</t>
  </si>
  <si>
    <t>Q2/12</t>
  </si>
  <si>
    <t>FY2012</t>
  </si>
  <si>
    <t>FY12</t>
  </si>
  <si>
    <t xml:space="preserve">Q1 12 </t>
  </si>
  <si>
    <t xml:space="preserve">Q2 12 </t>
  </si>
  <si>
    <t xml:space="preserve">Q3 12 </t>
  </si>
  <si>
    <t xml:space="preserve">Q4 12 </t>
  </si>
  <si>
    <t>Shares issued and outstanding (number)</t>
  </si>
  <si>
    <t>Dividends per common share</t>
  </si>
  <si>
    <r>
      <t xml:space="preserve">Common dividend yield (closing share price) </t>
    </r>
    <r>
      <rPr>
        <vertAlign val="superscript"/>
        <sz val="9"/>
        <rFont val="Arial"/>
        <family val="2"/>
      </rPr>
      <t>(9)</t>
    </r>
  </si>
  <si>
    <r>
      <t>Common dividend payout ratio</t>
    </r>
    <r>
      <rPr>
        <vertAlign val="superscript"/>
        <sz val="9"/>
        <rFont val="Arial"/>
        <family val="2"/>
      </rPr>
      <t xml:space="preserve"> (9)</t>
    </r>
  </si>
  <si>
    <t>US Funds Desk Salaries NI</t>
  </si>
  <si>
    <t>Sales Salaries - NI</t>
  </si>
  <si>
    <t>Accounts payable, accrued liabilities and other</t>
  </si>
  <si>
    <r>
      <t xml:space="preserve">Preferred share information </t>
    </r>
    <r>
      <rPr>
        <i/>
        <sz val="9"/>
        <rFont val="Arial"/>
        <family val="2"/>
      </rPr>
      <t>(thousands)</t>
    </r>
  </si>
  <si>
    <t>IFRS</t>
  </si>
  <si>
    <t>CGAAP</t>
  </si>
  <si>
    <t>Number of employees in Other Foreign Locations</t>
  </si>
  <si>
    <t xml:space="preserve">Number in Canaccord Genuity </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</si>
  <si>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</si>
  <si>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</si>
  <si>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</si>
  <si>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</si>
  <si>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</si>
  <si>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</si>
  <si>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r>
      <t xml:space="preserve">Supplementary Information Excluding Significant Items (Non-IFRS and Non-GAAP) </t>
    </r>
    <r>
      <rPr>
        <b/>
        <i/>
        <vertAlign val="superscript"/>
        <sz val="10"/>
        <rFont val="Arial"/>
        <family val="2"/>
      </rPr>
      <t xml:space="preserve">(16) </t>
    </r>
  </si>
  <si>
    <t>UK and Europe</t>
  </si>
  <si>
    <t>YTD</t>
  </si>
  <si>
    <t>Number of licenced professionals in Canada</t>
  </si>
  <si>
    <t>CSH NHI</t>
  </si>
  <si>
    <t xml:space="preserve">and Canadian Corporate and Other operations. </t>
  </si>
  <si>
    <t>Results of former CSHP entities are included since March 22, 2012</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</si>
  <si>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</si>
  <si>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</si>
  <si>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</si>
  <si>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</si>
  <si>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</si>
  <si>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Assets under mgmt. - UK and Europe </t>
    </r>
    <r>
      <rPr>
        <vertAlign val="superscript"/>
        <sz val="9"/>
        <rFont val="Arial"/>
        <family val="2"/>
      </rPr>
      <t>(3)</t>
    </r>
  </si>
  <si>
    <r>
      <t xml:space="preserve">Book value per diluted share </t>
    </r>
    <r>
      <rPr>
        <vertAlign val="superscript"/>
        <sz val="9"/>
        <rFont val="Arial"/>
        <family val="2"/>
      </rPr>
      <t>(4)</t>
    </r>
  </si>
  <si>
    <r>
      <t xml:space="preserve">Assets under mgmt. ($millions) - UK and Europe </t>
    </r>
    <r>
      <rPr>
        <vertAlign val="superscript"/>
        <sz val="9"/>
        <rFont val="Arial"/>
        <family val="2"/>
      </rPr>
      <t xml:space="preserve">(3) </t>
    </r>
  </si>
  <si>
    <r>
      <t xml:space="preserve">Assets under mgmt. ($ millions) - UK and Europe </t>
    </r>
    <r>
      <rPr>
        <vertAlign val="superscript"/>
        <sz val="9"/>
        <rFont val="Arial"/>
        <family val="2"/>
      </rPr>
      <t>(3)</t>
    </r>
  </si>
  <si>
    <t>Securities owned</t>
  </si>
  <si>
    <t>Deferred tax assets</t>
  </si>
  <si>
    <t>Securities sold short</t>
  </si>
  <si>
    <t>Deferred tax liabilities</t>
  </si>
  <si>
    <t>Q4/13</t>
  </si>
  <si>
    <t>Q3/13</t>
  </si>
  <si>
    <t>Q2/13</t>
  </si>
  <si>
    <t>Q1/13</t>
  </si>
  <si>
    <t>FY2013</t>
  </si>
  <si>
    <t>FY13</t>
  </si>
  <si>
    <t>Q1 13</t>
  </si>
  <si>
    <t>Q2 13</t>
  </si>
  <si>
    <t>Q3 13</t>
  </si>
  <si>
    <t>Q4 13</t>
  </si>
  <si>
    <t>Salaries - NI (from John Reid)</t>
  </si>
  <si>
    <t>Number of Advisors - Australia</t>
  </si>
  <si>
    <r>
      <rPr>
        <b/>
        <i/>
        <sz val="12"/>
        <rFont val="Arial"/>
        <family val="2"/>
      </rPr>
      <t>Condensed Statement of Operations</t>
    </r>
    <r>
      <rPr>
        <sz val="9"/>
        <rFont val="Arial"/>
        <family val="2"/>
      </rPr>
      <t xml:space="preserve"> </t>
    </r>
  </si>
  <si>
    <t>Australia</t>
  </si>
  <si>
    <t>FY13 vs FY12</t>
  </si>
  <si>
    <r>
      <t>Facilitation losses</t>
    </r>
    <r>
      <rPr>
        <vertAlign val="superscript"/>
        <sz val="9"/>
        <rFont val="Arial"/>
        <family val="2"/>
      </rPr>
      <t xml:space="preserve"> (26)</t>
    </r>
  </si>
  <si>
    <r>
      <t>Facilitation losses</t>
    </r>
    <r>
      <rPr>
        <vertAlign val="superscript"/>
        <sz val="9"/>
        <rFont val="Arial"/>
        <family val="2"/>
      </rPr>
      <t xml:space="preserve"> (28)</t>
    </r>
  </si>
  <si>
    <r>
      <t>Total compensation exp. as % of revenue</t>
    </r>
    <r>
      <rPr>
        <vertAlign val="superscript"/>
        <sz val="9"/>
        <rFont val="Arial"/>
        <family val="2"/>
      </rPr>
      <t xml:space="preserve"> (15) </t>
    </r>
  </si>
  <si>
    <t>Consolidated statement of financial position</t>
  </si>
  <si>
    <r>
      <rPr>
        <b/>
        <i/>
        <sz val="12"/>
        <rFont val="Arial"/>
        <family val="2"/>
      </rPr>
      <t>Condensed Statement of Operations</t>
    </r>
    <r>
      <rPr>
        <sz val="9"/>
        <rFont val="Arial"/>
        <family val="2"/>
      </rPr>
      <t xml:space="preserve"> </t>
    </r>
    <r>
      <rPr>
        <vertAlign val="superscript"/>
        <sz val="9"/>
        <rFont val="Arial"/>
        <family val="2"/>
      </rPr>
      <t>(29)</t>
    </r>
  </si>
  <si>
    <r>
      <t xml:space="preserve">      National Insurance tax </t>
    </r>
    <r>
      <rPr>
        <vertAlign val="superscript"/>
        <sz val="9"/>
        <rFont val="Arial"/>
        <family val="2"/>
      </rPr>
      <t>(14)</t>
    </r>
  </si>
  <si>
    <t>Contingent consideration</t>
  </si>
  <si>
    <t xml:space="preserve">    Non-share based incentive compensation</t>
  </si>
  <si>
    <t xml:space="preserve">    Share based incentive compensation </t>
  </si>
  <si>
    <t>Non-share based incentive compensation as a % of revenue</t>
  </si>
  <si>
    <t>Share based incentive compensation as a % of revenue</t>
  </si>
  <si>
    <t xml:space="preserve">           Non-share based incentive compensation</t>
  </si>
  <si>
    <t xml:space="preserve">           Share based incentive compensation </t>
  </si>
  <si>
    <t>Note: Please find notes on Page 13.</t>
  </si>
  <si>
    <t>9 Months Ended</t>
  </si>
  <si>
    <t>Commissions and fees</t>
  </si>
  <si>
    <t>f.f.</t>
  </si>
  <si>
    <t>WM NHI</t>
  </si>
  <si>
    <t>Canaccord Genuity Wealth Management North America and Australia</t>
  </si>
  <si>
    <t>Canaccord Genuity Wealth Management</t>
  </si>
  <si>
    <t>Intersegment allocations from Corporate and Other</t>
  </si>
  <si>
    <t>Number in Canaccord Genuity Wealth Management</t>
  </si>
  <si>
    <r>
      <t>Results of former CSHP entities are included since March 22, 2012</t>
    </r>
    <r>
      <rPr>
        <i/>
        <vertAlign val="superscript"/>
        <sz val="10"/>
        <rFont val="Arial"/>
        <family val="2"/>
      </rPr>
      <t xml:space="preserve"> (31)</t>
    </r>
  </si>
  <si>
    <t>Don MacFayden</t>
  </si>
  <si>
    <t>416-687-5426</t>
  </si>
  <si>
    <t>includes WM: UK Private Clients departments and Eden NI</t>
  </si>
  <si>
    <t>Q1/14</t>
  </si>
  <si>
    <t>Q1/14 vs. Q1/13</t>
  </si>
  <si>
    <t>Q2/14</t>
  </si>
  <si>
    <t>Q3/14</t>
  </si>
  <si>
    <t>Q4/14</t>
  </si>
  <si>
    <t>FY2014</t>
  </si>
  <si>
    <t>FY14</t>
  </si>
  <si>
    <t>Q1 14</t>
  </si>
  <si>
    <t>Q2 14</t>
  </si>
  <si>
    <t>Q3 14</t>
  </si>
  <si>
    <t>Q4 14</t>
  </si>
  <si>
    <t>Support services allocation</t>
  </si>
  <si>
    <t>Inter-segment profit allocation</t>
  </si>
  <si>
    <t>Research allocation</t>
  </si>
  <si>
    <t>Trade processing</t>
  </si>
  <si>
    <t>Income (loss) before charges and income taxes</t>
  </si>
  <si>
    <t>Charges to UK</t>
  </si>
  <si>
    <t>Charges to US</t>
  </si>
  <si>
    <t>Charges from Canada</t>
  </si>
  <si>
    <t>Charges from US</t>
  </si>
  <si>
    <r>
      <t xml:space="preserve">      Incentive compensation </t>
    </r>
    <r>
      <rPr>
        <vertAlign val="superscript"/>
        <sz val="9"/>
        <rFont val="Arial"/>
        <family val="2"/>
      </rPr>
      <t>(14)</t>
    </r>
  </si>
  <si>
    <t>Intersegment allocations</t>
  </si>
  <si>
    <t>Canaccord Genuity Canada</t>
  </si>
  <si>
    <t xml:space="preserve">     Non-share based incentive compensation</t>
  </si>
  <si>
    <t xml:space="preserve">     Share based incentive compensation</t>
  </si>
  <si>
    <t>Intersegment Allocations</t>
  </si>
  <si>
    <t>Share based compensation as a % of revenue</t>
  </si>
  <si>
    <t>Income (loss) after intersegment allocations and before income taxes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</si>
  <si>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</si>
  <si>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</si>
  <si>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</si>
  <si>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</si>
  <si>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</si>
  <si>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</si>
  <si>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</si>
  <si>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</si>
  <si>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</si>
  <si>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Q4/15</t>
  </si>
  <si>
    <t>Q3/15</t>
  </si>
  <si>
    <t>Q2/15</t>
  </si>
  <si>
    <t>Q1/15</t>
  </si>
  <si>
    <t>Christina Marinoff</t>
  </si>
  <si>
    <t>Vice President, Investor Relations &amp; Communications</t>
  </si>
  <si>
    <t>416-687-5507</t>
  </si>
  <si>
    <t>FY15 vs FY14</t>
  </si>
  <si>
    <t>Securities Lending</t>
  </si>
  <si>
    <t>n.m.: not meaningful (percentages above 300% are indicated as n.m.)</t>
  </si>
  <si>
    <t>Canaccord Genuity Wealth Management UK &amp; Europe</t>
  </si>
  <si>
    <t xml:space="preserve">Canaccord Genuity Wealth Management UK &amp; Europe statement of operations </t>
  </si>
  <si>
    <t>FY15</t>
  </si>
  <si>
    <t>Non-IFRS measures:</t>
  </si>
  <si>
    <t>Canaccord Genuity Group of Companies</t>
  </si>
  <si>
    <t>Canaccord Genuity North America</t>
  </si>
  <si>
    <t>Q1/16</t>
  </si>
  <si>
    <t>Q1/16 vs. Q1/15</t>
  </si>
  <si>
    <t>Q2/16</t>
  </si>
  <si>
    <t>Q3/16</t>
  </si>
  <si>
    <t>Q4/16</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</si>
  <si>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</si>
  <si>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</si>
  <si>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</si>
  <si>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r>
      <t>Facilitation losses</t>
    </r>
    <r>
      <rPr>
        <vertAlign val="superscript"/>
        <sz val="9"/>
        <rFont val="Arial"/>
        <family val="2"/>
      </rPr>
      <t xml:space="preserve"> (22)</t>
    </r>
  </si>
  <si>
    <t xml:space="preserve">Commissions and fees </t>
  </si>
  <si>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</si>
  <si>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</si>
  <si>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</si>
  <si>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</si>
  <si>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</si>
  <si>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FY16</t>
  </si>
  <si>
    <t>Impairment of goodwill and other assets</t>
  </si>
  <si>
    <t>FY 16</t>
  </si>
  <si>
    <t>Q4/17</t>
  </si>
  <si>
    <t>Q3/17</t>
  </si>
  <si>
    <t>Q2/17</t>
  </si>
  <si>
    <t>Q1/17</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</si>
  <si>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</si>
  <si>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</si>
  <si>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</si>
  <si>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</si>
  <si>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</si>
  <si>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</si>
  <si>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</si>
  <si>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</si>
  <si>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</si>
  <si>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</si>
  <si>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number of Advisors, number of investment professionals and fund managers, number of licensed professionals, and number of companies as Broker and number of companies as Nomad.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</si>
  <si>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</si>
  <si>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</si>
  <si>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</si>
  <si>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</si>
  <si>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Genuity (Australia) Limited.  Commencing in Q3/17, the operating results of the Australian and Dubai operations are disclosed as Canaccord Genuity Australia and Canaccord Genuity UK, Europe, and Dubai</t>
  </si>
  <si>
    <t>respectively.  Comparatives for all prior periods have been reclassified.</t>
  </si>
  <si>
    <t>Convertible debentures</t>
  </si>
  <si>
    <t>Includes our capital markets operations in Canada, US, UK &amp; Dubai, and Australia.</t>
  </si>
  <si>
    <r>
      <t>Selected financial information excluding significant items</t>
    </r>
    <r>
      <rPr>
        <b/>
        <vertAlign val="superscript"/>
        <sz val="12"/>
        <rFont val="Times New Roman"/>
        <family val="1"/>
      </rPr>
      <t>(1)</t>
    </r>
  </si>
  <si>
    <t>Quarter-over-quarter change</t>
  </si>
  <si>
    <t>YTD – over – YTD change</t>
  </si>
  <si>
    <t>(C$ thousands, except per share and % amounts)</t>
  </si>
  <si>
    <t>Total revenue per IFRS</t>
  </si>
  <si>
    <t>Total expenses per IFRS</t>
  </si>
  <si>
    <r>
      <t>Significant items recorded in Canaccord Genuity</t>
    </r>
    <r>
      <rPr>
        <i/>
        <vertAlign val="superscript"/>
        <sz val="9"/>
        <rFont val="Times New Roman"/>
        <family val="1"/>
      </rPr>
      <t xml:space="preserve"> </t>
    </r>
  </si>
  <si>
    <t>Amortization of intangible assets</t>
  </si>
  <si>
    <t>—</t>
  </si>
  <si>
    <t>Significant items recorded in Canaccord Genuity Wealth Management</t>
  </si>
  <si>
    <t>Significant items recorded in Corporate and Other</t>
  </si>
  <si>
    <t>Total significant items</t>
  </si>
  <si>
    <t>Total expenses excluding significant items</t>
  </si>
  <si>
    <t xml:space="preserve">Net income (loss) before taxes – adjusted </t>
  </si>
  <si>
    <t>Income taxes (recovery) – adjusted</t>
  </si>
  <si>
    <t>Net income (loss) – adjusted</t>
  </si>
  <si>
    <t>Net income (loss) attributable to common shareholders, adjusted</t>
  </si>
  <si>
    <t>Earnings (loss) per common share – basic, adjusted</t>
  </si>
  <si>
    <t>Earnings (loss) per common share – diluted, adjusted</t>
  </si>
  <si>
    <t xml:space="preserve"> (1) Figures excluding significant items are non-IFRS measures. See Non-IFRS Measures on page x.</t>
  </si>
  <si>
    <t>n.m.: mot meaningful</t>
  </si>
  <si>
    <t>Consolidated operating results</t>
  </si>
  <si>
    <t xml:space="preserve">        </t>
  </si>
  <si>
    <t>(C$ thousands, except per share and % amounts, and number of employees)</t>
  </si>
  <si>
    <t>Canaccord Genuity Group Inc. (CGGI)</t>
  </si>
  <si>
    <t xml:space="preserve">        Commissions and fees</t>
  </si>
  <si>
    <t xml:space="preserve">        Investment banking</t>
  </si>
  <si>
    <t xml:space="preserve">        Advisory fees</t>
  </si>
  <si>
    <t xml:space="preserve">        Principal trading</t>
  </si>
  <si>
    <t xml:space="preserve">        Interest</t>
  </si>
  <si>
    <t xml:space="preserve">        Other</t>
  </si>
  <si>
    <t>Total revenue</t>
  </si>
  <si>
    <t xml:space="preserve">        Incentive compensation</t>
  </si>
  <si>
    <t xml:space="preserve">        Salaries and benefits</t>
  </si>
  <si>
    <t>Net income (loss) attributable to:</t>
  </si>
  <si>
    <t xml:space="preserve">   CGGI shareholders</t>
  </si>
  <si>
    <t xml:space="preserve">   Non-controlling interests</t>
  </si>
  <si>
    <t>Earnings (loss) per common share – diluted</t>
  </si>
  <si>
    <t>Return on common equity (ROE)</t>
  </si>
  <si>
    <t xml:space="preserve">Dividends per common share </t>
  </si>
  <si>
    <t>Total liabilities</t>
  </si>
  <si>
    <t>Total shareholders’ equity</t>
  </si>
  <si>
    <t>Net  income (loss)</t>
  </si>
  <si>
    <t xml:space="preserve">      CGGI shareholders</t>
  </si>
  <si>
    <t xml:space="preserve">      Non-controlling interests</t>
  </si>
  <si>
    <t>Net  income (loss) attributable to common shareholders, adjusted</t>
  </si>
  <si>
    <t>Expenses as a percentage of revenue</t>
  </si>
  <si>
    <t>YTD-over-YTD change</t>
  </si>
  <si>
    <t>Incentive compensation</t>
  </si>
  <si>
    <r>
      <t>Other overhead expenses</t>
    </r>
    <r>
      <rPr>
        <vertAlign val="superscript"/>
        <sz val="9"/>
        <rFont val="Times New Roman"/>
        <family val="1"/>
      </rPr>
      <t>(1)</t>
    </r>
  </si>
  <si>
    <t>Manual</t>
  </si>
  <si>
    <t>(C$ thousands, except % amounts)</t>
  </si>
  <si>
    <r>
      <t>Amortization</t>
    </r>
    <r>
      <rPr>
        <vertAlign val="superscript"/>
        <sz val="9"/>
        <rFont val="Times New Roman"/>
        <family val="1"/>
      </rPr>
      <t>(1)</t>
    </r>
  </si>
  <si>
    <t>Total other overhead expenses</t>
  </si>
  <si>
    <t>Results of operations by business segment</t>
  </si>
  <si>
    <r>
      <t>Canaccord Genuity</t>
    </r>
    <r>
      <rPr>
        <b/>
        <i/>
        <vertAlign val="superscript"/>
        <sz val="13"/>
        <rFont val="Times New Roman"/>
        <family val="1"/>
      </rPr>
      <t xml:space="preserve"> (1) (2)</t>
    </r>
  </si>
  <si>
    <t>(C$ thousands, except number of employees and % amounts)</t>
  </si>
  <si>
    <t xml:space="preserve">   Revenue</t>
  </si>
  <si>
    <t xml:space="preserve">   Expenses</t>
  </si>
  <si>
    <t xml:space="preserve">        Other overhead expenses</t>
  </si>
  <si>
    <t xml:space="preserve">        Restructuring costs</t>
  </si>
  <si>
    <r>
      <t>Intersegment allocations</t>
    </r>
    <r>
      <rPr>
        <vertAlign val="superscript"/>
        <sz val="9"/>
        <rFont val="Times New Roman"/>
        <family val="1"/>
      </rPr>
      <t>(3)</t>
    </r>
  </si>
  <si>
    <r>
      <t>(Loss) income before income taxes</t>
    </r>
    <r>
      <rPr>
        <vertAlign val="superscript"/>
        <sz val="9"/>
        <rFont val="Times New Roman"/>
        <family val="1"/>
      </rPr>
      <t>(3)</t>
    </r>
  </si>
  <si>
    <r>
      <t>Excluding significant items</t>
    </r>
    <r>
      <rPr>
        <b/>
        <vertAlign val="superscript"/>
        <sz val="9"/>
        <rFont val="Times New Roman"/>
        <family val="1"/>
      </rPr>
      <t>(4)</t>
    </r>
  </si>
  <si>
    <t>Revenue by geography as a percentage of Canaccord Genuity revenue</t>
  </si>
  <si>
    <t>Revenue generated in:</t>
  </si>
  <si>
    <t>UK, Europe, and Dubai</t>
  </si>
  <si>
    <t>Other Foreign Locations</t>
  </si>
  <si>
    <t>Sign Check</t>
  </si>
  <si>
    <t>(C$ thousands, except AUM and AUA (in C$ millions),  number of employees, Advisory Teams and % amounts)</t>
  </si>
  <si>
    <t xml:space="preserve">    Incentive compensation</t>
  </si>
  <si>
    <t xml:space="preserve">    Salaries and benefits</t>
  </si>
  <si>
    <t xml:space="preserve">    Other overhead expenses</t>
  </si>
  <si>
    <r>
      <t>Intersegment allocations</t>
    </r>
    <r>
      <rPr>
        <vertAlign val="superscript"/>
        <sz val="9"/>
        <rFont val="Times New Roman"/>
        <family val="1"/>
      </rPr>
      <t>(2)</t>
    </r>
  </si>
  <si>
    <r>
      <t>Loss before income taxes</t>
    </r>
    <r>
      <rPr>
        <vertAlign val="superscript"/>
        <sz val="9"/>
        <rFont val="Times New Roman"/>
        <family val="1"/>
      </rPr>
      <t xml:space="preserve">(2) </t>
    </r>
  </si>
  <si>
    <r>
      <t>AUM – Canada (discretionary)</t>
    </r>
    <r>
      <rPr>
        <vertAlign val="superscript"/>
        <sz val="9"/>
        <rFont val="Times New Roman"/>
        <family val="1"/>
      </rPr>
      <t>(3)</t>
    </r>
  </si>
  <si>
    <r>
      <t>AUA – Canada</t>
    </r>
    <r>
      <rPr>
        <vertAlign val="superscript"/>
        <sz val="9"/>
        <rFont val="Times New Roman"/>
        <family val="1"/>
      </rPr>
      <t>(4)</t>
    </r>
  </si>
  <si>
    <t>Number of Advisory Teams – Canada</t>
  </si>
  <si>
    <r>
      <t>Excluding significant items</t>
    </r>
    <r>
      <rPr>
        <b/>
        <vertAlign val="superscript"/>
        <sz val="9"/>
        <rFont val="Times New Roman"/>
        <family val="1"/>
      </rPr>
      <t>(5)</t>
    </r>
  </si>
  <si>
    <r>
      <t xml:space="preserve">Loss before income taxes </t>
    </r>
    <r>
      <rPr>
        <vertAlign val="superscript"/>
        <sz val="9"/>
        <rFont val="Times New Roman"/>
        <family val="1"/>
      </rPr>
      <t>(2)</t>
    </r>
  </si>
  <si>
    <t xml:space="preserve">    Restructuring costs</t>
  </si>
  <si>
    <r>
      <t>(Loss) income before income taxes</t>
    </r>
    <r>
      <rPr>
        <vertAlign val="superscript"/>
        <sz val="9"/>
        <rFont val="Times New Roman"/>
        <family val="1"/>
      </rPr>
      <t>(2)</t>
    </r>
  </si>
  <si>
    <r>
      <t>Excluding significant items</t>
    </r>
    <r>
      <rPr>
        <b/>
        <vertAlign val="superscript"/>
        <sz val="9"/>
        <rFont val="Times New Roman"/>
        <family val="1"/>
      </rPr>
      <t>(3)</t>
    </r>
  </si>
  <si>
    <r>
      <t xml:space="preserve"> (Loss) income before income taxes </t>
    </r>
    <r>
      <rPr>
        <vertAlign val="superscript"/>
        <sz val="9"/>
        <rFont val="Times New Roman"/>
        <family val="1"/>
      </rPr>
      <t>(2)</t>
    </r>
  </si>
  <si>
    <t xml:space="preserve">Canaccord Genuity total compensation expense as a percentage of revenue by geography </t>
  </si>
  <si>
    <t>Canaccord Genuity (total)</t>
  </si>
  <si>
    <t>(C$ thousands, except AUM  (in C$ millions), number of employees, investment professionals and fund managers, and % amounts)</t>
  </si>
  <si>
    <r>
      <t>Income before income taxes</t>
    </r>
    <r>
      <rPr>
        <vertAlign val="superscript"/>
        <sz val="9"/>
        <rFont val="Times New Roman"/>
        <family val="1"/>
      </rPr>
      <t>(2)</t>
    </r>
  </si>
  <si>
    <r>
      <t>AUM – UK and Europe</t>
    </r>
    <r>
      <rPr>
        <vertAlign val="superscript"/>
        <sz val="9"/>
        <rFont val="Times New Roman"/>
        <family val="1"/>
      </rPr>
      <t>(3)</t>
    </r>
  </si>
  <si>
    <t>Number of investment professionals and fund managers – UK and Europe</t>
  </si>
  <si>
    <r>
      <t xml:space="preserve">Income before income taxes </t>
    </r>
    <r>
      <rPr>
        <vertAlign val="superscript"/>
        <sz val="9"/>
        <rFont val="Times New Roman"/>
        <family val="1"/>
      </rPr>
      <t>(2)</t>
    </r>
  </si>
  <si>
    <t>(in thousands of dollars) (1)</t>
  </si>
  <si>
    <r>
      <t xml:space="preserve">Assets under mgmt. ($ millions) - Australia </t>
    </r>
    <r>
      <rPr>
        <vertAlign val="superscript"/>
        <sz val="9"/>
        <rFont val="Arial"/>
        <family val="2"/>
      </rPr>
      <t>(3)</t>
    </r>
  </si>
  <si>
    <t>Total revenue excluding significant items</t>
  </si>
  <si>
    <t>Total AUA - Canada, AUM - UK and Europe, Australia</t>
  </si>
  <si>
    <t xml:space="preserve">Canaccord Genuity Wealth Management North America statement of operations </t>
  </si>
  <si>
    <t>Executive Vice President &amp; Chief Financial Officer</t>
  </si>
  <si>
    <t>FY17</t>
  </si>
  <si>
    <t>Change</t>
  </si>
  <si>
    <t>2017</t>
  </si>
  <si>
    <t>Q1/18</t>
  </si>
  <si>
    <t>Q2/18</t>
  </si>
  <si>
    <t>Q3/18</t>
  </si>
  <si>
    <t>Q4/18</t>
  </si>
  <si>
    <t>FY18</t>
  </si>
  <si>
    <t xml:space="preserve">CGWM </t>
  </si>
  <si>
    <t>Commission and fees</t>
  </si>
  <si>
    <t xml:space="preserve">        Acquisition-related costs</t>
  </si>
  <si>
    <t>Significant items recorded in Canaccord Genuity</t>
  </si>
  <si>
    <t>Share of profit of an associate</t>
  </si>
  <si>
    <t>Canaccord</t>
  </si>
  <si>
    <t>W</t>
  </si>
  <si>
    <t xml:space="preserve">  Canaccord</t>
  </si>
  <si>
    <t>Genuity Wealth</t>
  </si>
  <si>
    <t>Corporate                and</t>
  </si>
  <si>
    <t>Genuity</t>
  </si>
  <si>
    <t>Management</t>
  </si>
  <si>
    <t>$</t>
  </si>
  <si>
    <t>Expenses, excluding undernoted</t>
  </si>
  <si>
    <t>Interest expense</t>
  </si>
  <si>
    <t>Segmented Note</t>
  </si>
  <si>
    <t>United States</t>
  </si>
  <si>
    <t>Acquisition related cost</t>
  </si>
  <si>
    <t>Current portion of bank loan</t>
  </si>
  <si>
    <t>Bank loan</t>
  </si>
  <si>
    <t>Share of loss of an associate</t>
  </si>
  <si>
    <t xml:space="preserve">Canaccord Genuity Wealth Management statement of operations </t>
  </si>
  <si>
    <t>Deferred consideration</t>
  </si>
  <si>
    <t>Q3 vs Q3</t>
  </si>
  <si>
    <t>9mths</t>
  </si>
  <si>
    <t>increase / decrease</t>
  </si>
  <si>
    <t xml:space="preserve">    Impairment of goodwill and other assets</t>
  </si>
  <si>
    <t>Due to rounding or calculation of the dilutive impact of share issuance commitments included in the quarterly and year to date EPS figures, the sum of the quarterly earnings (loss) per common share figures may not equal the year to date earnings (loss) per share.</t>
  </si>
  <si>
    <t>FY 18</t>
  </si>
  <si>
    <t>LTIP acceleration</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</si>
  <si>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</si>
  <si>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</si>
  <si>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</si>
  <si>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</si>
  <si>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</si>
  <si>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</si>
  <si>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</si>
  <si>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considered by management to reflect a singular charge of a non-operating nature.</t>
  </si>
  <si>
    <t>LTIP Plan as recorded with effect on March 31, 2018,certain incentive based payments related to the acquisition of Hargreave Hale, as well as certain expense items, typically included in development costs, which are</t>
  </si>
  <si>
    <t xml:space="preserve">relation to both prospective and completed acquisitions, gains or losses related to business disposals including recognition of translation gains on the disposal of foreign operations,  certain accounting charges related to the change in the Company's </t>
  </si>
  <si>
    <t>UK &amp; Dubai</t>
  </si>
  <si>
    <t>UK &amp; Europe</t>
  </si>
  <si>
    <t>Others</t>
  </si>
  <si>
    <t>Wealth Management</t>
  </si>
  <si>
    <t>Check</t>
  </si>
  <si>
    <t>CG</t>
  </si>
  <si>
    <t>WM</t>
  </si>
  <si>
    <t>Corporate &amp; Other</t>
  </si>
  <si>
    <t>Q4/19</t>
  </si>
  <si>
    <t>Q3/19</t>
  </si>
  <si>
    <t>Q2/19</t>
  </si>
  <si>
    <t>Q1/19</t>
  </si>
  <si>
    <t>FY19</t>
  </si>
  <si>
    <t>FY19 vs FY18</t>
  </si>
  <si>
    <t>Note: Please find notes on Page 15.</t>
  </si>
  <si>
    <t>2018</t>
  </si>
  <si>
    <t xml:space="preserve">Business segment results </t>
  </si>
  <si>
    <t>Business segment results</t>
  </si>
  <si>
    <t xml:space="preserve">       Acquisition-related costs</t>
  </si>
  <si>
    <t>Results of Hargreave Hale are included beginning September 18, 2017 in Canaccord Genuity Wealth Management UK &amp; Europe and results of Jitneytrade and Finlogik Inc. are included beginning June 6, 2018 in Canaccord Genuity Canada</t>
  </si>
  <si>
    <t>Current QTD</t>
  </si>
  <si>
    <t>LY QTD</t>
  </si>
  <si>
    <t>Prev LY QTD</t>
  </si>
  <si>
    <t>Months</t>
  </si>
  <si>
    <t xml:space="preserve">     Share of loss of an associate</t>
  </si>
  <si>
    <r>
      <t xml:space="preserve">Canaccord Genuity Wealth Management North America </t>
    </r>
    <r>
      <rPr>
        <b/>
        <vertAlign val="superscript"/>
        <sz val="11"/>
        <color theme="1"/>
        <rFont val="Times New Roman"/>
        <family val="1"/>
      </rPr>
      <t>(1)</t>
    </r>
  </si>
  <si>
    <r>
      <t xml:space="preserve">Canaccord Genuity Wealth Management UK &amp; Europe </t>
    </r>
    <r>
      <rPr>
        <b/>
        <vertAlign val="superscript"/>
        <sz val="11"/>
        <color theme="1"/>
        <rFont val="Times New Roman"/>
        <family val="1"/>
      </rPr>
      <t>(1)</t>
    </r>
  </si>
  <si>
    <r>
      <t>Corporate and Other</t>
    </r>
    <r>
      <rPr>
        <b/>
        <vertAlign val="superscript"/>
        <sz val="11"/>
        <color theme="1"/>
        <rFont val="Times New Roman"/>
        <family val="1"/>
      </rPr>
      <t xml:space="preserve"> (1)</t>
    </r>
  </si>
  <si>
    <t>Corporate            and</t>
  </si>
  <si>
    <t>Corporate              and</t>
  </si>
  <si>
    <t>three months</t>
  </si>
  <si>
    <t xml:space="preserve">June 30, </t>
  </si>
  <si>
    <t>―</t>
  </si>
  <si>
    <t>Equity Pick Up</t>
  </si>
  <si>
    <t>canaccord genuity revene excludes ofl</t>
  </si>
  <si>
    <t>Loss on debt financing</t>
  </si>
  <si>
    <t xml:space="preserve">     Loss on debt financing</t>
  </si>
  <si>
    <t>Loss on extinguishment of convertible debentures</t>
  </si>
  <si>
    <t>CG Total YTD - FY18</t>
  </si>
  <si>
    <t>CG Total YTD - FY19</t>
  </si>
  <si>
    <t>Percentage</t>
  </si>
  <si>
    <t>Dividends</t>
  </si>
  <si>
    <t>Promissory note</t>
  </si>
  <si>
    <t xml:space="preserve">Book value per diluted share is calculated as total common shareholders' equity adjusted for assumed proceeds from the exercise of options, warrants, settlement of the promissory note issued as purchase consideration in shares at the Company's option, </t>
  </si>
  <si>
    <t xml:space="preserve">Significant items include restructuring costs, amortization of intangible assets acquired in connection with a business combination, impairment of goodwill and other assets, acquisition-related expense items, which include costs recognized in </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</si>
  <si>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</si>
  <si>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</si>
  <si>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YTD FY 2019 vs. FY 2018 </t>
  </si>
  <si>
    <t xml:space="preserve">        Incentive compensation </t>
  </si>
  <si>
    <t xml:space="preserve">        Other overhead expenses (3)</t>
  </si>
  <si>
    <t xml:space="preserve">     Loss on extinguishment of convertible debentures</t>
  </si>
  <si>
    <r>
      <t xml:space="preserve">Book value per diluted common share </t>
    </r>
    <r>
      <rPr>
        <vertAlign val="superscript"/>
        <sz val="9"/>
        <color rgb="FFFF0000"/>
        <rFont val="Times New Roman"/>
        <family val="1"/>
      </rPr>
      <t>(5)</t>
    </r>
  </si>
  <si>
    <r>
      <t>Excluding significant items</t>
    </r>
    <r>
      <rPr>
        <vertAlign val="superscript"/>
        <sz val="8"/>
        <rFont val="Times New Roman"/>
        <family val="1"/>
      </rPr>
      <t>(6)</t>
    </r>
  </si>
  <si>
    <r>
      <t>Third quarter and year-to-date fiscal 2019 summary data</t>
    </r>
    <r>
      <rPr>
        <b/>
        <vertAlign val="superscript"/>
        <sz val="11"/>
        <rFont val="Times New Roman"/>
        <family val="1"/>
      </rPr>
      <t xml:space="preserve"> (1) (2) (7)</t>
    </r>
  </si>
  <si>
    <t xml:space="preserve">           Loss on extinguishment of convertible debentures</t>
  </si>
  <si>
    <t xml:space="preserve">          Acquisition-related costs</t>
  </si>
  <si>
    <t xml:space="preserve">          Amortization of intangible assets</t>
  </si>
  <si>
    <t xml:space="preserve">Commissions and fees     </t>
  </si>
  <si>
    <t xml:space="preserve">Investment banking     </t>
  </si>
  <si>
    <t xml:space="preserve">Advisory fees     </t>
  </si>
  <si>
    <t xml:space="preserve">Principal trading     </t>
  </si>
  <si>
    <t xml:space="preserve">Interest     </t>
  </si>
  <si>
    <t xml:space="preserve">Other     </t>
  </si>
  <si>
    <t>Restructuring costs (2)</t>
  </si>
  <si>
    <t xml:space="preserve">          Restructuring costs (2)</t>
  </si>
  <si>
    <t xml:space="preserve">          Incentive based costs related to acquisition (3)</t>
  </si>
  <si>
    <t>Old</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</si>
  <si>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</si>
  <si>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</si>
  <si>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</si>
  <si>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t xml:space="preserve">Incentive compensation </t>
    </r>
    <r>
      <rPr>
        <vertAlign val="superscript"/>
        <sz val="9"/>
        <rFont val="Arial"/>
        <family val="2"/>
      </rPr>
      <t xml:space="preserve">(10) </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</si>
  <si>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</si>
  <si>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</si>
  <si>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</si>
  <si>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</si>
  <si>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</si>
  <si>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</si>
  <si>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</si>
  <si>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rPr>
        <b/>
        <i/>
        <sz val="12"/>
        <rFont val="Arial"/>
        <family val="2"/>
      </rPr>
      <t>Condensed Statement of Operations</t>
    </r>
    <r>
      <rPr>
        <sz val="9"/>
        <rFont val="Arial"/>
        <family val="2"/>
      </rPr>
      <t xml:space="preserve"> </t>
    </r>
    <r>
      <rPr>
        <vertAlign val="superscript"/>
        <sz val="9"/>
        <rFont val="Arial"/>
        <family val="2"/>
      </rPr>
      <t>(20)(21)</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</si>
  <si>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</si>
  <si>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</si>
  <si>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Other Foreign Locations </t>
    </r>
    <r>
      <rPr>
        <b/>
        <vertAlign val="superscript"/>
        <sz val="9"/>
        <rFont val="Arial"/>
        <family val="2"/>
      </rPr>
      <t>(19)(25)(26)</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</si>
  <si>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</si>
  <si>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</si>
  <si>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</si>
  <si>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Condensed Statement of Operations </t>
    </r>
    <r>
      <rPr>
        <b/>
        <i/>
        <vertAlign val="superscript"/>
        <sz val="12"/>
        <rFont val="Arial"/>
        <family val="2"/>
      </rPr>
      <t>(20)(21)(27)</t>
    </r>
  </si>
  <si>
    <r>
      <t xml:space="preserve">Incentive compensation </t>
    </r>
    <r>
      <rPr>
        <vertAlign val="superscript"/>
        <sz val="9"/>
        <rFont val="Arial"/>
        <family val="2"/>
      </rPr>
      <t>(10)</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</si>
  <si>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</si>
  <si>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</si>
  <si>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</si>
  <si>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</si>
  <si>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</si>
  <si>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</si>
  <si>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</si>
  <si>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</si>
  <si>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Number of companies with Canaccord Genuity Limited as Nomad </t>
    </r>
    <r>
      <rPr>
        <vertAlign val="superscript"/>
        <sz val="9"/>
        <rFont val="Arial"/>
        <family val="2"/>
      </rPr>
      <t>(16)</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</si>
  <si>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</si>
  <si>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</si>
  <si>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</si>
  <si>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</si>
  <si>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</si>
  <si>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</si>
  <si>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</si>
  <si>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Captial Markets US</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</si>
  <si>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</si>
  <si>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</si>
  <si>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</si>
  <si>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t xml:space="preserve">Commencing in Q3/17, the operating results of Canaccord Genuity Capital Markets (Dubai) are included as Canaccord Genuity Capital Markets UK, Europe, and Dubai.   </t>
  </si>
  <si>
    <t>Q4 fiscal 2018</t>
  </si>
  <si>
    <t>YTD Fiscal 2018</t>
  </si>
  <si>
    <t>12 months Ended</t>
  </si>
  <si>
    <t>FY 19</t>
  </si>
  <si>
    <t>Twelve months ended March 31</t>
  </si>
  <si>
    <t>04/31/2017</t>
  </si>
  <si>
    <t>04/31/2019</t>
  </si>
  <si>
    <t>For the Twelve months ended</t>
  </si>
  <si>
    <t>Other long-term liability</t>
  </si>
  <si>
    <t xml:space="preserve">During Q2/19, there was an accounting loss of $13.5 million related to the extinguishment of the $60.0 million convertible unsecured subordinated debentures issued in October 2016.  </t>
  </si>
  <si>
    <r>
      <t xml:space="preserve">Loss on extinguishment of convertible debentures </t>
    </r>
    <r>
      <rPr>
        <vertAlign val="superscript"/>
        <sz val="9"/>
        <rFont val="Arial"/>
        <family val="2"/>
      </rPr>
      <t>(32)</t>
    </r>
  </si>
  <si>
    <t xml:space="preserve">This loss was adjusted to reflect directly in shareholders’ equity $4.9 million of the loss that was related to the conversion feature of the extinguished debentures. The adjustment had no impact on the calculation of the basic or diluted earnings per share.  </t>
  </si>
  <si>
    <t>Q1/20</t>
  </si>
  <si>
    <t>Q1/20 vs. Q1/19</t>
  </si>
  <si>
    <t>First Quarter Fiscal 2020</t>
  </si>
  <si>
    <t>For the period ended June 30, 2019</t>
  </si>
  <si>
    <t>Q1 fiscal 2020</t>
  </si>
  <si>
    <t>YTD Fiscal 2020</t>
  </si>
  <si>
    <t>Three months ended June 30</t>
  </si>
  <si>
    <t>2019</t>
  </si>
  <si>
    <t>QTD Q1/20 vs. Q1/19</t>
  </si>
  <si>
    <t>This document is not audited and should be read in conjunction with the Annual Report dated June 5, 2019. Canaccord’s fiscal year end is defined as March 31st of each year.   Canaccord's first quarter 2020 ended June 30, 2019 is also referred to as Q1/20 in the folowing disclosure.</t>
  </si>
  <si>
    <t>Lease liability</t>
  </si>
  <si>
    <t>Current portion of lease liability</t>
  </si>
  <si>
    <t>Right of use asset</t>
  </si>
  <si>
    <t>Current portion of contingent consideration</t>
  </si>
  <si>
    <t>Amortization of right of use assets</t>
  </si>
  <si>
    <t>Excluding</t>
  </si>
  <si>
    <t xml:space="preserve"> significant items (A)</t>
  </si>
  <si>
    <t>(C$ thousands, except per share amounts)</t>
  </si>
  <si>
    <t>Inter-segment allocations</t>
  </si>
  <si>
    <t>Income (loss) before income taxes and significant items</t>
  </si>
  <si>
    <t>Significant items (A)</t>
  </si>
  <si>
    <t>Incentive-based costs related to acquisition</t>
  </si>
  <si>
    <t xml:space="preserve">--- </t>
  </si>
  <si>
    <t>Income (taxes) recovery (B)</t>
  </si>
  <si>
    <t>Preferred share dividends (C)</t>
  </si>
  <si>
    <t>Corporate and other (C)</t>
  </si>
  <si>
    <t>Net income attributable to common shareholders</t>
  </si>
  <si>
    <t>Dilutive EPS factors</t>
  </si>
  <si>
    <t>Interest on convertible debentures, net of tax (C)</t>
  </si>
  <si>
    <t>Average diluted number of shares (D)</t>
  </si>
  <si>
    <t>Diluted earnings per share, excluding significant items (A)</t>
  </si>
  <si>
    <t>Diluted earnings per share on an IFRS basis</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</si>
  <si>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</si>
  <si>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</si>
  <si>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</si>
  <si>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Summary of operating results and earning per share by segment</t>
  </si>
  <si>
    <t>Summary of operating results and earnings per share by segment</t>
  </si>
  <si>
    <t>Commencing in Q1/20, expenses previously recorded as incentive compensation expense and salaries and benefits are combined under compensation costs.  This reclassification reflects the way in which management reviews and monitors our compensation structure.  Compartives</t>
  </si>
  <si>
    <t>for prior periods have been restated accordingly.</t>
  </si>
  <si>
    <t>Note: Please find notes on Page 16.</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</si>
  <si>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</si>
  <si>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</si>
  <si>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Dividends per preferred share are not included in the dividend yield.</t>
  </si>
  <si>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</si>
  <si>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r>
      <t xml:space="preserve">Compensation expense  </t>
    </r>
    <r>
      <rPr>
        <vertAlign val="superscript"/>
        <sz val="9"/>
        <rFont val="Arial"/>
        <family val="2"/>
      </rPr>
      <t>(11)</t>
    </r>
    <r>
      <rPr>
        <sz val="9"/>
        <rFont val="Arial"/>
        <family val="2"/>
      </rPr>
      <t xml:space="preserve"> </t>
    </r>
    <r>
      <rPr>
        <vertAlign val="superscript"/>
        <sz val="9"/>
        <rFont val="Arial"/>
        <family val="2"/>
      </rPr>
      <t xml:space="preserve">(33) </t>
    </r>
  </si>
  <si>
    <r>
      <t xml:space="preserve">Compensation expense  </t>
    </r>
    <r>
      <rPr>
        <vertAlign val="superscript"/>
        <sz val="9"/>
        <rFont val="Arial"/>
        <family val="2"/>
      </rPr>
      <t xml:space="preserve">(11)(33) </t>
    </r>
  </si>
  <si>
    <r>
      <t xml:space="preserve">Compensation expense </t>
    </r>
    <r>
      <rPr>
        <vertAlign val="superscript"/>
        <sz val="9"/>
        <rFont val="Arial"/>
        <family val="2"/>
      </rPr>
      <t>(11)</t>
    </r>
    <r>
      <rPr>
        <sz val="9"/>
        <rFont val="Arial"/>
        <family val="2"/>
      </rPr>
      <t xml:space="preserve"> </t>
    </r>
    <r>
      <rPr>
        <vertAlign val="superscript"/>
        <sz val="9"/>
        <rFont val="Arial"/>
        <family val="2"/>
      </rPr>
      <t xml:space="preserve">(33) </t>
    </r>
  </si>
  <si>
    <r>
      <t xml:space="preserve">Compensation expense  </t>
    </r>
    <r>
      <rPr>
        <vertAlign val="superscript"/>
        <sz val="9"/>
        <rFont val="Arial"/>
        <family val="2"/>
      </rPr>
      <t>(11)(33)</t>
    </r>
  </si>
  <si>
    <r>
      <t xml:space="preserve">Total compensation as % of revenue </t>
    </r>
    <r>
      <rPr>
        <vertAlign val="superscript"/>
        <sz val="9"/>
        <rFont val="Arial"/>
        <family val="2"/>
      </rPr>
      <t>(11)</t>
    </r>
  </si>
  <si>
    <r>
      <t xml:space="preserve">Compensation expense </t>
    </r>
    <r>
      <rPr>
        <vertAlign val="superscript"/>
        <sz val="9"/>
        <rFont val="Arial"/>
        <family val="2"/>
      </rPr>
      <t xml:space="preserve"> (11)(33) </t>
    </r>
  </si>
  <si>
    <r>
      <t xml:space="preserve">Compensation expense </t>
    </r>
    <r>
      <rPr>
        <vertAlign val="superscript"/>
        <sz val="9"/>
        <rFont val="Arial"/>
        <family val="2"/>
      </rPr>
      <t xml:space="preserve">(11)(33) </t>
    </r>
  </si>
  <si>
    <t xml:space="preserve">Number of employees firm wide </t>
  </si>
  <si>
    <r>
      <t xml:space="preserve">Miscellaneous operational statistics </t>
    </r>
    <r>
      <rPr>
        <b/>
        <i/>
        <vertAlign val="superscript"/>
        <sz val="12"/>
        <rFont val="Arial"/>
        <family val="2"/>
      </rPr>
      <t>(17)</t>
    </r>
  </si>
  <si>
    <r>
      <t xml:space="preserve">Number of employees </t>
    </r>
    <r>
      <rPr>
        <vertAlign val="superscript"/>
        <sz val="9"/>
        <rFont val="Arial"/>
        <family val="2"/>
      </rPr>
      <t>(17)</t>
    </r>
  </si>
  <si>
    <t>(A)     Figures excluding significant items are non-IFRS measures.  (See "Non-IFRS measures")</t>
  </si>
  <si>
    <t>Assets under management in Canada are assets managed on a discretionary basis under our programs generally described as or known as the Complete Canaccord Investment Counseling Program and the Complete Canaccord Private Investment Management Program</t>
  </si>
  <si>
    <t>Financial results are expressed in C$ thousands, except for assets under administration and assets under management which are expressed in C$ millions, preferred share information, common share information, dividends, number of employees, number of Advisory Teams,</t>
  </si>
  <si>
    <t xml:space="preserve">offered by Canaccord Genuity. Assets under management in Canada are included in the total of assets under administration in Canada. Assets under administration in Canada is the market value of client assets managed and administered </t>
  </si>
  <si>
    <t>by Canaccord Genuity, from which Canaccord Genuity earns commissions or fees.  This measure includes both discretionary and non-discretionary accounts.  Assets under management in Canada are included in Canadian assets under administration.</t>
  </si>
  <si>
    <t>and conversion of convertible debentures divided by the number of diluted common shares which would be outstanding.</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</si>
  <si>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</si>
  <si>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</si>
  <si>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</si>
  <si>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</si>
  <si>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</si>
  <si>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r>
      <rPr>
        <b/>
        <i/>
        <sz val="12"/>
        <rFont val="Arial"/>
        <family val="2"/>
      </rPr>
      <t>Condensed Consolidated Statement of Operations</t>
    </r>
    <r>
      <rPr>
        <sz val="9"/>
        <rFont val="Arial"/>
        <family val="2"/>
      </rPr>
      <t xml:space="preserve"> </t>
    </r>
    <r>
      <rPr>
        <vertAlign val="superscript"/>
        <sz val="9"/>
        <rFont val="Arial"/>
        <family val="2"/>
      </rPr>
      <t>(13)(20)(29)</t>
    </r>
  </si>
  <si>
    <t>n.m..</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</si>
  <si>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</si>
  <si>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</si>
  <si>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t>
  </si>
  <si>
    <t xml:space="preserve">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common dividend payout ratio,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 to the changes in the Company's long-term incentive plan as recorded with effect on March 31, 2018, certain incentive-based costs related to the acquisition of Hargreave Hale recorded under development costs, loss related to the extinguishment of convertible debentures as reocrded for accounting purposes as well as certain expense items, typically included in development costs, which are considered by management to reflect a singular charge of a non-operating nature. </t>
  </si>
  <si>
    <t>Intentionally left 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</si>
</sst>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6" formatCode="&quot;$&quot;#,##0_);[Red]\(&quot;$&quot;#,##0\)"/>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0;\(#,##0\);\-&quot; &quot;"/>
    <numFmt numFmtId="168" formatCode="0.0%;\(0.0\)%;_(&quot;-&quot;"/>
    <numFmt numFmtId="169" formatCode="#,##0\ ;\(#,##0\);\-&quot; &quot;"/>
    <numFmt numFmtId="170" formatCode="#,##0.00\ ;\(#,##0.00\);\-&quot; &quot;"/>
    <numFmt numFmtId="171" formatCode="0.0%"/>
    <numFmt numFmtId="172" formatCode="0.000"/>
    <numFmt numFmtId="173" formatCode="#,##0.0\ ;\(#,##0.0\);\-&quot; &quot;"/>
    <numFmt numFmtId="174" formatCode="#,##0.000\ ;\(#,##0.000\);\-&quot; &quot;"/>
    <numFmt numFmtId="175" formatCode="#,##0.000_);\(#,##0.000\)"/>
    <numFmt numFmtId="176" formatCode="_-* #,##0_-;\-* #,##0_-;_-* &quot;-&quot;??_-;_-@_-"/>
    <numFmt numFmtId="177" formatCode="0.0\ \p.\p.;\(0.0\)\ \p.\p.;_(&quot;-&quot;"/>
    <numFmt numFmtId="178" formatCode="0.0"/>
    <numFmt numFmtId="179" formatCode="#,##0.0\ ;\(#,##0\);\-&quot; &quot;"/>
    <numFmt numFmtId="180" formatCode="#,##0;\(#,##0\);&quot;-&quot;"/>
    <numFmt numFmtId="181" formatCode="_(* #,##0_);_(* \(#,##0\);_(* &quot;-&quot;??_);_(@_)"/>
    <numFmt numFmtId="182" formatCode="_-* #,##0.0000_-;\-* #,##0.0000_-;_-* &quot;-&quot;??_-;_-@_-"/>
    <numFmt numFmtId="183" formatCode="[$-F800]dddd\,\ mmmm\ dd\,\ yyyy"/>
    <numFmt numFmtId="184" formatCode="0.0000"/>
    <numFmt numFmtId="185" formatCode="0.00_);\(0.00\)"/>
    <numFmt numFmtId="186" formatCode="#,##0.00;[Red]\(#,##0.00\)"/>
    <numFmt numFmtId="187" formatCode="0_);\(0\)"/>
    <numFmt numFmtId="188" formatCode="_-* #,##0.000_-;\-* #,##0.000_-;_-* &quot;-&quot;??_-;_-@_-"/>
    <numFmt numFmtId="189" formatCode="_(* #,##0.000_);_(* \(#,##0.000\);_(* &quot;-&quot;??_);_(@_)"/>
    <numFmt numFmtId="190" formatCode="_(* #,##0.0_);_(* \(#,##0.0\);_(* &quot;-&quot;??_);_(@_)"/>
    <numFmt numFmtId="191" formatCode="_(* #,##0.0000_);_(* \(#,##0.0000\);_(* &quot;-&quot;??_);_(@_)"/>
    <numFmt numFmtId="192" formatCode="#,##0.00\ ;\(#,##0.0\);\-&quot; &quot;"/>
    <numFmt numFmtId="193" formatCode="[$-409]mmmm\ d\,\ yyyy;@"/>
    <numFmt numFmtId="194" formatCode="[$-1009]d\-mmm\-yy;@"/>
    <numFmt numFmtId="195" formatCode="#,##0.0_);\(#,##0.0\)"/>
    <numFmt numFmtId="196" formatCode="0.0\ \p.\p;\ \(0.0\)\ \p.\p"/>
    <numFmt numFmtId="197" formatCode="#,##0.000;\-#,##0.000"/>
    <numFmt numFmtId="198" formatCode="0.0\ \p.\p.;\ \(0.0\)\ \p.\p."/>
    <numFmt numFmtId="199" formatCode="_(* #,##0.000000_);_(* \(#,##0.000000\);_(* &quot;-&quot;??_);_(@_)"/>
    <numFmt numFmtId="200" formatCode="0.00\ \p.\p.;\(0.00\)\ \p.\p.;_(&quot;-&quot;"/>
    <numFmt numFmtId="201" formatCode="_(* #,##0_);_(* \(#,##0\);_(* &quot;---&quot;_);_(@_)"/>
    <numFmt numFmtId="202" formatCode="#,##0_);\(#,##0\);\-\-\-_)"/>
    <numFmt numFmtId="203" formatCode="_(* #,##0.00_);_(* \(#,##0.00\);_(* &quot;---&quot;_);_(@_)"/>
  </numFmts>
  <fonts count="163" x14ac:knownFonts="1">
    <font>
      <sz val="10"/>
      <name val="Arial"/>
    </font>
    <font>
      <sz val="11"/>
      <color theme="1"/>
      <name val="Calibri"/>
      <family val="2"/>
      <scheme val="minor"/>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4"/>
      <name val="Arial"/>
      <family val="2"/>
    </font>
    <font>
      <b/>
      <sz val="11"/>
      <name val="Arial"/>
      <family val="2"/>
    </font>
    <font>
      <sz val="9"/>
      <color indexed="10"/>
      <name val="Arial"/>
      <family val="2"/>
    </font>
    <font>
      <sz val="8"/>
      <color indexed="81"/>
      <name val="Tahoma"/>
      <family val="2"/>
    </font>
    <font>
      <b/>
      <i/>
      <vertAlign val="superscript"/>
      <sz val="12"/>
      <name val="Arial"/>
      <family val="2"/>
    </font>
    <font>
      <i/>
      <sz val="10"/>
      <name val="Arial"/>
      <family val="2"/>
    </font>
    <font>
      <b/>
      <sz val="9"/>
      <color indexed="12"/>
      <name val="Arial"/>
      <family val="2"/>
    </font>
    <font>
      <sz val="9"/>
      <color indexed="12"/>
      <name val="Arial"/>
      <family val="2"/>
    </font>
    <font>
      <b/>
      <sz val="9"/>
      <name val="Arial"/>
      <family val="2"/>
    </font>
    <font>
      <sz val="12"/>
      <name val="Arial"/>
      <family val="2"/>
    </font>
    <font>
      <sz val="10"/>
      <name val="Arial"/>
      <family val="2"/>
    </font>
    <font>
      <sz val="10"/>
      <name val="Arial"/>
      <family val="2"/>
    </font>
    <font>
      <sz val="9"/>
      <color indexed="63"/>
      <name val="Arial"/>
      <family val="2"/>
    </font>
    <font>
      <b/>
      <sz val="8"/>
      <color indexed="81"/>
      <name val="Tahoma"/>
      <family val="2"/>
    </font>
    <font>
      <b/>
      <sz val="9"/>
      <name val="Times New Roman"/>
      <family val="1"/>
    </font>
    <font>
      <sz val="9"/>
      <name val="Times New Roman"/>
      <family val="1"/>
    </font>
    <font>
      <sz val="10"/>
      <name val="Arial"/>
      <family val="2"/>
    </font>
    <font>
      <sz val="10"/>
      <color rgb="FFFF0000"/>
      <name val="Arial"/>
      <family val="2"/>
    </font>
    <font>
      <sz val="10"/>
      <name val="Arial"/>
      <family val="2"/>
    </font>
    <font>
      <sz val="10"/>
      <name val="Arial"/>
      <family val="2"/>
    </font>
    <font>
      <b/>
      <sz val="10"/>
      <color rgb="FFFF0000"/>
      <name val="Arial"/>
      <family val="2"/>
    </font>
    <font>
      <b/>
      <i/>
      <vertAlign val="superscript"/>
      <sz val="9"/>
      <name val="Arial"/>
      <family val="2"/>
    </font>
    <font>
      <i/>
      <vertAlign val="superscrip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color theme="1"/>
      <name val="Calibri"/>
      <family val="2"/>
    </font>
    <font>
      <sz val="10"/>
      <name val="Arial"/>
      <family val="2"/>
    </font>
    <font>
      <sz val="9"/>
      <color rgb="FFFF000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2"/>
      <name val="Times New Roman"/>
      <family val="1"/>
    </font>
    <font>
      <b/>
      <vertAlign val="superscript"/>
      <sz val="12"/>
      <name val="Times New Roman"/>
      <family val="1"/>
    </font>
    <font>
      <i/>
      <sz val="9"/>
      <name val="Times New Roman"/>
      <family val="1"/>
    </font>
    <font>
      <i/>
      <vertAlign val="superscript"/>
      <sz val="9"/>
      <name val="Times New Roman"/>
      <family val="1"/>
    </font>
    <font>
      <sz val="9"/>
      <color rgb="FF000000"/>
      <name val="Times New Roman"/>
      <family val="1"/>
    </font>
    <font>
      <b/>
      <sz val="11"/>
      <name val="Times New Roman"/>
      <family val="1"/>
    </font>
    <font>
      <b/>
      <vertAlign val="superscript"/>
      <sz val="11"/>
      <name val="Times New Roman"/>
      <family val="1"/>
    </font>
    <font>
      <b/>
      <vertAlign val="superscript"/>
      <sz val="10"/>
      <name val="Times New Roman"/>
      <family val="1"/>
    </font>
    <font>
      <sz val="8"/>
      <name val="Times New Roman"/>
      <family val="1"/>
    </font>
    <font>
      <b/>
      <sz val="8"/>
      <name val="Times New Roman"/>
      <family val="1"/>
    </font>
    <font>
      <vertAlign val="superscript"/>
      <sz val="9"/>
      <name val="Times New Roman"/>
      <family val="1"/>
    </font>
    <font>
      <vertAlign val="superscript"/>
      <sz val="8"/>
      <name val="Times New Roman"/>
      <family val="1"/>
    </font>
    <font>
      <b/>
      <sz val="10"/>
      <name val="Times New Roman"/>
      <family val="1"/>
    </font>
    <font>
      <b/>
      <i/>
      <sz val="13"/>
      <name val="Times New Roman"/>
      <family val="1"/>
    </font>
    <font>
      <b/>
      <i/>
      <vertAlign val="superscript"/>
      <sz val="13"/>
      <name val="Times New Roman"/>
      <family val="1"/>
    </font>
    <font>
      <b/>
      <vertAlign val="superscript"/>
      <sz val="9"/>
      <name val="Times New Roman"/>
      <family val="1"/>
    </font>
    <font>
      <b/>
      <i/>
      <vertAlign val="superscript"/>
      <sz val="8"/>
      <name val="Times New Roman"/>
      <family val="1"/>
    </font>
    <font>
      <sz val="11"/>
      <name val="Times New Roman"/>
      <family val="1"/>
    </font>
    <font>
      <b/>
      <sz val="10"/>
      <color rgb="FF000000"/>
      <name val="Calibri"/>
      <family val="2"/>
    </font>
    <font>
      <b/>
      <sz val="12"/>
      <color theme="1"/>
      <name val="Times New Roman"/>
      <family val="1"/>
    </font>
    <font>
      <b/>
      <sz val="11"/>
      <color theme="1"/>
      <name val="Times New Roman"/>
      <family val="1"/>
    </font>
    <font>
      <b/>
      <vertAlign val="superscript"/>
      <sz val="11"/>
      <color theme="1"/>
      <name val="Times New Roman"/>
      <family val="1"/>
    </font>
    <font>
      <sz val="10"/>
      <color theme="1"/>
      <name val="Times New Roman"/>
      <family val="1"/>
    </font>
    <font>
      <b/>
      <sz val="10"/>
      <color theme="1"/>
      <name val="Calibri"/>
      <family val="2"/>
    </font>
    <font>
      <sz val="8"/>
      <color theme="4" tint="-0.249977111117893"/>
      <name val="Times New Roman"/>
      <family val="1"/>
    </font>
    <font>
      <sz val="8"/>
      <color theme="4" tint="-0.249977111117893"/>
      <name val="Calibri"/>
      <family val="2"/>
    </font>
    <font>
      <sz val="9"/>
      <color theme="1"/>
      <name val="Calibri"/>
      <family val="2"/>
    </font>
    <font>
      <sz val="8"/>
      <color theme="4" tint="-0.249977111117893"/>
      <name val="Franklin Gothic Book"/>
      <family val="2"/>
    </font>
    <font>
      <sz val="12"/>
      <color theme="1"/>
      <name val="Times New Roman"/>
      <family val="1"/>
    </font>
    <font>
      <b/>
      <sz val="8"/>
      <color theme="4" tint="-0.249977111117893"/>
      <name val="Calibri"/>
      <family val="2"/>
    </font>
    <font>
      <vertAlign val="superscript"/>
      <sz val="9"/>
      <color rgb="FFFF0000"/>
      <name val="Times New Roman"/>
      <family val="1"/>
    </font>
    <font>
      <sz val="9"/>
      <color theme="1"/>
      <name val="Times New Roman"/>
      <family val="1"/>
    </font>
    <font>
      <b/>
      <sz val="8"/>
      <color theme="1"/>
      <name val="Times New Roman"/>
      <family val="1"/>
    </font>
    <font>
      <sz val="8"/>
      <color theme="1"/>
      <name val="Times New Roman"/>
      <family val="1"/>
    </font>
    <font>
      <u val="singleAccounting"/>
      <sz val="9"/>
      <name val="Times New Roman"/>
      <family val="1"/>
    </font>
    <font>
      <b/>
      <sz val="10"/>
      <color rgb="FFFF0000"/>
      <name val="Times New Roman"/>
      <family val="1"/>
    </font>
    <font>
      <b/>
      <sz val="11"/>
      <color rgb="FF000000"/>
      <name val="Arial"/>
      <family val="2"/>
    </font>
    <font>
      <sz val="11"/>
      <color rgb="FF000000"/>
      <name val="Arial"/>
      <family val="2"/>
    </font>
    <font>
      <i/>
      <sz val="11"/>
      <color rgb="FF000000"/>
      <name val="Arial"/>
      <family val="2"/>
    </font>
  </fonts>
  <fills count="6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80">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bottom style="double">
        <color indexed="64"/>
      </bottom>
      <diagonal/>
    </border>
    <border>
      <left/>
      <right/>
      <top style="thick">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tted">
        <color indexed="64"/>
      </bottom>
      <diagonal/>
    </border>
    <border>
      <left/>
      <right/>
      <top style="medium">
        <color indexed="64"/>
      </top>
      <bottom style="medium">
        <color indexed="64"/>
      </bottom>
      <diagonal/>
    </border>
    <border>
      <left/>
      <right/>
      <top style="dotted">
        <color indexed="64"/>
      </top>
      <bottom/>
      <diagonal/>
    </border>
    <border>
      <left style="medium">
        <color indexed="64"/>
      </left>
      <right/>
      <top style="dotted">
        <color indexed="64"/>
      </top>
      <bottom/>
      <diagonal/>
    </border>
    <border>
      <left/>
      <right style="medium">
        <color indexed="64"/>
      </right>
      <top/>
      <bottom style="hair">
        <color indexed="64"/>
      </bottom>
      <diagonal/>
    </border>
    <border>
      <left/>
      <right/>
      <top style="hair">
        <color auto="1"/>
      </top>
      <bottom style="hair">
        <color auto="1"/>
      </bottom>
      <diagonal/>
    </border>
    <border>
      <left/>
      <right/>
      <top/>
      <bottom style="hair">
        <color auto="1"/>
      </bottom>
      <diagonal/>
    </border>
    <border>
      <left style="medium">
        <color indexed="64"/>
      </left>
      <right/>
      <top/>
      <bottom style="hair">
        <color indexed="64"/>
      </bottom>
      <diagonal/>
    </border>
    <border>
      <left style="medium">
        <color indexed="64"/>
      </left>
      <right/>
      <top style="medium">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bottom style="thick">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3612">
    <xf numFmtId="183" fontId="0" fillId="0" borderId="0"/>
    <xf numFmtId="43" fontId="13" fillId="0" borderId="0" applyFont="0" applyFill="0" applyBorder="0" applyAlignment="0" applyProtection="0"/>
    <xf numFmtId="43" fontId="49" fillId="0" borderId="0" applyFont="0" applyFill="0" applyBorder="0" applyAlignment="0" applyProtection="0"/>
    <xf numFmtId="43" fontId="34" fillId="0" borderId="0" applyFont="0" applyFill="0" applyBorder="0" applyAlignment="0" applyProtection="0"/>
    <xf numFmtId="166" fontId="13" fillId="0" borderId="0" applyFont="0" applyFill="0" applyBorder="0" applyAlignment="0" applyProtection="0"/>
    <xf numFmtId="183" fontId="26" fillId="0" borderId="0" applyNumberFormat="0" applyFill="0" applyBorder="0" applyAlignment="0" applyProtection="0">
      <alignment vertical="top"/>
      <protection locked="0"/>
    </xf>
    <xf numFmtId="183" fontId="34" fillId="0" borderId="0"/>
    <xf numFmtId="9" fontId="13" fillId="0" borderId="0" applyFont="0" applyFill="0" applyBorder="0" applyAlignment="0" applyProtection="0"/>
    <xf numFmtId="9" fontId="49" fillId="0" borderId="0" applyFont="0" applyFill="0" applyBorder="0" applyAlignment="0" applyProtection="0"/>
    <xf numFmtId="9" fontId="34"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3"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83" fontId="13" fillId="0" borderId="0"/>
    <xf numFmtId="183" fontId="26" fillId="0" borderId="0" applyNumberFormat="0" applyFill="0" applyBorder="0" applyAlignment="0" applyProtection="0">
      <alignment vertical="top"/>
      <protection locked="0"/>
    </xf>
    <xf numFmtId="183" fontId="13" fillId="0" borderId="0"/>
    <xf numFmtId="183" fontId="26" fillId="0" borderId="0" applyNumberFormat="0" applyFill="0" applyBorder="0" applyAlignment="0" applyProtection="0">
      <alignment vertical="top"/>
      <protection locked="0"/>
    </xf>
    <xf numFmtId="183" fontId="57" fillId="0" borderId="0"/>
    <xf numFmtId="183" fontId="26" fillId="0" borderId="0" applyNumberFormat="0" applyFill="0" applyBorder="0" applyAlignment="0" applyProtection="0">
      <alignment vertical="top"/>
      <protection locked="0"/>
    </xf>
    <xf numFmtId="183" fontId="13" fillId="0" borderId="0"/>
    <xf numFmtId="183" fontId="58" fillId="0" borderId="0"/>
    <xf numFmtId="166" fontId="58" fillId="0" borderId="0" applyFont="0" applyFill="0" applyBorder="0" applyAlignment="0" applyProtection="0"/>
    <xf numFmtId="183" fontId="58" fillId="0" borderId="0"/>
    <xf numFmtId="183" fontId="13" fillId="0" borderId="0"/>
    <xf numFmtId="183" fontId="13" fillId="0" borderId="0"/>
    <xf numFmtId="166" fontId="13" fillId="0" borderId="0" applyFont="0" applyFill="0" applyBorder="0" applyAlignment="0" applyProtection="0"/>
    <xf numFmtId="183" fontId="13" fillId="0" borderId="0"/>
    <xf numFmtId="0" fontId="62" fillId="0" borderId="0" applyNumberFormat="0" applyFill="0" applyBorder="0" applyAlignment="0" applyProtection="0"/>
    <xf numFmtId="0" fontId="63" fillId="0" borderId="38" applyNumberFormat="0" applyFill="0" applyAlignment="0" applyProtection="0"/>
    <xf numFmtId="0" fontId="64" fillId="0" borderId="39" applyNumberFormat="0" applyFill="0" applyAlignment="0" applyProtection="0"/>
    <xf numFmtId="0" fontId="65" fillId="0" borderId="40" applyNumberFormat="0" applyFill="0" applyAlignment="0" applyProtection="0"/>
    <xf numFmtId="0" fontId="65" fillId="0" borderId="0" applyNumberFormat="0" applyFill="0" applyBorder="0" applyAlignment="0" applyProtection="0"/>
    <xf numFmtId="0" fontId="66" fillId="7" borderId="0" applyNumberFormat="0" applyBorder="0" applyAlignment="0" applyProtection="0"/>
    <xf numFmtId="0" fontId="67" fillId="8" borderId="0" applyNumberFormat="0" applyBorder="0" applyAlignment="0" applyProtection="0"/>
    <xf numFmtId="0" fontId="68" fillId="9" borderId="0" applyNumberFormat="0" applyBorder="0" applyAlignment="0" applyProtection="0"/>
    <xf numFmtId="0" fontId="69" fillId="10" borderId="41" applyNumberFormat="0" applyAlignment="0" applyProtection="0"/>
    <xf numFmtId="0" fontId="70" fillId="11" borderId="42" applyNumberFormat="0" applyAlignment="0" applyProtection="0"/>
    <xf numFmtId="0" fontId="71" fillId="11" borderId="41" applyNumberFormat="0" applyAlignment="0" applyProtection="0"/>
    <xf numFmtId="0" fontId="72" fillId="0" borderId="43" applyNumberFormat="0" applyFill="0" applyAlignment="0" applyProtection="0"/>
    <xf numFmtId="0" fontId="73" fillId="12" borderId="44"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46" applyNumberFormat="0" applyFill="0" applyAlignment="0" applyProtection="0"/>
    <xf numFmtId="0" fontId="7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77" fillId="37" borderId="0" applyNumberFormat="0" applyBorder="0" applyAlignment="0" applyProtection="0"/>
    <xf numFmtId="0" fontId="12" fillId="0" borderId="0"/>
    <xf numFmtId="0" fontId="12" fillId="13" borderId="45" applyNumberFormat="0" applyFont="0" applyAlignment="0" applyProtection="0"/>
    <xf numFmtId="0" fontId="13" fillId="0" borderId="0"/>
    <xf numFmtId="0" fontId="78" fillId="0" borderId="0"/>
    <xf numFmtId="183" fontId="13" fillId="0" borderId="0"/>
    <xf numFmtId="183" fontId="80" fillId="38" borderId="0" applyNumberFormat="0" applyBorder="0" applyAlignment="0" applyProtection="0"/>
    <xf numFmtId="183" fontId="80" fillId="39" borderId="0" applyNumberFormat="0" applyBorder="0" applyAlignment="0" applyProtection="0"/>
    <xf numFmtId="183" fontId="80" fillId="40" borderId="0" applyNumberFormat="0" applyBorder="0" applyAlignment="0" applyProtection="0"/>
    <xf numFmtId="183" fontId="80" fillId="41" borderId="0" applyNumberFormat="0" applyBorder="0" applyAlignment="0" applyProtection="0"/>
    <xf numFmtId="183" fontId="80" fillId="42" borderId="0" applyNumberFormat="0" applyBorder="0" applyAlignment="0" applyProtection="0"/>
    <xf numFmtId="183" fontId="80" fillId="43" borderId="0" applyNumberFormat="0" applyBorder="0" applyAlignment="0" applyProtection="0"/>
    <xf numFmtId="183" fontId="80" fillId="44" borderId="0" applyNumberFormat="0" applyBorder="0" applyAlignment="0" applyProtection="0"/>
    <xf numFmtId="183" fontId="80" fillId="45" borderId="0" applyNumberFormat="0" applyBorder="0" applyAlignment="0" applyProtection="0"/>
    <xf numFmtId="183" fontId="80" fillId="46" borderId="0" applyNumberFormat="0" applyBorder="0" applyAlignment="0" applyProtection="0"/>
    <xf numFmtId="183" fontId="80" fillId="41" borderId="0" applyNumberFormat="0" applyBorder="0" applyAlignment="0" applyProtection="0"/>
    <xf numFmtId="183" fontId="80" fillId="44" borderId="0" applyNumberFormat="0" applyBorder="0" applyAlignment="0" applyProtection="0"/>
    <xf numFmtId="183" fontId="80" fillId="47" borderId="0" applyNumberFormat="0" applyBorder="0" applyAlignment="0" applyProtection="0"/>
    <xf numFmtId="183" fontId="81" fillId="48" borderId="0" applyNumberFormat="0" applyBorder="0" applyAlignment="0" applyProtection="0"/>
    <xf numFmtId="183" fontId="81" fillId="45" borderId="0" applyNumberFormat="0" applyBorder="0" applyAlignment="0" applyProtection="0"/>
    <xf numFmtId="183" fontId="81" fillId="46" borderId="0" applyNumberFormat="0" applyBorder="0" applyAlignment="0" applyProtection="0"/>
    <xf numFmtId="183" fontId="81" fillId="49" borderId="0" applyNumberFormat="0" applyBorder="0" applyAlignment="0" applyProtection="0"/>
    <xf numFmtId="183" fontId="81" fillId="50" borderId="0" applyNumberFormat="0" applyBorder="0" applyAlignment="0" applyProtection="0"/>
    <xf numFmtId="183" fontId="81" fillId="51" borderId="0" applyNumberFormat="0" applyBorder="0" applyAlignment="0" applyProtection="0"/>
    <xf numFmtId="183" fontId="81" fillId="52" borderId="0" applyNumberFormat="0" applyBorder="0" applyAlignment="0" applyProtection="0"/>
    <xf numFmtId="183" fontId="81" fillId="53" borderId="0" applyNumberFormat="0" applyBorder="0" applyAlignment="0" applyProtection="0"/>
    <xf numFmtId="183" fontId="81" fillId="54" borderId="0" applyNumberFormat="0" applyBorder="0" applyAlignment="0" applyProtection="0"/>
    <xf numFmtId="183" fontId="81" fillId="49" borderId="0" applyNumberFormat="0" applyBorder="0" applyAlignment="0" applyProtection="0"/>
    <xf numFmtId="183" fontId="81" fillId="50" borderId="0" applyNumberFormat="0" applyBorder="0" applyAlignment="0" applyProtection="0"/>
    <xf numFmtId="183" fontId="81" fillId="55" borderId="0" applyNumberFormat="0" applyBorder="0" applyAlignment="0" applyProtection="0"/>
    <xf numFmtId="183" fontId="82" fillId="39" borderId="0" applyNumberFormat="0" applyBorder="0" applyAlignment="0" applyProtection="0"/>
    <xf numFmtId="183" fontId="83" fillId="56" borderId="51" applyNumberFormat="0" applyAlignment="0" applyProtection="0"/>
    <xf numFmtId="183" fontId="84" fillId="57" borderId="52" applyNumberFormat="0" applyAlignment="0" applyProtection="0"/>
    <xf numFmtId="38" fontId="85" fillId="0" borderId="0" applyFont="0" applyFill="0" applyBorder="0" applyAlignment="0" applyProtection="0"/>
    <xf numFmtId="38"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0" fontId="85" fillId="0" borderId="0" applyFont="0" applyFill="0" applyBorder="0" applyAlignment="0" applyProtection="0"/>
    <xf numFmtId="166" fontId="86"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83" fontId="87" fillId="0" borderId="0" applyNumberFormat="0" applyFill="0" applyBorder="0" applyAlignment="0" applyProtection="0"/>
    <xf numFmtId="183" fontId="88" fillId="40" borderId="0" applyNumberFormat="0" applyBorder="0" applyAlignment="0" applyProtection="0"/>
    <xf numFmtId="183" fontId="89" fillId="0" borderId="53" applyNumberFormat="0" applyFill="0" applyAlignment="0" applyProtection="0"/>
    <xf numFmtId="183" fontId="90" fillId="0" borderId="54" applyNumberFormat="0" applyFill="0" applyAlignment="0" applyProtection="0"/>
    <xf numFmtId="183" fontId="91" fillId="0" borderId="55" applyNumberFormat="0" applyFill="0" applyAlignment="0" applyProtection="0"/>
    <xf numFmtId="183" fontId="91" fillId="0" borderId="0" applyNumberFormat="0" applyFill="0" applyBorder="0" applyAlignment="0" applyProtection="0"/>
    <xf numFmtId="183" fontId="92" fillId="43" borderId="51" applyNumberFormat="0" applyAlignment="0" applyProtection="0"/>
    <xf numFmtId="183" fontId="93" fillId="0" borderId="56" applyNumberFormat="0" applyFill="0" applyAlignment="0" applyProtection="0"/>
    <xf numFmtId="183" fontId="94" fillId="58" borderId="0" applyNumberFormat="0" applyBorder="0" applyAlignment="0" applyProtection="0"/>
    <xf numFmtId="183" fontId="13" fillId="0" borderId="0"/>
    <xf numFmtId="183" fontId="13" fillId="0" borderId="0"/>
    <xf numFmtId="183" fontId="95" fillId="0" borderId="0"/>
    <xf numFmtId="183" fontId="18" fillId="0" borderId="0"/>
    <xf numFmtId="183" fontId="13" fillId="0" borderId="0"/>
    <xf numFmtId="0" fontId="12" fillId="0" borderId="0"/>
    <xf numFmtId="0" fontId="18" fillId="0" borderId="0"/>
    <xf numFmtId="183" fontId="13" fillId="59" borderId="57" applyNumberFormat="0" applyFont="0" applyAlignment="0" applyProtection="0"/>
    <xf numFmtId="0" fontId="12" fillId="13" borderId="45"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9" fontId="13"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183" fontId="97" fillId="0" borderId="0" applyNumberFormat="0" applyFill="0" applyBorder="0" applyAlignment="0" applyProtection="0"/>
    <xf numFmtId="183" fontId="98" fillId="0" borderId="59" applyNumberFormat="0" applyFill="0" applyAlignment="0" applyProtection="0"/>
    <xf numFmtId="183" fontId="99" fillId="0" borderId="0" applyNumberFormat="0" applyFill="0" applyBorder="0" applyAlignment="0" applyProtection="0"/>
    <xf numFmtId="0" fontId="78" fillId="0" borderId="0"/>
    <xf numFmtId="0" fontId="78" fillId="0" borderId="0"/>
    <xf numFmtId="0" fontId="13" fillId="0" borderId="0"/>
    <xf numFmtId="0" fontId="13" fillId="0" borderId="0"/>
    <xf numFmtId="0" fontId="13" fillId="0" borderId="0"/>
    <xf numFmtId="0" fontId="11" fillId="0" borderId="0"/>
    <xf numFmtId="0" fontId="101" fillId="0" borderId="38" applyNumberFormat="0" applyFill="0" applyAlignment="0" applyProtection="0"/>
    <xf numFmtId="0" fontId="102" fillId="0" borderId="39" applyNumberFormat="0" applyFill="0" applyAlignment="0" applyProtection="0"/>
    <xf numFmtId="0" fontId="103" fillId="0" borderId="40" applyNumberFormat="0" applyFill="0" applyAlignment="0" applyProtection="0"/>
    <xf numFmtId="0" fontId="103" fillId="0" borderId="0" applyNumberFormat="0" applyFill="0" applyBorder="0" applyAlignment="0" applyProtection="0"/>
    <xf numFmtId="0" fontId="104" fillId="7" borderId="0" applyNumberFormat="0" applyBorder="0" applyAlignment="0" applyProtection="0"/>
    <xf numFmtId="0" fontId="105" fillId="8" borderId="0" applyNumberFormat="0" applyBorder="0" applyAlignment="0" applyProtection="0"/>
    <xf numFmtId="0" fontId="106" fillId="9" borderId="0" applyNumberFormat="0" applyBorder="0" applyAlignment="0" applyProtection="0"/>
    <xf numFmtId="0" fontId="107" fillId="10" borderId="41" applyNumberFormat="0" applyAlignment="0" applyProtection="0"/>
    <xf numFmtId="0" fontId="108" fillId="11" borderId="42" applyNumberFormat="0" applyAlignment="0" applyProtection="0"/>
    <xf numFmtId="0" fontId="109" fillId="11" borderId="41" applyNumberFormat="0" applyAlignment="0" applyProtection="0"/>
    <xf numFmtId="0" fontId="110" fillId="0" borderId="43" applyNumberFormat="0" applyFill="0" applyAlignment="0" applyProtection="0"/>
    <xf numFmtId="0" fontId="111" fillId="12" borderId="44" applyNumberFormat="0" applyAlignment="0" applyProtection="0"/>
    <xf numFmtId="0" fontId="112" fillId="0" borderId="0" applyNumberFormat="0" applyFill="0" applyBorder="0" applyAlignment="0" applyProtection="0"/>
    <xf numFmtId="0" fontId="11" fillId="13" borderId="45" applyNumberFormat="0" applyFont="0" applyAlignment="0" applyProtection="0"/>
    <xf numFmtId="0" fontId="113" fillId="0" borderId="0" applyNumberFormat="0" applyFill="0" applyBorder="0" applyAlignment="0" applyProtection="0"/>
    <xf numFmtId="0" fontId="114" fillId="0" borderId="46" applyNumberFormat="0" applyFill="0" applyAlignment="0" applyProtection="0"/>
    <xf numFmtId="0" fontId="11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5" fillId="17" borderId="0" applyNumberFormat="0" applyBorder="0" applyAlignment="0" applyProtection="0"/>
    <xf numFmtId="0" fontId="11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5" fillId="21" borderId="0" applyNumberFormat="0" applyBorder="0" applyAlignment="0" applyProtection="0"/>
    <xf numFmtId="0" fontId="11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5" fillId="25" borderId="0" applyNumberFormat="0" applyBorder="0" applyAlignment="0" applyProtection="0"/>
    <xf numFmtId="0" fontId="11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5" fillId="29" borderId="0" applyNumberFormat="0" applyBorder="0" applyAlignment="0" applyProtection="0"/>
    <xf numFmtId="0" fontId="11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5" fillId="37" borderId="0" applyNumberFormat="0" applyBorder="0" applyAlignment="0" applyProtection="0"/>
    <xf numFmtId="0" fontId="10" fillId="0" borderId="0"/>
    <xf numFmtId="0" fontId="10" fillId="13" borderId="45"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45"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95" fillId="0" borderId="0"/>
    <xf numFmtId="43" fontId="95" fillId="0" borderId="0" applyFont="0" applyFill="0" applyBorder="0" applyAlignment="0" applyProtection="0"/>
    <xf numFmtId="193" fontId="13" fillId="0" borderId="0"/>
    <xf numFmtId="193" fontId="26" fillId="0" borderId="0" applyNumberFormat="0" applyFill="0" applyBorder="0" applyAlignment="0" applyProtection="0">
      <alignment vertical="top"/>
      <protection locked="0"/>
    </xf>
    <xf numFmtId="193" fontId="80" fillId="38" borderId="0" applyNumberFormat="0" applyBorder="0" applyAlignment="0" applyProtection="0"/>
    <xf numFmtId="193" fontId="80" fillId="39" borderId="0" applyNumberFormat="0" applyBorder="0" applyAlignment="0" applyProtection="0"/>
    <xf numFmtId="193" fontId="80" fillId="40" borderId="0" applyNumberFormat="0" applyBorder="0" applyAlignment="0" applyProtection="0"/>
    <xf numFmtId="193" fontId="80" fillId="41" borderId="0" applyNumberFormat="0" applyBorder="0" applyAlignment="0" applyProtection="0"/>
    <xf numFmtId="193" fontId="80" fillId="42" borderId="0" applyNumberFormat="0" applyBorder="0" applyAlignment="0" applyProtection="0"/>
    <xf numFmtId="193" fontId="80" fillId="43" borderId="0" applyNumberFormat="0" applyBorder="0" applyAlignment="0" applyProtection="0"/>
    <xf numFmtId="193" fontId="80" fillId="44" borderId="0" applyNumberFormat="0" applyBorder="0" applyAlignment="0" applyProtection="0"/>
    <xf numFmtId="193" fontId="80" fillId="45" borderId="0" applyNumberFormat="0" applyBorder="0" applyAlignment="0" applyProtection="0"/>
    <xf numFmtId="193" fontId="80" fillId="46" borderId="0" applyNumberFormat="0" applyBorder="0" applyAlignment="0" applyProtection="0"/>
    <xf numFmtId="193" fontId="80" fillId="41" borderId="0" applyNumberFormat="0" applyBorder="0" applyAlignment="0" applyProtection="0"/>
    <xf numFmtId="193" fontId="80" fillId="44" borderId="0" applyNumberFormat="0" applyBorder="0" applyAlignment="0" applyProtection="0"/>
    <xf numFmtId="193" fontId="80" fillId="47" borderId="0" applyNumberFormat="0" applyBorder="0" applyAlignment="0" applyProtection="0"/>
    <xf numFmtId="193" fontId="81" fillId="48" borderId="0" applyNumberFormat="0" applyBorder="0" applyAlignment="0" applyProtection="0"/>
    <xf numFmtId="193" fontId="81" fillId="45" borderId="0" applyNumberFormat="0" applyBorder="0" applyAlignment="0" applyProtection="0"/>
    <xf numFmtId="193" fontId="81" fillId="46" borderId="0" applyNumberFormat="0" applyBorder="0" applyAlignment="0" applyProtection="0"/>
    <xf numFmtId="193" fontId="81" fillId="49" borderId="0" applyNumberFormat="0" applyBorder="0" applyAlignment="0" applyProtection="0"/>
    <xf numFmtId="193" fontId="81" fillId="50" borderId="0" applyNumberFormat="0" applyBorder="0" applyAlignment="0" applyProtection="0"/>
    <xf numFmtId="193" fontId="81" fillId="51" borderId="0" applyNumberFormat="0" applyBorder="0" applyAlignment="0" applyProtection="0"/>
    <xf numFmtId="193" fontId="81" fillId="52" borderId="0" applyNumberFormat="0" applyBorder="0" applyAlignment="0" applyProtection="0"/>
    <xf numFmtId="193" fontId="81" fillId="53" borderId="0" applyNumberFormat="0" applyBorder="0" applyAlignment="0" applyProtection="0"/>
    <xf numFmtId="193" fontId="81" fillId="54" borderId="0" applyNumberFormat="0" applyBorder="0" applyAlignment="0" applyProtection="0"/>
    <xf numFmtId="193" fontId="81" fillId="49" borderId="0" applyNumberFormat="0" applyBorder="0" applyAlignment="0" applyProtection="0"/>
    <xf numFmtId="193" fontId="81" fillId="50" borderId="0" applyNumberFormat="0" applyBorder="0" applyAlignment="0" applyProtection="0"/>
    <xf numFmtId="193" fontId="81" fillId="55" borderId="0" applyNumberFormat="0" applyBorder="0" applyAlignment="0" applyProtection="0"/>
    <xf numFmtId="193" fontId="82" fillId="39" borderId="0" applyNumberFormat="0" applyBorder="0" applyAlignment="0" applyProtection="0"/>
    <xf numFmtId="193" fontId="83" fillId="56" borderId="51" applyNumberFormat="0" applyAlignment="0" applyProtection="0"/>
    <xf numFmtId="193" fontId="84" fillId="57" borderId="52" applyNumberFormat="0" applyAlignment="0" applyProtection="0"/>
    <xf numFmtId="193" fontId="87" fillId="0" borderId="0" applyNumberFormat="0" applyFill="0" applyBorder="0" applyAlignment="0" applyProtection="0"/>
    <xf numFmtId="193" fontId="88" fillId="40" borderId="0" applyNumberFormat="0" applyBorder="0" applyAlignment="0" applyProtection="0"/>
    <xf numFmtId="193" fontId="89" fillId="0" borderId="53" applyNumberFormat="0" applyFill="0" applyAlignment="0" applyProtection="0"/>
    <xf numFmtId="193" fontId="90" fillId="0" borderId="54" applyNumberFormat="0" applyFill="0" applyAlignment="0" applyProtection="0"/>
    <xf numFmtId="193" fontId="91" fillId="0" borderId="55" applyNumberFormat="0" applyFill="0" applyAlignment="0" applyProtection="0"/>
    <xf numFmtId="193" fontId="91" fillId="0" borderId="0" applyNumberFormat="0" applyFill="0" applyBorder="0" applyAlignment="0" applyProtection="0"/>
    <xf numFmtId="193" fontId="26" fillId="0" borderId="0" applyNumberFormat="0" applyFill="0" applyBorder="0" applyAlignment="0" applyProtection="0">
      <alignment vertical="top"/>
      <protection locked="0"/>
    </xf>
    <xf numFmtId="193" fontId="26" fillId="0" borderId="0" applyNumberFormat="0" applyFill="0" applyBorder="0" applyAlignment="0" applyProtection="0">
      <alignment vertical="top"/>
      <protection locked="0"/>
    </xf>
    <xf numFmtId="183" fontId="26" fillId="0" borderId="0" applyNumberFormat="0" applyFill="0" applyBorder="0" applyAlignment="0" applyProtection="0">
      <alignment vertical="top"/>
      <protection locked="0"/>
    </xf>
    <xf numFmtId="183" fontId="26" fillId="0" borderId="0" applyNumberFormat="0" applyFill="0" applyBorder="0" applyAlignment="0" applyProtection="0">
      <alignment vertical="top"/>
      <protection locked="0"/>
    </xf>
    <xf numFmtId="193" fontId="26" fillId="0" borderId="0" applyNumberFormat="0" applyFill="0" applyBorder="0" applyAlignment="0" applyProtection="0">
      <alignment vertical="top"/>
      <protection locked="0"/>
    </xf>
    <xf numFmtId="183" fontId="26" fillId="0" borderId="0" applyNumberFormat="0" applyFill="0" applyBorder="0" applyAlignment="0" applyProtection="0">
      <alignment vertical="top"/>
      <protection locked="0"/>
    </xf>
    <xf numFmtId="183" fontId="26" fillId="0" borderId="0" applyNumberFormat="0" applyFill="0" applyBorder="0" applyAlignment="0" applyProtection="0">
      <alignment vertical="top"/>
      <protection locked="0"/>
    </xf>
    <xf numFmtId="193" fontId="92" fillId="43" borderId="51" applyNumberFormat="0" applyAlignment="0" applyProtection="0"/>
    <xf numFmtId="193" fontId="93" fillId="0" borderId="56" applyNumberFormat="0" applyFill="0" applyAlignment="0" applyProtection="0"/>
    <xf numFmtId="193" fontId="94" fillId="58" borderId="0" applyNumberFormat="0" applyBorder="0" applyAlignment="0" applyProtection="0"/>
    <xf numFmtId="193" fontId="95" fillId="0" borderId="0"/>
    <xf numFmtId="183" fontId="13" fillId="0" borderId="0"/>
    <xf numFmtId="0" fontId="95" fillId="0" borderId="0"/>
    <xf numFmtId="193" fontId="13" fillId="0" borderId="0"/>
    <xf numFmtId="193" fontId="13" fillId="0" borderId="0"/>
    <xf numFmtId="183" fontId="13" fillId="0" borderId="0"/>
    <xf numFmtId="193" fontId="13" fillId="0" borderId="0"/>
    <xf numFmtId="183" fontId="13" fillId="0" borderId="0"/>
    <xf numFmtId="183" fontId="13" fillId="0" borderId="0"/>
    <xf numFmtId="193" fontId="13" fillId="0" borderId="0"/>
    <xf numFmtId="193" fontId="13" fillId="0" borderId="0"/>
    <xf numFmtId="193" fontId="13" fillId="0" borderId="0"/>
    <xf numFmtId="183" fontId="13" fillId="0" borderId="0"/>
    <xf numFmtId="193" fontId="13" fillId="0" borderId="0"/>
    <xf numFmtId="183" fontId="13" fillId="0" borderId="0"/>
    <xf numFmtId="193" fontId="13" fillId="0" borderId="0"/>
    <xf numFmtId="193" fontId="13" fillId="0" borderId="0"/>
    <xf numFmtId="183" fontId="13" fillId="0" borderId="0"/>
    <xf numFmtId="183" fontId="13" fillId="0" borderId="0"/>
    <xf numFmtId="193" fontId="13" fillId="0" borderId="0"/>
    <xf numFmtId="193" fontId="13" fillId="0" borderId="0"/>
    <xf numFmtId="183" fontId="13" fillId="0" borderId="0"/>
    <xf numFmtId="193" fontId="95" fillId="0" borderId="0"/>
    <xf numFmtId="183" fontId="13" fillId="0" borderId="0"/>
    <xf numFmtId="193" fontId="13" fillId="0" borderId="0"/>
    <xf numFmtId="193" fontId="13" fillId="0" borderId="0"/>
    <xf numFmtId="193" fontId="18" fillId="0" borderId="0"/>
    <xf numFmtId="183" fontId="13" fillId="0" borderId="0"/>
    <xf numFmtId="193" fontId="13" fillId="0" borderId="0"/>
    <xf numFmtId="183" fontId="13" fillId="0" borderId="0"/>
    <xf numFmtId="193" fontId="85" fillId="0" borderId="0">
      <alignment horizontal="left" wrapText="1"/>
    </xf>
    <xf numFmtId="193" fontId="18" fillId="0" borderId="0"/>
    <xf numFmtId="193" fontId="18" fillId="0" borderId="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7" fillId="0" borderId="0" applyNumberFormat="0" applyFill="0" applyBorder="0" applyAlignment="0" applyProtection="0"/>
    <xf numFmtId="193" fontId="98" fillId="0" borderId="59" applyNumberFormat="0" applyFill="0" applyAlignment="0" applyProtection="0"/>
    <xf numFmtId="193" fontId="99" fillId="0" borderId="0" applyNumberFormat="0" applyFill="0" applyBorder="0" applyAlignment="0" applyProtection="0"/>
    <xf numFmtId="193"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3"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93" fontId="13" fillId="0" borderId="0"/>
    <xf numFmtId="193" fontId="13" fillId="0" borderId="0"/>
    <xf numFmtId="193" fontId="13" fillId="0" borderId="0"/>
    <xf numFmtId="193" fontId="13" fillId="0" borderId="0"/>
    <xf numFmtId="193" fontId="13" fillId="0" borderId="0"/>
    <xf numFmtId="166" fontId="13" fillId="0" borderId="0" applyFont="0" applyFill="0" applyBorder="0" applyAlignment="0" applyProtection="0"/>
    <xf numFmtId="193" fontId="13" fillId="0" borderId="0"/>
    <xf numFmtId="193" fontId="13" fillId="0" borderId="0"/>
    <xf numFmtId="193" fontId="13" fillId="0" borderId="0"/>
    <xf numFmtId="166" fontId="13" fillId="0" borderId="0" applyFont="0" applyFill="0" applyBorder="0" applyAlignment="0" applyProtection="0"/>
    <xf numFmtId="193" fontId="13" fillId="0" borderId="0"/>
    <xf numFmtId="193" fontId="83" fillId="56" borderId="51"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93" fontId="92" fillId="43" borderId="51" applyNumberFormat="0" applyAlignment="0" applyProtection="0"/>
    <xf numFmtId="193" fontId="13" fillId="0" borderId="0"/>
    <xf numFmtId="193" fontId="13" fillId="0" borderId="0"/>
    <xf numFmtId="193" fontId="13" fillId="0" borderId="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9" fontId="13" fillId="0" borderId="0" applyFont="0" applyFill="0" applyBorder="0" applyAlignment="0" applyProtection="0"/>
    <xf numFmtId="193" fontId="98" fillId="0" borderId="59" applyNumberFormat="0" applyFill="0" applyAlignment="0" applyProtection="0"/>
    <xf numFmtId="193" fontId="13" fillId="0" borderId="0"/>
    <xf numFmtId="193" fontId="13" fillId="59" borderId="57" applyNumberFormat="0" applyFont="0" applyAlignment="0" applyProtection="0"/>
    <xf numFmtId="0" fontId="63" fillId="0" borderId="38" applyNumberFormat="0" applyFill="0" applyAlignment="0" applyProtection="0"/>
    <xf numFmtId="0" fontId="64" fillId="0" borderId="39" applyNumberFormat="0" applyFill="0" applyAlignment="0" applyProtection="0"/>
    <xf numFmtId="0" fontId="65" fillId="0" borderId="40" applyNumberFormat="0" applyFill="0" applyAlignment="0" applyProtection="0"/>
    <xf numFmtId="0" fontId="65" fillId="0" borderId="0" applyNumberFormat="0" applyFill="0" applyBorder="0" applyAlignment="0" applyProtection="0"/>
    <xf numFmtId="0" fontId="66" fillId="7" borderId="0" applyNumberFormat="0" applyBorder="0" applyAlignment="0" applyProtection="0"/>
    <xf numFmtId="0" fontId="67" fillId="8" borderId="0" applyNumberFormat="0" applyBorder="0" applyAlignment="0" applyProtection="0"/>
    <xf numFmtId="0" fontId="68" fillId="9" borderId="0" applyNumberFormat="0" applyBorder="0" applyAlignment="0" applyProtection="0"/>
    <xf numFmtId="0" fontId="69" fillId="10" borderId="41" applyNumberFormat="0" applyAlignment="0" applyProtection="0"/>
    <xf numFmtId="0" fontId="70" fillId="11" borderId="42" applyNumberFormat="0" applyAlignment="0" applyProtection="0"/>
    <xf numFmtId="0" fontId="71" fillId="11" borderId="41" applyNumberFormat="0" applyAlignment="0" applyProtection="0"/>
    <xf numFmtId="0" fontId="72" fillId="0" borderId="43" applyNumberFormat="0" applyFill="0" applyAlignment="0" applyProtection="0"/>
    <xf numFmtId="0" fontId="73" fillId="12" borderId="44"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46" applyNumberFormat="0" applyFill="0" applyAlignment="0" applyProtection="0"/>
    <xf numFmtId="0" fontId="7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77" fillId="37" borderId="0" applyNumberFormat="0" applyBorder="0" applyAlignment="0" applyProtection="0"/>
    <xf numFmtId="183" fontId="13" fillId="0" borderId="0"/>
    <xf numFmtId="183" fontId="13" fillId="0" borderId="0"/>
    <xf numFmtId="183" fontId="13" fillId="0" borderId="0"/>
    <xf numFmtId="183" fontId="13" fillId="0" borderId="0"/>
    <xf numFmtId="183" fontId="13" fillId="0" borderId="0"/>
    <xf numFmtId="183" fontId="13" fillId="0" borderId="0"/>
    <xf numFmtId="183" fontId="13" fillId="0" borderId="0"/>
    <xf numFmtId="183" fontId="13" fillId="0" borderId="0"/>
    <xf numFmtId="183" fontId="13" fillId="0" borderId="0"/>
    <xf numFmtId="183" fontId="13" fillId="0" borderId="0"/>
    <xf numFmtId="183" fontId="13" fillId="0" borderId="0"/>
    <xf numFmtId="183" fontId="13" fillId="0" borderId="0"/>
    <xf numFmtId="166" fontId="95" fillId="0" borderId="0" applyFont="0" applyFill="0" applyBorder="0" applyAlignment="0" applyProtection="0"/>
    <xf numFmtId="166" fontId="95" fillId="0" borderId="0" applyFont="0" applyFill="0" applyBorder="0" applyAlignment="0" applyProtection="0"/>
    <xf numFmtId="43" fontId="13" fillId="0" borderId="0" applyFont="0" applyFill="0" applyBorder="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0" borderId="0"/>
    <xf numFmtId="43" fontId="13" fillId="0" borderId="0" applyFont="0" applyFill="0" applyBorder="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0" borderId="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43" fontId="13" fillId="0" borderId="0" applyFont="0" applyFill="0" applyBorder="0" applyAlignment="0" applyProtection="0"/>
    <xf numFmtId="0" fontId="13" fillId="0" borderId="0"/>
    <xf numFmtId="0" fontId="26"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80" fillId="38" borderId="0" applyNumberFormat="0" applyBorder="0" applyAlignment="0" applyProtection="0"/>
    <xf numFmtId="0" fontId="80" fillId="39" borderId="0" applyNumberFormat="0" applyBorder="0" applyAlignment="0" applyProtection="0"/>
    <xf numFmtId="0" fontId="80"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1" borderId="0" applyNumberFormat="0" applyBorder="0" applyAlignment="0" applyProtection="0"/>
    <xf numFmtId="0" fontId="80" fillId="44" borderId="0" applyNumberFormat="0" applyBorder="0" applyAlignment="0" applyProtection="0"/>
    <xf numFmtId="0" fontId="80" fillId="47" borderId="0" applyNumberFormat="0" applyBorder="0" applyAlignment="0" applyProtection="0"/>
    <xf numFmtId="0" fontId="81" fillId="48"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81"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81" fillId="55" borderId="0" applyNumberFormat="0" applyBorder="0" applyAlignment="0" applyProtection="0"/>
    <xf numFmtId="0" fontId="82" fillId="39" borderId="0" applyNumberFormat="0" applyBorder="0" applyAlignment="0" applyProtection="0"/>
    <xf numFmtId="0" fontId="83" fillId="56" borderId="51" applyNumberFormat="0" applyAlignment="0" applyProtection="0"/>
    <xf numFmtId="0" fontId="84" fillId="57" borderId="52" applyNumberFormat="0" applyAlignment="0" applyProtection="0"/>
    <xf numFmtId="0" fontId="87" fillId="0" borderId="0" applyNumberFormat="0" applyFill="0" applyBorder="0" applyAlignment="0" applyProtection="0"/>
    <xf numFmtId="0" fontId="88" fillId="40" borderId="0" applyNumberFormat="0" applyBorder="0" applyAlignment="0" applyProtection="0"/>
    <xf numFmtId="0" fontId="89" fillId="0" borderId="53" applyNumberFormat="0" applyFill="0" applyAlignment="0" applyProtection="0"/>
    <xf numFmtId="0" fontId="90" fillId="0" borderId="54" applyNumberFormat="0" applyFill="0" applyAlignment="0" applyProtection="0"/>
    <xf numFmtId="0" fontId="91" fillId="0" borderId="55" applyNumberFormat="0" applyFill="0" applyAlignment="0" applyProtection="0"/>
    <xf numFmtId="0" fontId="91" fillId="0" borderId="0" applyNumberFormat="0" applyFill="0" applyBorder="0" applyAlignment="0" applyProtection="0"/>
    <xf numFmtId="0" fontId="92" fillId="43" borderId="51" applyNumberFormat="0" applyAlignment="0" applyProtection="0"/>
    <xf numFmtId="0" fontId="93" fillId="0" borderId="56" applyNumberFormat="0" applyFill="0" applyAlignment="0" applyProtection="0"/>
    <xf numFmtId="0" fontId="94" fillId="58" borderId="0" applyNumberFormat="0" applyBorder="0" applyAlignment="0" applyProtection="0"/>
    <xf numFmtId="0" fontId="13" fillId="0" borderId="0"/>
    <xf numFmtId="0" fontId="13" fillId="0" borderId="0"/>
    <xf numFmtId="0" fontId="13" fillId="0" borderId="0"/>
    <xf numFmtId="0" fontId="95" fillId="0" borderId="0"/>
    <xf numFmtId="0" fontId="18" fillId="0" borderId="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96" fillId="56" borderId="58" applyNumberFormat="0" applyAlignment="0" applyProtection="0"/>
    <xf numFmtId="0" fontId="97" fillId="0" borderId="0" applyNumberFormat="0" applyFill="0" applyBorder="0" applyAlignment="0" applyProtection="0"/>
    <xf numFmtId="0" fontId="98" fillId="0" borderId="59" applyNumberFormat="0" applyFill="0" applyAlignment="0" applyProtection="0"/>
    <xf numFmtId="0" fontId="99" fillId="0" borderId="0" applyNumberFormat="0" applyFill="0" applyBorder="0" applyAlignment="0" applyProtection="0"/>
    <xf numFmtId="0" fontId="85" fillId="0" borderId="0">
      <alignment horizontal="left" wrapText="1"/>
    </xf>
    <xf numFmtId="0" fontId="13" fillId="0" borderId="0"/>
    <xf numFmtId="0"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0" borderId="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83" fontId="13" fillId="0" borderId="0"/>
    <xf numFmtId="43" fontId="13" fillId="0" borderId="0" applyFont="0" applyFill="0" applyBorder="0" applyAlignment="0" applyProtection="0"/>
    <xf numFmtId="183" fontId="18" fillId="0" borderId="0"/>
    <xf numFmtId="183" fontId="80" fillId="38" borderId="0" applyNumberFormat="0" applyBorder="0" applyAlignment="0" applyProtection="0"/>
    <xf numFmtId="183" fontId="80" fillId="39" borderId="0" applyNumberFormat="0" applyBorder="0" applyAlignment="0" applyProtection="0"/>
    <xf numFmtId="183" fontId="80" fillId="40" borderId="0" applyNumberFormat="0" applyBorder="0" applyAlignment="0" applyProtection="0"/>
    <xf numFmtId="183" fontId="80" fillId="41" borderId="0" applyNumberFormat="0" applyBorder="0" applyAlignment="0" applyProtection="0"/>
    <xf numFmtId="183" fontId="80" fillId="42" borderId="0" applyNumberFormat="0" applyBorder="0" applyAlignment="0" applyProtection="0"/>
    <xf numFmtId="183" fontId="80" fillId="43" borderId="0" applyNumberFormat="0" applyBorder="0" applyAlignment="0" applyProtection="0"/>
    <xf numFmtId="183" fontId="80" fillId="44" borderId="0" applyNumberFormat="0" applyBorder="0" applyAlignment="0" applyProtection="0"/>
    <xf numFmtId="183" fontId="80" fillId="45" borderId="0" applyNumberFormat="0" applyBorder="0" applyAlignment="0" applyProtection="0"/>
    <xf numFmtId="183" fontId="80" fillId="46" borderId="0" applyNumberFormat="0" applyBorder="0" applyAlignment="0" applyProtection="0"/>
    <xf numFmtId="183" fontId="80" fillId="41" borderId="0" applyNumberFormat="0" applyBorder="0" applyAlignment="0" applyProtection="0"/>
    <xf numFmtId="183" fontId="80" fillId="44" borderId="0" applyNumberFormat="0" applyBorder="0" applyAlignment="0" applyProtection="0"/>
    <xf numFmtId="183" fontId="80" fillId="47" borderId="0" applyNumberFormat="0" applyBorder="0" applyAlignment="0" applyProtection="0"/>
    <xf numFmtId="183" fontId="81" fillId="48" borderId="0" applyNumberFormat="0" applyBorder="0" applyAlignment="0" applyProtection="0"/>
    <xf numFmtId="183" fontId="81" fillId="45" borderId="0" applyNumberFormat="0" applyBorder="0" applyAlignment="0" applyProtection="0"/>
    <xf numFmtId="183" fontId="81" fillId="46" borderId="0" applyNumberFormat="0" applyBorder="0" applyAlignment="0" applyProtection="0"/>
    <xf numFmtId="183" fontId="81" fillId="49" borderId="0" applyNumberFormat="0" applyBorder="0" applyAlignment="0" applyProtection="0"/>
    <xf numFmtId="183" fontId="81" fillId="50" borderId="0" applyNumberFormat="0" applyBorder="0" applyAlignment="0" applyProtection="0"/>
    <xf numFmtId="183" fontId="81" fillId="51" borderId="0" applyNumberFormat="0" applyBorder="0" applyAlignment="0" applyProtection="0"/>
    <xf numFmtId="183" fontId="81" fillId="52" borderId="0" applyNumberFormat="0" applyBorder="0" applyAlignment="0" applyProtection="0"/>
    <xf numFmtId="183" fontId="81" fillId="53" borderId="0" applyNumberFormat="0" applyBorder="0" applyAlignment="0" applyProtection="0"/>
    <xf numFmtId="183" fontId="81" fillId="54" borderId="0" applyNumberFormat="0" applyBorder="0" applyAlignment="0" applyProtection="0"/>
    <xf numFmtId="183" fontId="81" fillId="49" borderId="0" applyNumberFormat="0" applyBorder="0" applyAlignment="0" applyProtection="0"/>
    <xf numFmtId="183" fontId="81" fillId="50" borderId="0" applyNumberFormat="0" applyBorder="0" applyAlignment="0" applyProtection="0"/>
    <xf numFmtId="183" fontId="81" fillId="55" borderId="0" applyNumberFormat="0" applyBorder="0" applyAlignment="0" applyProtection="0"/>
    <xf numFmtId="183" fontId="82" fillId="39" borderId="0" applyNumberFormat="0" applyBorder="0" applyAlignment="0" applyProtection="0"/>
    <xf numFmtId="183" fontId="83" fillId="56" borderId="51" applyNumberFormat="0" applyAlignment="0" applyProtection="0"/>
    <xf numFmtId="183" fontId="84" fillId="57" borderId="52" applyNumberFormat="0" applyAlignment="0" applyProtection="0"/>
    <xf numFmtId="183" fontId="87" fillId="0" borderId="0" applyNumberFormat="0" applyFill="0" applyBorder="0" applyAlignment="0" applyProtection="0"/>
    <xf numFmtId="183" fontId="88" fillId="40" borderId="0" applyNumberFormat="0" applyBorder="0" applyAlignment="0" applyProtection="0"/>
    <xf numFmtId="183" fontId="89" fillId="0" borderId="53" applyNumberFormat="0" applyFill="0" applyAlignment="0" applyProtection="0"/>
    <xf numFmtId="183" fontId="90" fillId="0" borderId="54" applyNumberFormat="0" applyFill="0" applyAlignment="0" applyProtection="0"/>
    <xf numFmtId="183" fontId="91" fillId="0" borderId="55" applyNumberFormat="0" applyFill="0" applyAlignment="0" applyProtection="0"/>
    <xf numFmtId="183" fontId="91" fillId="0" borderId="0" applyNumberFormat="0" applyFill="0" applyBorder="0" applyAlignment="0" applyProtection="0"/>
    <xf numFmtId="183" fontId="92" fillId="43" borderId="51" applyNumberFormat="0" applyAlignment="0" applyProtection="0"/>
    <xf numFmtId="183" fontId="93" fillId="0" borderId="56" applyNumberFormat="0" applyFill="0" applyAlignment="0" applyProtection="0"/>
    <xf numFmtId="183" fontId="94" fillId="58" borderId="0" applyNumberFormat="0" applyBorder="0" applyAlignment="0" applyProtection="0"/>
    <xf numFmtId="183" fontId="13" fillId="0" borderId="0"/>
    <xf numFmtId="183" fontId="13" fillId="0" borderId="0"/>
    <xf numFmtId="183" fontId="13" fillId="0" borderId="0"/>
    <xf numFmtId="183" fontId="95" fillId="0" borderId="0"/>
    <xf numFmtId="183" fontId="18" fillId="0" borderId="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7" fillId="0" borderId="0" applyNumberFormat="0" applyFill="0" applyBorder="0" applyAlignment="0" applyProtection="0"/>
    <xf numFmtId="183" fontId="98" fillId="0" borderId="59" applyNumberFormat="0" applyFill="0" applyAlignment="0" applyProtection="0"/>
    <xf numFmtId="183" fontId="99" fillId="0" borderId="0" applyNumberFormat="0" applyFill="0" applyBorder="0" applyAlignment="0" applyProtection="0"/>
    <xf numFmtId="183" fontId="85" fillId="0" borderId="0">
      <alignment horizontal="left" wrapText="1"/>
    </xf>
    <xf numFmtId="183" fontId="13" fillId="0" borderId="0"/>
    <xf numFmtId="183" fontId="13" fillId="59" borderId="57" applyNumberFormat="0" applyFont="0" applyAlignment="0" applyProtection="0"/>
    <xf numFmtId="0" fontId="18" fillId="0" borderId="0"/>
    <xf numFmtId="43" fontId="13" fillId="0" borderId="0" applyFont="0" applyFill="0" applyBorder="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43" fontId="13" fillId="0" borderId="0" applyFont="0" applyFill="0" applyBorder="0" applyAlignment="0" applyProtection="0"/>
    <xf numFmtId="183" fontId="98" fillId="0" borderId="59" applyNumberFormat="0" applyFill="0" applyAlignment="0" applyProtection="0"/>
    <xf numFmtId="183" fontId="13" fillId="59" borderId="57" applyNumberFormat="0" applyFont="0" applyAlignment="0" applyProtection="0"/>
    <xf numFmtId="194" fontId="13" fillId="0" borderId="0"/>
    <xf numFmtId="43" fontId="13" fillId="0" borderId="0" applyFont="0" applyFill="0" applyBorder="0" applyAlignment="0" applyProtection="0"/>
    <xf numFmtId="194" fontId="26" fillId="0" borderId="0" applyNumberFormat="0" applyFill="0" applyBorder="0" applyAlignment="0" applyProtection="0">
      <alignment vertical="top"/>
      <protection locked="0"/>
    </xf>
    <xf numFmtId="194" fontId="13" fillId="0" borderId="0"/>
    <xf numFmtId="194" fontId="13" fillId="0" borderId="0"/>
    <xf numFmtId="194" fontId="13" fillId="0" borderId="0"/>
    <xf numFmtId="194" fontId="26" fillId="0" borderId="0" applyNumberFormat="0" applyFill="0" applyBorder="0" applyAlignment="0" applyProtection="0">
      <alignment vertical="top"/>
      <protection locked="0"/>
    </xf>
    <xf numFmtId="194" fontId="13" fillId="0" borderId="0"/>
    <xf numFmtId="194" fontId="26" fillId="0" borderId="0" applyNumberFormat="0" applyFill="0" applyBorder="0" applyAlignment="0" applyProtection="0">
      <alignment vertical="top"/>
      <protection locked="0"/>
    </xf>
    <xf numFmtId="194" fontId="13" fillId="0" borderId="0"/>
    <xf numFmtId="194" fontId="26" fillId="0" borderId="0" applyNumberFormat="0" applyFill="0" applyBorder="0" applyAlignment="0" applyProtection="0">
      <alignment vertical="top"/>
      <protection locked="0"/>
    </xf>
    <xf numFmtId="194" fontId="13" fillId="0" borderId="0"/>
    <xf numFmtId="194" fontId="13" fillId="0" borderId="0"/>
    <xf numFmtId="194" fontId="13" fillId="0" borderId="0"/>
    <xf numFmtId="194" fontId="13" fillId="0" borderId="0"/>
    <xf numFmtId="194" fontId="13" fillId="0" borderId="0"/>
    <xf numFmtId="194" fontId="13" fillId="0" borderId="0"/>
    <xf numFmtId="194" fontId="18" fillId="0" borderId="0"/>
    <xf numFmtId="194" fontId="80" fillId="38" borderId="0" applyNumberFormat="0" applyBorder="0" applyAlignment="0" applyProtection="0"/>
    <xf numFmtId="194" fontId="80" fillId="39" borderId="0" applyNumberFormat="0" applyBorder="0" applyAlignment="0" applyProtection="0"/>
    <xf numFmtId="194" fontId="80" fillId="40" borderId="0" applyNumberFormat="0" applyBorder="0" applyAlignment="0" applyProtection="0"/>
    <xf numFmtId="194" fontId="80" fillId="41" borderId="0" applyNumberFormat="0" applyBorder="0" applyAlignment="0" applyProtection="0"/>
    <xf numFmtId="194" fontId="80" fillId="42" borderId="0" applyNumberFormat="0" applyBorder="0" applyAlignment="0" applyProtection="0"/>
    <xf numFmtId="194" fontId="80" fillId="43" borderId="0" applyNumberFormat="0" applyBorder="0" applyAlignment="0" applyProtection="0"/>
    <xf numFmtId="194" fontId="80" fillId="44" borderId="0" applyNumberFormat="0" applyBorder="0" applyAlignment="0" applyProtection="0"/>
    <xf numFmtId="194" fontId="80" fillId="45" borderId="0" applyNumberFormat="0" applyBorder="0" applyAlignment="0" applyProtection="0"/>
    <xf numFmtId="194" fontId="80" fillId="46" borderId="0" applyNumberFormat="0" applyBorder="0" applyAlignment="0" applyProtection="0"/>
    <xf numFmtId="194" fontId="80" fillId="41" borderId="0" applyNumberFormat="0" applyBorder="0" applyAlignment="0" applyProtection="0"/>
    <xf numFmtId="194" fontId="80" fillId="44" borderId="0" applyNumberFormat="0" applyBorder="0" applyAlignment="0" applyProtection="0"/>
    <xf numFmtId="194" fontId="80" fillId="47" borderId="0" applyNumberFormat="0" applyBorder="0" applyAlignment="0" applyProtection="0"/>
    <xf numFmtId="194" fontId="81" fillId="48" borderId="0" applyNumberFormat="0" applyBorder="0" applyAlignment="0" applyProtection="0"/>
    <xf numFmtId="194" fontId="81" fillId="45" borderId="0" applyNumberFormat="0" applyBorder="0" applyAlignment="0" applyProtection="0"/>
    <xf numFmtId="194" fontId="81" fillId="46" borderId="0" applyNumberFormat="0" applyBorder="0" applyAlignment="0" applyProtection="0"/>
    <xf numFmtId="194" fontId="81" fillId="49" borderId="0" applyNumberFormat="0" applyBorder="0" applyAlignment="0" applyProtection="0"/>
    <xf numFmtId="194" fontId="81" fillId="50" borderId="0" applyNumberFormat="0" applyBorder="0" applyAlignment="0" applyProtection="0"/>
    <xf numFmtId="194" fontId="81" fillId="51" borderId="0" applyNumberFormat="0" applyBorder="0" applyAlignment="0" applyProtection="0"/>
    <xf numFmtId="194" fontId="81" fillId="52" borderId="0" applyNumberFormat="0" applyBorder="0" applyAlignment="0" applyProtection="0"/>
    <xf numFmtId="194" fontId="81" fillId="53" borderId="0" applyNumberFormat="0" applyBorder="0" applyAlignment="0" applyProtection="0"/>
    <xf numFmtId="194" fontId="81" fillId="54" borderId="0" applyNumberFormat="0" applyBorder="0" applyAlignment="0" applyProtection="0"/>
    <xf numFmtId="194" fontId="81" fillId="49" borderId="0" applyNumberFormat="0" applyBorder="0" applyAlignment="0" applyProtection="0"/>
    <xf numFmtId="194" fontId="81" fillId="50" borderId="0" applyNumberFormat="0" applyBorder="0" applyAlignment="0" applyProtection="0"/>
    <xf numFmtId="194" fontId="81" fillId="55" borderId="0" applyNumberFormat="0" applyBorder="0" applyAlignment="0" applyProtection="0"/>
    <xf numFmtId="194" fontId="82" fillId="39" borderId="0" applyNumberFormat="0" applyBorder="0" applyAlignment="0" applyProtection="0"/>
    <xf numFmtId="194" fontId="83" fillId="56" borderId="51" applyNumberFormat="0" applyAlignment="0" applyProtection="0"/>
    <xf numFmtId="194" fontId="84" fillId="57" borderId="52" applyNumberFormat="0" applyAlignment="0" applyProtection="0"/>
    <xf numFmtId="194" fontId="87" fillId="0" borderId="0" applyNumberFormat="0" applyFill="0" applyBorder="0" applyAlignment="0" applyProtection="0"/>
    <xf numFmtId="194" fontId="88" fillId="40" borderId="0" applyNumberFormat="0" applyBorder="0" applyAlignment="0" applyProtection="0"/>
    <xf numFmtId="194" fontId="89" fillId="0" borderId="53" applyNumberFormat="0" applyFill="0" applyAlignment="0" applyProtection="0"/>
    <xf numFmtId="194" fontId="90" fillId="0" borderId="54" applyNumberFormat="0" applyFill="0" applyAlignment="0" applyProtection="0"/>
    <xf numFmtId="194" fontId="91" fillId="0" borderId="55" applyNumberFormat="0" applyFill="0" applyAlignment="0" applyProtection="0"/>
    <xf numFmtId="194" fontId="91" fillId="0" borderId="0" applyNumberFormat="0" applyFill="0" applyBorder="0" applyAlignment="0" applyProtection="0"/>
    <xf numFmtId="194" fontId="92" fillId="43" borderId="51" applyNumberFormat="0" applyAlignment="0" applyProtection="0"/>
    <xf numFmtId="194" fontId="93" fillId="0" borderId="56" applyNumberFormat="0" applyFill="0" applyAlignment="0" applyProtection="0"/>
    <xf numFmtId="194" fontId="94" fillId="58" borderId="0" applyNumberFormat="0" applyBorder="0" applyAlignment="0" applyProtection="0"/>
    <xf numFmtId="194" fontId="13" fillId="0" borderId="0"/>
    <xf numFmtId="194" fontId="13" fillId="0" borderId="0"/>
    <xf numFmtId="194" fontId="13" fillId="0" borderId="0"/>
    <xf numFmtId="194" fontId="95" fillId="0" borderId="0"/>
    <xf numFmtId="194" fontId="18" fillId="0" borderId="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96" fillId="56" borderId="58" applyNumberFormat="0" applyAlignment="0" applyProtection="0"/>
    <xf numFmtId="194" fontId="97" fillId="0" borderId="0" applyNumberFormat="0" applyFill="0" applyBorder="0" applyAlignment="0" applyProtection="0"/>
    <xf numFmtId="194" fontId="98" fillId="0" borderId="59" applyNumberFormat="0" applyFill="0" applyAlignment="0" applyProtection="0"/>
    <xf numFmtId="194" fontId="99" fillId="0" borderId="0" applyNumberFormat="0" applyFill="0" applyBorder="0" applyAlignment="0" applyProtection="0"/>
    <xf numFmtId="194" fontId="85" fillId="0" borderId="0">
      <alignment horizontal="left" wrapText="1"/>
    </xf>
    <xf numFmtId="194" fontId="13" fillId="0" borderId="0"/>
    <xf numFmtId="194" fontId="13" fillId="59" borderId="57" applyNumberFormat="0" applyFont="0" applyAlignment="0" applyProtection="0"/>
    <xf numFmtId="194" fontId="18" fillId="0" borderId="0"/>
    <xf numFmtId="0" fontId="95" fillId="0" borderId="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0" fontId="83" fillId="56" borderId="51" applyNumberFormat="0" applyAlignment="0" applyProtection="0"/>
    <xf numFmtId="0" fontId="92" fillId="43" borderId="51" applyNumberForma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0"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83" fontId="13" fillId="0" borderId="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94" fontId="13" fillId="0" borderId="0"/>
    <xf numFmtId="194" fontId="83" fillId="56" borderId="51" applyNumberFormat="0" applyAlignment="0" applyProtection="0"/>
    <xf numFmtId="194" fontId="92" fillId="43" borderId="51" applyNumberForma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96" fillId="56" borderId="58" applyNumberFormat="0" applyAlignment="0" applyProtection="0"/>
    <xf numFmtId="194" fontId="98" fillId="0" borderId="59" applyNumberFormat="0" applyFill="0" applyAlignment="0" applyProtection="0"/>
    <xf numFmtId="194" fontId="13" fillId="59" borderId="57"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0" fontId="83" fillId="56" borderId="51" applyNumberFormat="0" applyAlignment="0" applyProtection="0"/>
    <xf numFmtId="166" fontId="13" fillId="0" borderId="0" applyFont="0" applyFill="0" applyBorder="0" applyAlignment="0" applyProtection="0"/>
    <xf numFmtId="0" fontId="92" fillId="43" borderId="51" applyNumberForma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0" fontId="95" fillId="0" borderId="0"/>
    <xf numFmtId="9" fontId="95"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193" fontId="96" fillId="56" borderId="58"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92" fillId="43" borderId="51" applyNumberForma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98" fillId="0" borderId="59" applyNumberFormat="0" applyFill="0" applyAlignment="0" applyProtection="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3" fillId="56" borderId="51" applyNumberFormat="0" applyAlignment="0" applyProtection="0"/>
    <xf numFmtId="166" fontId="13" fillId="0" borderId="0" applyFont="0" applyFill="0" applyBorder="0" applyAlignment="0" applyProtection="0"/>
    <xf numFmtId="0" fontId="92" fillId="43" borderId="51" applyNumberFormat="0" applyAlignment="0" applyProtection="0"/>
    <xf numFmtId="166" fontId="13" fillId="0" borderId="0" applyFont="0" applyFill="0" applyBorder="0" applyAlignment="0" applyProtection="0"/>
    <xf numFmtId="0" fontId="13" fillId="59" borderId="57" applyNumberFormat="0" applyFont="0" applyAlignment="0" applyProtection="0"/>
    <xf numFmtId="0" fontId="96" fillId="56" borderId="58" applyNumberFormat="0" applyAlignment="0" applyProtection="0"/>
    <xf numFmtId="166" fontId="13" fillId="0" borderId="0" applyFont="0" applyFill="0" applyBorder="0" applyAlignment="0" applyProtection="0"/>
    <xf numFmtId="0" fontId="98" fillId="0" borderId="59"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93" fontId="13" fillId="59" borderId="57" applyNumberFormat="0" applyFont="0" applyAlignment="0" applyProtection="0"/>
    <xf numFmtId="0" fontId="13" fillId="59" borderId="57" applyNumberFormat="0" applyFont="0" applyAlignment="0" applyProtection="0"/>
    <xf numFmtId="0"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83" fillId="56"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83" fillId="56"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6" fillId="56" borderId="58" applyNumberFormat="0" applyAlignment="0" applyProtection="0"/>
    <xf numFmtId="193" fontId="98" fillId="0" borderId="59" applyNumberFormat="0" applyFill="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0"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0" fontId="83" fillId="56" borderId="51" applyNumberFormat="0" applyAlignment="0" applyProtection="0"/>
    <xf numFmtId="193" fontId="96" fillId="56" borderId="58" applyNumberFormat="0" applyAlignment="0" applyProtection="0"/>
    <xf numFmtId="193" fontId="13" fillId="59" borderId="57" applyNumberFormat="0" applyFont="0" applyAlignment="0" applyProtection="0"/>
    <xf numFmtId="0" fontId="92" fillId="43" borderId="51" applyNumberFormat="0" applyAlignment="0" applyProtection="0"/>
    <xf numFmtId="193" fontId="98" fillId="0" borderId="59" applyNumberFormat="0" applyFill="0" applyAlignment="0" applyProtection="0"/>
    <xf numFmtId="193" fontId="92" fillId="43" borderId="51" applyNumberForma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0"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0"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8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0"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83" fillId="56" borderId="51" applyNumberFormat="0" applyAlignment="0" applyProtection="0"/>
    <xf numFmtId="193" fontId="13" fillId="59" borderId="57" applyNumberFormat="0" applyFont="0" applyAlignment="0" applyProtection="0"/>
    <xf numFmtId="193" fontId="98" fillId="0" borderId="59" applyNumberFormat="0" applyFill="0" applyAlignment="0" applyProtection="0"/>
    <xf numFmtId="194"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4" fontId="92" fillId="43" borderId="51" applyNumberForma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96" fillId="56" borderId="58" applyNumberFormat="0" applyAlignment="0" applyProtection="0"/>
    <xf numFmtId="194" fontId="98" fillId="0" borderId="59" applyNumberFormat="0" applyFill="0" applyAlignment="0" applyProtection="0"/>
    <xf numFmtId="194"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0" fontId="83" fillId="56" borderId="51" applyNumberFormat="0" applyAlignment="0" applyProtection="0"/>
    <xf numFmtId="0" fontId="92" fillId="43" borderId="51" applyNumberForma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0"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94" fontId="83" fillId="56" borderId="51" applyNumberFormat="0" applyAlignment="0" applyProtection="0"/>
    <xf numFmtId="194" fontId="92" fillId="43" borderId="51" applyNumberForma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96" fillId="56" borderId="58" applyNumberFormat="0" applyAlignment="0" applyProtection="0"/>
    <xf numFmtId="194" fontId="98" fillId="0" borderId="59" applyNumberFormat="0" applyFill="0" applyAlignment="0" applyProtection="0"/>
    <xf numFmtId="194" fontId="13" fillId="59" borderId="57" applyNumberFormat="0" applyFont="0" applyAlignment="0" applyProtection="0"/>
    <xf numFmtId="0" fontId="83" fillId="56" borderId="51" applyNumberFormat="0" applyAlignment="0" applyProtection="0"/>
    <xf numFmtId="0" fontId="92" fillId="43" borderId="51" applyNumberForma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0"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94" fontId="83" fillId="56" borderId="51" applyNumberFormat="0" applyAlignment="0" applyProtection="0"/>
    <xf numFmtId="194" fontId="92" fillId="43" borderId="51" applyNumberForma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96" fillId="56" borderId="58" applyNumberFormat="0" applyAlignment="0" applyProtection="0"/>
    <xf numFmtId="194" fontId="98" fillId="0" borderId="59" applyNumberFormat="0" applyFill="0" applyAlignment="0" applyProtection="0"/>
    <xf numFmtId="194"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0" fontId="83" fillId="56" borderId="51" applyNumberFormat="0" applyAlignment="0" applyProtection="0"/>
    <xf numFmtId="0" fontId="92" fillId="43" borderId="51" applyNumberForma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0"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13" fillId="59" borderId="57" applyNumberFormat="0" applyFont="0" applyAlignment="0" applyProtection="0"/>
    <xf numFmtId="193" fontId="98" fillId="0" borderId="59" applyNumberFormat="0" applyFill="0" applyAlignment="0" applyProtection="0"/>
    <xf numFmtId="193" fontId="96" fillId="56" borderId="58" applyNumberForma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2" fillId="43" borderId="51" applyNumberFormat="0" applyAlignment="0" applyProtection="0"/>
    <xf numFmtId="193" fontId="92" fillId="43" borderId="51"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96" fillId="56" borderId="58" applyNumberFormat="0" applyAlignment="0" applyProtection="0"/>
    <xf numFmtId="193" fontId="92" fillId="43" borderId="51" applyNumberFormat="0" applyAlignment="0" applyProtection="0"/>
    <xf numFmtId="193" fontId="83" fillId="56" borderId="51" applyNumberForma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93" fontId="83" fillId="56" borderId="51" applyNumberFormat="0" applyAlignment="0" applyProtection="0"/>
    <xf numFmtId="193" fontId="92" fillId="43" borderId="51" applyNumberForma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13" fillId="59" borderId="57" applyNumberFormat="0" applyFont="0" applyAlignment="0" applyProtection="0"/>
    <xf numFmtId="193" fontId="96" fillId="56" borderId="58" applyNumberFormat="0" applyAlignment="0" applyProtection="0"/>
    <xf numFmtId="193" fontId="98" fillId="0" borderId="59" applyNumberFormat="0" applyFill="0" applyAlignment="0" applyProtection="0"/>
    <xf numFmtId="19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83" fontId="83" fillId="56" borderId="51" applyNumberFormat="0" applyAlignment="0" applyProtection="0"/>
    <xf numFmtId="183" fontId="92" fillId="43" borderId="51" applyNumberForma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13" fillId="59" borderId="57" applyNumberFormat="0" applyFont="0" applyAlignment="0" applyProtection="0"/>
    <xf numFmtId="183" fontId="96" fillId="56" borderId="58" applyNumberFormat="0" applyAlignment="0" applyProtection="0"/>
    <xf numFmtId="183" fontId="98" fillId="0" borderId="59" applyNumberFormat="0" applyFill="0" applyAlignment="0" applyProtection="0"/>
    <xf numFmtId="183" fontId="13" fillId="59" borderId="57" applyNumberFormat="0" applyFont="0" applyAlignment="0" applyProtection="0"/>
    <xf numFmtId="194" fontId="83" fillId="56" borderId="51" applyNumberFormat="0" applyAlignment="0" applyProtection="0"/>
    <xf numFmtId="194" fontId="92" fillId="43" borderId="51" applyNumberForma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13" fillId="59" borderId="57" applyNumberFormat="0" applyFont="0" applyAlignment="0" applyProtection="0"/>
    <xf numFmtId="194" fontId="96" fillId="56" borderId="58" applyNumberFormat="0" applyAlignment="0" applyProtection="0"/>
    <xf numFmtId="194" fontId="98" fillId="0" borderId="59" applyNumberFormat="0" applyFill="0" applyAlignment="0" applyProtection="0"/>
    <xf numFmtId="194" fontId="13" fillId="59" borderId="57" applyNumberFormat="0" applyFont="0" applyAlignment="0" applyProtection="0"/>
    <xf numFmtId="0" fontId="83" fillId="56" borderId="51" applyNumberFormat="0" applyAlignment="0" applyProtection="0"/>
    <xf numFmtId="0" fontId="92" fillId="43" borderId="51" applyNumberFormat="0" applyAlignment="0" applyProtection="0"/>
    <xf numFmtId="0" fontId="13" fillId="59" borderId="57" applyNumberFormat="0" applyFont="0" applyAlignment="0" applyProtection="0"/>
    <xf numFmtId="0" fontId="96" fillId="56" borderId="58" applyNumberFormat="0" applyAlignment="0" applyProtection="0"/>
    <xf numFmtId="0" fontId="98" fillId="0" borderId="59" applyNumberFormat="0" applyFill="0" applyAlignment="0" applyProtection="0"/>
    <xf numFmtId="44" fontId="117" fillId="0" borderId="0" applyFont="0" applyFill="0" applyBorder="0" applyAlignment="0" applyProtection="0"/>
    <xf numFmtId="0" fontId="8" fillId="0" borderId="0"/>
    <xf numFmtId="0" fontId="8" fillId="13" borderId="45"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7" fillId="0" borderId="0"/>
    <xf numFmtId="0" fontId="7" fillId="13" borderId="45"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6" fillId="0" borderId="0"/>
    <xf numFmtId="166" fontId="6" fillId="0" borderId="0" applyFont="0" applyFill="0" applyBorder="0" applyAlignment="0" applyProtection="0"/>
    <xf numFmtId="183" fontId="13" fillId="0" borderId="0"/>
    <xf numFmtId="43" fontId="13" fillId="0" borderId="0" applyFont="0" applyFill="0" applyBorder="0" applyAlignment="0" applyProtection="0"/>
    <xf numFmtId="9" fontId="13" fillId="0" borderId="0" applyFont="0" applyFill="0" applyBorder="0" applyAlignment="0" applyProtection="0"/>
    <xf numFmtId="0" fontId="63" fillId="0" borderId="38" applyNumberFormat="0" applyFill="0" applyAlignment="0" applyProtection="0"/>
    <xf numFmtId="0" fontId="64" fillId="0" borderId="39" applyNumberFormat="0" applyFill="0" applyAlignment="0" applyProtection="0"/>
    <xf numFmtId="0" fontId="65" fillId="0" borderId="40" applyNumberFormat="0" applyFill="0" applyAlignment="0" applyProtection="0"/>
    <xf numFmtId="0" fontId="65" fillId="0" borderId="0" applyNumberFormat="0" applyFill="0" applyBorder="0" applyAlignment="0" applyProtection="0"/>
    <xf numFmtId="0" fontId="66" fillId="7" borderId="0" applyNumberFormat="0" applyBorder="0" applyAlignment="0" applyProtection="0"/>
    <xf numFmtId="0" fontId="67" fillId="8" borderId="0" applyNumberFormat="0" applyBorder="0" applyAlignment="0" applyProtection="0"/>
    <xf numFmtId="0" fontId="68" fillId="9" borderId="0" applyNumberFormat="0" applyBorder="0" applyAlignment="0" applyProtection="0"/>
    <xf numFmtId="0" fontId="69" fillId="10" borderId="41" applyNumberFormat="0" applyAlignment="0" applyProtection="0"/>
    <xf numFmtId="0" fontId="70" fillId="11" borderId="42" applyNumberFormat="0" applyAlignment="0" applyProtection="0"/>
    <xf numFmtId="0" fontId="71" fillId="11" borderId="41" applyNumberFormat="0" applyAlignment="0" applyProtection="0"/>
    <xf numFmtId="0" fontId="72" fillId="0" borderId="43" applyNumberFormat="0" applyFill="0" applyAlignment="0" applyProtection="0"/>
    <xf numFmtId="0" fontId="73" fillId="12" borderId="44"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46" applyNumberFormat="0" applyFill="0" applyAlignment="0" applyProtection="0"/>
    <xf numFmtId="0" fontId="7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77" fillId="37" borderId="0" applyNumberFormat="0" applyBorder="0" applyAlignment="0" applyProtection="0"/>
    <xf numFmtId="0" fontId="6" fillId="0" borderId="0"/>
    <xf numFmtId="0" fontId="6" fillId="13" borderId="45"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0" fontId="6" fillId="13" borderId="45"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0" fontId="6" fillId="13" borderId="45"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44" fontId="13" fillId="0" borderId="0" applyFont="0" applyFill="0" applyBorder="0" applyAlignment="0" applyProtection="0"/>
    <xf numFmtId="0" fontId="6" fillId="0" borderId="0"/>
    <xf numFmtId="0" fontId="6" fillId="13" borderId="45"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13" borderId="45"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0" borderId="0"/>
    <xf numFmtId="0" fontId="5" fillId="13" borderId="45"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166" fontId="4" fillId="0" borderId="0" applyFont="0" applyFill="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45"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166" fontId="3"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0" fontId="3" fillId="13" borderId="45" applyNumberFormat="0" applyFont="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43" fontId="86" fillId="0" borderId="0" applyFont="0" applyFill="0" applyBorder="0" applyAlignment="0" applyProtection="0"/>
    <xf numFmtId="166" fontId="121" fillId="0" borderId="0" applyFont="0" applyFill="0" applyBorder="0" applyAlignment="0" applyProtection="0"/>
    <xf numFmtId="166" fontId="121" fillId="0" borderId="0" applyFont="0" applyFill="0" applyBorder="0" applyAlignment="0" applyProtection="0"/>
    <xf numFmtId="43" fontId="86" fillId="0" borderId="0" applyFont="0" applyFill="0" applyBorder="0" applyAlignment="0" applyProtection="0"/>
    <xf numFmtId="44" fontId="8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80" fillId="13" borderId="45" applyNumberFormat="0" applyFont="0" applyAlignment="0" applyProtection="0"/>
    <xf numFmtId="0" fontId="80" fillId="13" borderId="45" applyNumberFormat="0" applyFont="0" applyAlignment="0" applyProtection="0"/>
    <xf numFmtId="0" fontId="121" fillId="13" borderId="45" applyNumberFormat="0" applyFont="0" applyAlignment="0" applyProtection="0"/>
    <xf numFmtId="0" fontId="121" fillId="13" borderId="45" applyNumberFormat="0" applyFont="0" applyAlignment="0" applyProtection="0"/>
    <xf numFmtId="0" fontId="121" fillId="13" borderId="45" applyNumberFormat="0" applyFont="0" applyAlignment="0" applyProtection="0"/>
    <xf numFmtId="9" fontId="86"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45"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0" fontId="1" fillId="0" borderId="0"/>
    <xf numFmtId="0" fontId="1" fillId="13" borderId="45" applyNumberFormat="0" applyFont="0" applyAlignment="0" applyProtection="0"/>
    <xf numFmtId="0" fontId="2" fillId="13" borderId="45" applyNumberFormat="0" applyFont="0" applyAlignment="0" applyProtection="0"/>
    <xf numFmtId="0" fontId="2" fillId="13" borderId="45" applyNumberFormat="0" applyFont="0" applyAlignment="0" applyProtection="0"/>
    <xf numFmtId="0" fontId="2" fillId="13" borderId="45" applyNumberFormat="0" applyFont="0" applyAlignment="0" applyProtection="0"/>
    <xf numFmtId="166" fontId="95"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5" fillId="0" borderId="0" applyFont="0" applyFill="0" applyBorder="0" applyAlignment="0" applyProtection="0"/>
    <xf numFmtId="165" fontId="95"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166" fontId="13"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5" fontId="13"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45"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121" fillId="0" borderId="0" applyFont="0" applyFill="0" applyBorder="0" applyAlignment="0" applyProtection="0"/>
    <xf numFmtId="166" fontId="121" fillId="0" borderId="0" applyFont="0" applyFill="0" applyBorder="0" applyAlignment="0" applyProtection="0"/>
    <xf numFmtId="166" fontId="86" fillId="0" borderId="0" applyFont="0" applyFill="0" applyBorder="0" applyAlignment="0" applyProtection="0"/>
    <xf numFmtId="165" fontId="86" fillId="0" borderId="0" applyFont="0" applyFill="0" applyBorder="0" applyAlignment="0" applyProtection="0"/>
  </cellStyleXfs>
  <cellXfs count="3222">
    <xf numFmtId="183" fontId="0" fillId="0" borderId="0" xfId="0"/>
    <xf numFmtId="183" fontId="23" fillId="0" borderId="0" xfId="0" applyFont="1" applyFill="1" applyBorder="1"/>
    <xf numFmtId="183" fontId="0" fillId="0" borderId="0" xfId="0" applyFill="1" applyBorder="1"/>
    <xf numFmtId="183" fontId="0" fillId="0" borderId="0" xfId="0" applyBorder="1"/>
    <xf numFmtId="183" fontId="16" fillId="0" borderId="0" xfId="0" applyFont="1" applyFill="1" applyBorder="1" applyAlignment="1">
      <alignment horizontal="left"/>
    </xf>
    <xf numFmtId="183" fontId="17" fillId="0" borderId="0" xfId="0" applyFont="1" applyFill="1" applyBorder="1"/>
    <xf numFmtId="183" fontId="18" fillId="0" borderId="0" xfId="0" applyFont="1" applyFill="1" applyBorder="1"/>
    <xf numFmtId="183" fontId="20" fillId="0" borderId="0" xfId="0" applyFont="1" applyFill="1" applyBorder="1"/>
    <xf numFmtId="167" fontId="18" fillId="0" borderId="0" xfId="0" applyNumberFormat="1" applyFont="1" applyFill="1" applyBorder="1"/>
    <xf numFmtId="168" fontId="18" fillId="0" borderId="0" xfId="0" applyNumberFormat="1" applyFont="1" applyFill="1" applyBorder="1"/>
    <xf numFmtId="168" fontId="15" fillId="0" borderId="0" xfId="0" applyNumberFormat="1" applyFont="1" applyBorder="1"/>
    <xf numFmtId="183" fontId="0" fillId="0" borderId="0" xfId="0" applyFill="1" applyBorder="1" applyAlignment="1"/>
    <xf numFmtId="183" fontId="24" fillId="0" borderId="1" xfId="0" applyFont="1" applyFill="1" applyBorder="1" applyAlignment="1">
      <alignment horizontal="center"/>
    </xf>
    <xf numFmtId="183" fontId="24" fillId="0" borderId="0" xfId="0" applyFont="1" applyFill="1" applyBorder="1" applyAlignment="1">
      <alignment horizontal="center"/>
    </xf>
    <xf numFmtId="183" fontId="25" fillId="0" borderId="0" xfId="0" applyFont="1" applyFill="1" applyBorder="1" applyAlignment="1">
      <alignment horizontal="center"/>
    </xf>
    <xf numFmtId="183" fontId="0" fillId="0" borderId="2" xfId="0" applyBorder="1"/>
    <xf numFmtId="183" fontId="0" fillId="0" borderId="3" xfId="0" applyBorder="1"/>
    <xf numFmtId="183" fontId="0" fillId="0" borderId="4" xfId="0" applyBorder="1"/>
    <xf numFmtId="183" fontId="24" fillId="0" borderId="5" xfId="0" applyFont="1" applyFill="1" applyBorder="1" applyAlignment="1">
      <alignment horizontal="center"/>
    </xf>
    <xf numFmtId="183" fontId="24" fillId="0" borderId="6" xfId="0" applyFont="1" applyFill="1" applyBorder="1" applyAlignment="1">
      <alignment horizontal="center"/>
    </xf>
    <xf numFmtId="183" fontId="0" fillId="0" borderId="7" xfId="0" applyBorder="1"/>
    <xf numFmtId="183" fontId="24" fillId="0" borderId="8" xfId="0" applyFont="1" applyFill="1" applyBorder="1" applyAlignment="1">
      <alignment horizontal="center"/>
    </xf>
    <xf numFmtId="183" fontId="0" fillId="0" borderId="9" xfId="0" applyBorder="1"/>
    <xf numFmtId="183" fontId="0" fillId="0" borderId="10" xfId="0" applyBorder="1"/>
    <xf numFmtId="183" fontId="0" fillId="0" borderId="11" xfId="0" applyBorder="1"/>
    <xf numFmtId="183" fontId="0" fillId="0" borderId="6" xfId="0" applyBorder="1"/>
    <xf numFmtId="169" fontId="18" fillId="0" borderId="11" xfId="1" applyNumberFormat="1" applyFont="1" applyFill="1" applyBorder="1"/>
    <xf numFmtId="168" fontId="18" fillId="0" borderId="11" xfId="7" applyNumberFormat="1" applyFont="1" applyFill="1" applyBorder="1" applyAlignment="1">
      <alignment horizontal="right"/>
    </xf>
    <xf numFmtId="169" fontId="18" fillId="0" borderId="0" xfId="1" applyNumberFormat="1" applyFont="1" applyFill="1" applyBorder="1"/>
    <xf numFmtId="170" fontId="18" fillId="0" borderId="0" xfId="0" applyNumberFormat="1" applyFont="1" applyFill="1" applyBorder="1"/>
    <xf numFmtId="170" fontId="18" fillId="0" borderId="0" xfId="1" applyNumberFormat="1" applyFont="1" applyFill="1" applyBorder="1"/>
    <xf numFmtId="172" fontId="18" fillId="0" borderId="0" xfId="0" applyNumberFormat="1" applyFont="1" applyFill="1" applyBorder="1"/>
    <xf numFmtId="168" fontId="18" fillId="0" borderId="0" xfId="7" applyNumberFormat="1" applyFont="1" applyFill="1" applyBorder="1"/>
    <xf numFmtId="173" fontId="18" fillId="0" borderId="0" xfId="0" applyNumberFormat="1" applyFont="1" applyFill="1" applyBorder="1"/>
    <xf numFmtId="169" fontId="18" fillId="0" borderId="10" xfId="1" applyNumberFormat="1" applyFont="1" applyFill="1" applyBorder="1"/>
    <xf numFmtId="168" fontId="18" fillId="0" borderId="0" xfId="7" applyNumberFormat="1" applyFont="1" applyFill="1" applyBorder="1" applyAlignment="1">
      <alignment horizontal="right"/>
    </xf>
    <xf numFmtId="171" fontId="18" fillId="0" borderId="0" xfId="7" applyNumberFormat="1" applyFont="1" applyFill="1" applyBorder="1"/>
    <xf numFmtId="169" fontId="18" fillId="0" borderId="9" xfId="1" applyNumberFormat="1" applyFont="1" applyFill="1" applyBorder="1"/>
    <xf numFmtId="39" fontId="18" fillId="0" borderId="0" xfId="0" applyNumberFormat="1" applyFont="1" applyFill="1" applyBorder="1"/>
    <xf numFmtId="168" fontId="18" fillId="0" borderId="11" xfId="0" applyNumberFormat="1" applyFont="1" applyFill="1" applyBorder="1"/>
    <xf numFmtId="168" fontId="23" fillId="0" borderId="0" xfId="7" applyNumberFormat="1" applyFont="1" applyFill="1" applyBorder="1" applyAlignment="1">
      <alignment horizontal="right"/>
    </xf>
    <xf numFmtId="170" fontId="23" fillId="0" borderId="0" xfId="0" applyNumberFormat="1" applyFont="1" applyFill="1" applyBorder="1"/>
    <xf numFmtId="168" fontId="23" fillId="0" borderId="0" xfId="0" applyNumberFormat="1" applyFont="1" applyFill="1" applyBorder="1"/>
    <xf numFmtId="168" fontId="23" fillId="0" borderId="0" xfId="7" applyNumberFormat="1" applyFont="1" applyFill="1" applyBorder="1"/>
    <xf numFmtId="183" fontId="18" fillId="0" borderId="0" xfId="0" applyFont="1"/>
    <xf numFmtId="169" fontId="18" fillId="0" borderId="10" xfId="0" applyNumberFormat="1" applyFont="1" applyFill="1" applyBorder="1"/>
    <xf numFmtId="183" fontId="24" fillId="0" borderId="7" xfId="0" applyFont="1" applyFill="1" applyBorder="1" applyAlignment="1">
      <alignment horizontal="center"/>
    </xf>
    <xf numFmtId="183" fontId="18" fillId="0" borderId="9" xfId="0" applyFont="1" applyBorder="1"/>
    <xf numFmtId="183" fontId="27" fillId="0" borderId="0" xfId="0" applyFont="1" applyAlignment="1">
      <alignment horizontal="center"/>
    </xf>
    <xf numFmtId="183" fontId="0" fillId="0" borderId="0" xfId="0" applyAlignment="1">
      <alignment horizontal="right"/>
    </xf>
    <xf numFmtId="183" fontId="0" fillId="0" borderId="0" xfId="0" applyAlignment="1">
      <alignment wrapText="1"/>
    </xf>
    <xf numFmtId="183" fontId="0" fillId="2" borderId="0" xfId="0" applyFill="1"/>
    <xf numFmtId="183" fontId="30" fillId="0" borderId="0" xfId="0" applyFont="1" applyAlignment="1">
      <alignment horizontal="center"/>
    </xf>
    <xf numFmtId="183" fontId="27" fillId="0" borderId="0" xfId="0" applyFont="1"/>
    <xf numFmtId="183" fontId="0" fillId="0" borderId="0" xfId="0" applyNumberFormat="1" applyFill="1" applyAlignment="1">
      <alignment horizontal="center"/>
    </xf>
    <xf numFmtId="183" fontId="0" fillId="0" borderId="0" xfId="0" applyAlignment="1">
      <alignment horizontal="center"/>
    </xf>
    <xf numFmtId="183" fontId="0" fillId="0" borderId="0" xfId="0" applyFill="1" applyAlignment="1">
      <alignment wrapText="1"/>
    </xf>
    <xf numFmtId="183" fontId="0" fillId="0" borderId="0" xfId="0" applyNumberFormat="1" applyBorder="1" applyAlignment="1">
      <alignment horizontal="center"/>
    </xf>
    <xf numFmtId="183" fontId="0" fillId="0" borderId="0" xfId="0" applyNumberFormat="1" applyFill="1" applyBorder="1" applyAlignment="1">
      <alignment horizontal="center"/>
    </xf>
    <xf numFmtId="183" fontId="27" fillId="0" borderId="0" xfId="0" applyFont="1" applyBorder="1" applyAlignment="1">
      <alignment horizontal="left"/>
    </xf>
    <xf numFmtId="183" fontId="26" fillId="0" borderId="0" xfId="5" applyFont="1" applyBorder="1" applyAlignment="1" applyProtection="1">
      <alignment horizontal="center"/>
    </xf>
    <xf numFmtId="183" fontId="0" fillId="0" borderId="0" xfId="0" applyFill="1"/>
    <xf numFmtId="10" fontId="0" fillId="0" borderId="0" xfId="0" applyNumberFormat="1"/>
    <xf numFmtId="183" fontId="18" fillId="0" borderId="0" xfId="0" applyFont="1" applyAlignment="1"/>
    <xf numFmtId="183" fontId="0" fillId="0" borderId="0" xfId="0" applyAlignment="1"/>
    <xf numFmtId="183" fontId="0" fillId="0" borderId="0" xfId="0" applyFill="1" applyAlignment="1"/>
    <xf numFmtId="183" fontId="25" fillId="0" borderId="0" xfId="0" applyFont="1"/>
    <xf numFmtId="183" fontId="31" fillId="0" borderId="0" xfId="0" applyFont="1"/>
    <xf numFmtId="183" fontId="32" fillId="3" borderId="12" xfId="0" applyFont="1" applyFill="1" applyBorder="1" applyAlignment="1">
      <alignment horizontal="left"/>
    </xf>
    <xf numFmtId="183" fontId="33" fillId="3" borderId="13" xfId="0" applyFont="1" applyFill="1" applyBorder="1"/>
    <xf numFmtId="183" fontId="33" fillId="3" borderId="14" xfId="0" applyFont="1" applyFill="1" applyBorder="1"/>
    <xf numFmtId="183" fontId="34" fillId="0" borderId="0" xfId="0" applyFont="1"/>
    <xf numFmtId="183" fontId="34" fillId="0" borderId="2" xfId="0" applyFont="1" applyBorder="1"/>
    <xf numFmtId="183" fontId="34" fillId="0" borderId="3" xfId="0" applyFont="1" applyBorder="1"/>
    <xf numFmtId="183" fontId="34" fillId="0" borderId="3" xfId="0" applyFont="1" applyBorder="1" applyAlignment="1">
      <alignment horizontal="right"/>
    </xf>
    <xf numFmtId="183" fontId="34" fillId="0" borderId="4" xfId="0" applyFont="1" applyBorder="1"/>
    <xf numFmtId="183" fontId="34" fillId="0" borderId="11" xfId="0" applyFont="1" applyBorder="1"/>
    <xf numFmtId="183" fontId="34" fillId="0" borderId="1" xfId="0" applyFont="1" applyBorder="1"/>
    <xf numFmtId="183" fontId="35" fillId="0" borderId="0" xfId="0" applyFont="1"/>
    <xf numFmtId="183" fontId="36" fillId="0" borderId="0" xfId="0" applyFont="1"/>
    <xf numFmtId="183" fontId="34" fillId="0" borderId="0" xfId="0" applyFont="1" applyAlignment="1">
      <alignment wrapText="1"/>
    </xf>
    <xf numFmtId="183" fontId="15" fillId="0" borderId="0" xfId="0" applyFont="1"/>
    <xf numFmtId="183" fontId="27" fillId="0" borderId="0" xfId="0" applyFont="1" applyFill="1" applyAlignment="1"/>
    <xf numFmtId="183" fontId="37" fillId="0" borderId="0" xfId="0" applyFont="1" applyFill="1"/>
    <xf numFmtId="183" fontId="39" fillId="0" borderId="0" xfId="0" applyFont="1"/>
    <xf numFmtId="183" fontId="24" fillId="0" borderId="0" xfId="0" applyFont="1" applyFill="1" applyBorder="1"/>
    <xf numFmtId="183" fontId="24" fillId="0" borderId="0" xfId="0" applyFont="1"/>
    <xf numFmtId="183" fontId="18" fillId="0" borderId="0" xfId="0" applyFont="1" applyFill="1"/>
    <xf numFmtId="168" fontId="18" fillId="0" borderId="0" xfId="0" applyNumberFormat="1" applyFont="1"/>
    <xf numFmtId="168" fontId="18" fillId="0" borderId="0" xfId="0" applyNumberFormat="1" applyFont="1" applyFill="1"/>
    <xf numFmtId="183" fontId="17" fillId="0" borderId="0" xfId="0" applyFont="1"/>
    <xf numFmtId="183" fontId="18" fillId="0" borderId="0" xfId="0" applyFont="1" applyBorder="1"/>
    <xf numFmtId="168" fontId="18" fillId="0" borderId="1" xfId="7" applyNumberFormat="1" applyFont="1" applyFill="1" applyBorder="1" applyAlignment="1">
      <alignment horizontal="right"/>
    </xf>
    <xf numFmtId="169" fontId="0" fillId="0" borderId="0" xfId="0" applyNumberFormat="1" applyFill="1" applyBorder="1"/>
    <xf numFmtId="168" fontId="0" fillId="0" borderId="0" xfId="0" applyNumberFormat="1" applyFill="1" applyBorder="1"/>
    <xf numFmtId="170" fontId="0" fillId="0" borderId="0" xfId="0" applyNumberFormat="1" applyFill="1" applyBorder="1"/>
    <xf numFmtId="169" fontId="18" fillId="0" borderId="0" xfId="0" applyNumberFormat="1" applyFont="1" applyFill="1" applyBorder="1"/>
    <xf numFmtId="169" fontId="18" fillId="0" borderId="5" xfId="0" applyNumberFormat="1" applyFont="1" applyFill="1" applyBorder="1"/>
    <xf numFmtId="168" fontId="18" fillId="0" borderId="1" xfId="0" applyNumberFormat="1" applyFont="1" applyFill="1" applyBorder="1"/>
    <xf numFmtId="169" fontId="18" fillId="0" borderId="4" xfId="1" applyNumberFormat="1" applyFont="1" applyFill="1" applyBorder="1"/>
    <xf numFmtId="169" fontId="18" fillId="0" borderId="6" xfId="1" applyNumberFormat="1" applyFont="1" applyFill="1" applyBorder="1"/>
    <xf numFmtId="169" fontId="18" fillId="0" borderId="1" xfId="1" applyNumberFormat="1" applyFont="1" applyFill="1" applyBorder="1"/>
    <xf numFmtId="169" fontId="18" fillId="0" borderId="8" xfId="1" applyNumberFormat="1" applyFont="1" applyFill="1" applyBorder="1"/>
    <xf numFmtId="37" fontId="18" fillId="0" borderId="9" xfId="1" applyNumberFormat="1" applyFont="1" applyFill="1" applyBorder="1"/>
    <xf numFmtId="177" fontId="18" fillId="0" borderId="0" xfId="0" applyNumberFormat="1" applyFont="1" applyFill="1" applyBorder="1" applyAlignment="1">
      <alignment horizontal="right"/>
    </xf>
    <xf numFmtId="183" fontId="18" fillId="0" borderId="10" xfId="0" applyFont="1" applyBorder="1"/>
    <xf numFmtId="183" fontId="18" fillId="0" borderId="4" xfId="0" applyFont="1" applyBorder="1"/>
    <xf numFmtId="183" fontId="18" fillId="0" borderId="11" xfId="0" applyFont="1" applyBorder="1"/>
    <xf numFmtId="169" fontId="18" fillId="0" borderId="0" xfId="0" applyNumberFormat="1" applyFont="1"/>
    <xf numFmtId="169" fontId="18" fillId="0" borderId="11" xfId="0" applyNumberFormat="1" applyFont="1" applyBorder="1"/>
    <xf numFmtId="169" fontId="18" fillId="0" borderId="12" xfId="1" applyNumberFormat="1" applyFont="1" applyFill="1" applyBorder="1"/>
    <xf numFmtId="168" fontId="18" fillId="0" borderId="14" xfId="7" applyNumberFormat="1" applyFont="1" applyFill="1" applyBorder="1" applyAlignment="1">
      <alignment horizontal="right"/>
    </xf>
    <xf numFmtId="37" fontId="18" fillId="0" borderId="15" xfId="1" applyNumberFormat="1" applyFont="1" applyFill="1" applyBorder="1"/>
    <xf numFmtId="169" fontId="18" fillId="0" borderId="14" xfId="0" applyNumberFormat="1" applyFont="1" applyBorder="1"/>
    <xf numFmtId="37" fontId="18" fillId="0" borderId="10" xfId="1" applyNumberFormat="1" applyFont="1" applyFill="1" applyBorder="1"/>
    <xf numFmtId="169" fontId="18" fillId="0" borderId="10" xfId="0" applyNumberFormat="1" applyFont="1" applyBorder="1"/>
    <xf numFmtId="169" fontId="18" fillId="0" borderId="9" xfId="0" applyNumberFormat="1" applyFont="1" applyBorder="1"/>
    <xf numFmtId="37" fontId="18" fillId="0" borderId="12" xfId="1" applyNumberFormat="1" applyFont="1" applyFill="1" applyBorder="1"/>
    <xf numFmtId="37" fontId="18" fillId="0" borderId="9" xfId="0" applyNumberFormat="1" applyFont="1" applyBorder="1"/>
    <xf numFmtId="37" fontId="18" fillId="0" borderId="0" xfId="0" applyNumberFormat="1" applyFont="1"/>
    <xf numFmtId="168" fontId="18" fillId="0" borderId="17" xfId="7" applyNumberFormat="1" applyFont="1" applyFill="1" applyBorder="1" applyAlignment="1">
      <alignment horizontal="right"/>
    </xf>
    <xf numFmtId="170" fontId="18" fillId="0" borderId="0" xfId="0" applyNumberFormat="1" applyFont="1" applyBorder="1"/>
    <xf numFmtId="168" fontId="18" fillId="0" borderId="0" xfId="0" applyNumberFormat="1" applyFont="1" applyBorder="1"/>
    <xf numFmtId="168" fontId="20" fillId="0" borderId="0" xfId="0" applyNumberFormat="1" applyFont="1" applyBorder="1"/>
    <xf numFmtId="183" fontId="18" fillId="0" borderId="7" xfId="0" applyFont="1" applyBorder="1"/>
    <xf numFmtId="183" fontId="18" fillId="0" borderId="3" xfId="0" applyFont="1" applyBorder="1"/>
    <xf numFmtId="183" fontId="18" fillId="0" borderId="2" xfId="0" applyFont="1" applyBorder="1"/>
    <xf numFmtId="183" fontId="18" fillId="0" borderId="0" xfId="0" applyFont="1" applyFill="1" applyBorder="1" applyAlignment="1">
      <alignment horizontal="center"/>
    </xf>
    <xf numFmtId="37" fontId="18" fillId="0" borderId="8" xfId="0" applyNumberFormat="1" applyFont="1" applyBorder="1"/>
    <xf numFmtId="37" fontId="18" fillId="0" borderId="9" xfId="1" applyNumberFormat="1" applyFont="1" applyFill="1" applyBorder="1" applyAlignment="1">
      <alignment horizontal="right"/>
    </xf>
    <xf numFmtId="37" fontId="18" fillId="0" borderId="15" xfId="1" applyNumberFormat="1" applyFont="1" applyFill="1" applyBorder="1" applyAlignment="1">
      <alignment horizontal="right"/>
    </xf>
    <xf numFmtId="183" fontId="18" fillId="0" borderId="9" xfId="0" applyFont="1" applyBorder="1" applyAlignment="1">
      <alignment horizontal="right"/>
    </xf>
    <xf numFmtId="169" fontId="18" fillId="0" borderId="9" xfId="0" applyNumberFormat="1" applyFont="1" applyBorder="1" applyAlignment="1">
      <alignment horizontal="right"/>
    </xf>
    <xf numFmtId="37" fontId="18" fillId="0" borderId="8" xfId="1" applyNumberFormat="1" applyFont="1" applyFill="1" applyBorder="1"/>
    <xf numFmtId="37" fontId="18" fillId="0" borderId="8" xfId="1" applyNumberFormat="1" applyFont="1" applyFill="1" applyBorder="1" applyAlignment="1">
      <alignment horizontal="right"/>
    </xf>
    <xf numFmtId="177" fontId="18" fillId="0" borderId="0" xfId="0" applyNumberFormat="1" applyFont="1"/>
    <xf numFmtId="37" fontId="18" fillId="0" borderId="18" xfId="1" applyNumberFormat="1" applyFont="1" applyFill="1" applyBorder="1" applyAlignment="1">
      <alignment horizontal="right"/>
    </xf>
    <xf numFmtId="183" fontId="27" fillId="0" borderId="0" xfId="0" applyFont="1" applyBorder="1"/>
    <xf numFmtId="37" fontId="18" fillId="0" borderId="5" xfId="1" applyNumberFormat="1" applyFont="1" applyFill="1" applyBorder="1"/>
    <xf numFmtId="37" fontId="18" fillId="0" borderId="0" xfId="1" applyNumberFormat="1" applyFont="1" applyFill="1" applyBorder="1"/>
    <xf numFmtId="169" fontId="18" fillId="0" borderId="0" xfId="0" applyNumberFormat="1" applyFont="1" applyBorder="1"/>
    <xf numFmtId="169" fontId="18" fillId="0" borderId="0" xfId="0" applyNumberFormat="1" applyFont="1" applyBorder="1" applyAlignment="1">
      <alignment horizontal="right"/>
    </xf>
    <xf numFmtId="169" fontId="18" fillId="0" borderId="10" xfId="0" applyNumberFormat="1" applyFont="1" applyBorder="1" applyAlignment="1">
      <alignment horizontal="right"/>
    </xf>
    <xf numFmtId="37" fontId="18" fillId="0" borderId="11" xfId="1" applyNumberFormat="1" applyFont="1" applyFill="1" applyBorder="1"/>
    <xf numFmtId="169" fontId="18" fillId="0" borderId="11" xfId="0" applyNumberFormat="1" applyFont="1" applyBorder="1" applyAlignment="1">
      <alignment horizontal="right"/>
    </xf>
    <xf numFmtId="37" fontId="18" fillId="0" borderId="6" xfId="1" applyNumberFormat="1" applyFont="1" applyFill="1" applyBorder="1"/>
    <xf numFmtId="37" fontId="18" fillId="0" borderId="1" xfId="1" applyNumberFormat="1" applyFont="1" applyFill="1" applyBorder="1"/>
    <xf numFmtId="37" fontId="18" fillId="0" borderId="13" xfId="1" applyNumberFormat="1" applyFont="1" applyFill="1" applyBorder="1"/>
    <xf numFmtId="37" fontId="18" fillId="0" borderId="14" xfId="1" applyNumberFormat="1" applyFont="1" applyFill="1" applyBorder="1"/>
    <xf numFmtId="37" fontId="18" fillId="0" borderId="19" xfId="1" applyNumberFormat="1" applyFont="1" applyFill="1" applyBorder="1"/>
    <xf numFmtId="37" fontId="18" fillId="0" borderId="17" xfId="1" applyNumberFormat="1" applyFont="1" applyFill="1" applyBorder="1"/>
    <xf numFmtId="37" fontId="18" fillId="0" borderId="2" xfId="1" applyNumberFormat="1" applyFont="1" applyFill="1" applyBorder="1"/>
    <xf numFmtId="37" fontId="18" fillId="0" borderId="4" xfId="1" applyNumberFormat="1" applyFont="1" applyFill="1" applyBorder="1"/>
    <xf numFmtId="37" fontId="18" fillId="0" borderId="7" xfId="1" applyNumberFormat="1" applyFont="1" applyFill="1" applyBorder="1"/>
    <xf numFmtId="177" fontId="18" fillId="0" borderId="0" xfId="7" applyNumberFormat="1" applyFont="1" applyFill="1"/>
    <xf numFmtId="37" fontId="18" fillId="0" borderId="5" xfId="0" applyNumberFormat="1" applyFont="1" applyBorder="1"/>
    <xf numFmtId="37" fontId="18" fillId="0" borderId="2" xfId="0" applyNumberFormat="1" applyFont="1" applyBorder="1"/>
    <xf numFmtId="37" fontId="18" fillId="0" borderId="10" xfId="0" applyNumberFormat="1" applyFont="1" applyBorder="1"/>
    <xf numFmtId="183" fontId="24" fillId="0" borderId="10" xfId="0" applyFont="1" applyFill="1" applyBorder="1" applyAlignment="1">
      <alignment horizontal="center"/>
    </xf>
    <xf numFmtId="183" fontId="24" fillId="0" borderId="11" xfId="0" applyFont="1" applyFill="1" applyBorder="1" applyAlignment="1">
      <alignment horizontal="center"/>
    </xf>
    <xf numFmtId="37" fontId="18" fillId="0" borderId="0" xfId="1" applyNumberFormat="1" applyFont="1" applyFill="1" applyBorder="1" applyAlignment="1">
      <alignment horizontal="right"/>
    </xf>
    <xf numFmtId="37" fontId="18" fillId="0" borderId="3" xfId="1" applyNumberFormat="1" applyFont="1" applyFill="1" applyBorder="1" applyAlignment="1">
      <alignment horizontal="right"/>
    </xf>
    <xf numFmtId="37" fontId="18" fillId="0" borderId="4" xfId="1" applyNumberFormat="1" applyFont="1" applyFill="1" applyBorder="1" applyAlignment="1">
      <alignment horizontal="right"/>
    </xf>
    <xf numFmtId="37" fontId="18" fillId="0" borderId="10" xfId="1" applyNumberFormat="1" applyFont="1" applyFill="1" applyBorder="1" applyAlignment="1">
      <alignment horizontal="right"/>
    </xf>
    <xf numFmtId="37" fontId="18" fillId="0" borderId="11" xfId="1" applyNumberFormat="1" applyFont="1" applyFill="1" applyBorder="1" applyAlignment="1">
      <alignment horizontal="right"/>
    </xf>
    <xf numFmtId="37" fontId="18" fillId="0" borderId="5" xfId="1" applyNumberFormat="1" applyFont="1" applyFill="1" applyBorder="1" applyAlignment="1">
      <alignment horizontal="right"/>
    </xf>
    <xf numFmtId="37" fontId="18" fillId="0" borderId="6" xfId="1" applyNumberFormat="1" applyFont="1" applyFill="1" applyBorder="1" applyAlignment="1">
      <alignment horizontal="right"/>
    </xf>
    <xf numFmtId="37" fontId="18" fillId="0" borderId="1" xfId="1" applyNumberFormat="1" applyFont="1" applyFill="1" applyBorder="1" applyAlignment="1">
      <alignment horizontal="right"/>
    </xf>
    <xf numFmtId="169" fontId="18" fillId="0" borderId="10" xfId="1" applyNumberFormat="1" applyFont="1" applyFill="1" applyBorder="1" applyAlignment="1">
      <alignment horizontal="right"/>
    </xf>
    <xf numFmtId="183" fontId="18" fillId="0" borderId="0" xfId="0" applyFont="1" applyBorder="1" applyAlignment="1">
      <alignment horizontal="right"/>
    </xf>
    <xf numFmtId="183" fontId="18" fillId="0" borderId="10" xfId="0" applyFont="1" applyBorder="1" applyAlignment="1">
      <alignment horizontal="right"/>
    </xf>
    <xf numFmtId="183" fontId="18" fillId="0" borderId="0" xfId="0" applyFont="1" applyAlignment="1">
      <alignment horizontal="right"/>
    </xf>
    <xf numFmtId="169" fontId="18" fillId="0" borderId="12" xfId="1" applyNumberFormat="1" applyFont="1" applyFill="1" applyBorder="1" applyAlignment="1">
      <alignment horizontal="right"/>
    </xf>
    <xf numFmtId="37" fontId="18" fillId="0" borderId="12" xfId="1" applyNumberFormat="1" applyFont="1" applyFill="1" applyBorder="1" applyAlignment="1">
      <alignment horizontal="right"/>
    </xf>
    <xf numFmtId="37" fontId="18" fillId="0" borderId="13" xfId="1" applyNumberFormat="1" applyFont="1" applyFill="1" applyBorder="1" applyAlignment="1">
      <alignment horizontal="right"/>
    </xf>
    <xf numFmtId="37" fontId="18" fillId="0" borderId="14" xfId="1" applyNumberFormat="1" applyFont="1" applyFill="1" applyBorder="1" applyAlignment="1">
      <alignment horizontal="right"/>
    </xf>
    <xf numFmtId="169" fontId="18" fillId="0" borderId="5" xfId="1" applyNumberFormat="1" applyFont="1" applyFill="1" applyBorder="1" applyAlignment="1">
      <alignment horizontal="right"/>
    </xf>
    <xf numFmtId="37" fontId="18" fillId="0" borderId="16" xfId="1" applyNumberFormat="1" applyFont="1" applyFill="1" applyBorder="1" applyAlignment="1">
      <alignment horizontal="right"/>
    </xf>
    <xf numFmtId="37" fontId="18" fillId="0" borderId="19" xfId="1" applyNumberFormat="1" applyFont="1" applyFill="1" applyBorder="1" applyAlignment="1">
      <alignment horizontal="right"/>
    </xf>
    <xf numFmtId="37" fontId="18" fillId="0" borderId="17" xfId="1" applyNumberFormat="1" applyFont="1" applyFill="1" applyBorder="1" applyAlignment="1">
      <alignment horizontal="right"/>
    </xf>
    <xf numFmtId="169" fontId="18" fillId="0" borderId="0" xfId="1" applyNumberFormat="1" applyFont="1" applyFill="1" applyBorder="1" applyAlignment="1">
      <alignment horizontal="right"/>
    </xf>
    <xf numFmtId="183" fontId="18" fillId="0" borderId="0" xfId="0" applyFont="1" applyFill="1" applyBorder="1" applyAlignment="1">
      <alignment horizontal="right"/>
    </xf>
    <xf numFmtId="183" fontId="24" fillId="0" borderId="0" xfId="0" applyFont="1" applyFill="1" applyBorder="1" applyAlignment="1">
      <alignment horizontal="right"/>
    </xf>
    <xf numFmtId="37" fontId="18" fillId="0" borderId="7" xfId="1" applyNumberFormat="1" applyFont="1" applyFill="1" applyBorder="1" applyAlignment="1">
      <alignment horizontal="right"/>
    </xf>
    <xf numFmtId="183" fontId="24" fillId="0" borderId="9" xfId="0" applyFont="1" applyFill="1" applyBorder="1" applyAlignment="1">
      <alignment horizontal="center"/>
    </xf>
    <xf numFmtId="183" fontId="0" fillId="0" borderId="0" xfId="0" applyFill="1" applyAlignment="1">
      <alignment horizontal="left"/>
    </xf>
    <xf numFmtId="169" fontId="18" fillId="0" borderId="0" xfId="0" applyNumberFormat="1" applyFont="1" applyFill="1"/>
    <xf numFmtId="37" fontId="18" fillId="0" borderId="0" xfId="0" applyNumberFormat="1" applyFont="1" applyBorder="1" applyAlignment="1">
      <alignment horizontal="right"/>
    </xf>
    <xf numFmtId="183" fontId="34" fillId="0" borderId="20" xfId="0" applyFont="1" applyBorder="1"/>
    <xf numFmtId="169" fontId="18" fillId="0" borderId="9" xfId="1" applyNumberFormat="1" applyFont="1" applyFill="1" applyBorder="1" applyAlignment="1">
      <alignment horizontal="right"/>
    </xf>
    <xf numFmtId="37" fontId="18" fillId="0" borderId="8" xfId="0" applyNumberFormat="1" applyFont="1" applyBorder="1" applyAlignment="1">
      <alignment horizontal="right"/>
    </xf>
    <xf numFmtId="43" fontId="0" fillId="0" borderId="0" xfId="1" applyFont="1"/>
    <xf numFmtId="183" fontId="0" fillId="0" borderId="27" xfId="0" applyBorder="1"/>
    <xf numFmtId="183" fontId="0" fillId="0" borderId="28" xfId="0" applyBorder="1"/>
    <xf numFmtId="183" fontId="27" fillId="0" borderId="20" xfId="0" applyFont="1" applyBorder="1"/>
    <xf numFmtId="183" fontId="0" fillId="0" borderId="20" xfId="0" applyBorder="1"/>
    <xf numFmtId="183" fontId="0" fillId="0" borderId="21" xfId="0" applyBorder="1"/>
    <xf numFmtId="183" fontId="0" fillId="0" borderId="22" xfId="0" applyBorder="1"/>
    <xf numFmtId="186" fontId="0" fillId="0" borderId="0" xfId="0" applyNumberFormat="1" applyBorder="1"/>
    <xf numFmtId="4" fontId="0" fillId="0" borderId="13" xfId="0" applyNumberFormat="1" applyBorder="1"/>
    <xf numFmtId="184" fontId="0" fillId="0" borderId="0" xfId="0" applyNumberFormat="1" applyFill="1" applyBorder="1"/>
    <xf numFmtId="3" fontId="27" fillId="0" borderId="19" xfId="0" applyNumberFormat="1" applyFont="1" applyBorder="1"/>
    <xf numFmtId="183" fontId="27" fillId="0" borderId="29" xfId="0" applyFont="1" applyBorder="1"/>
    <xf numFmtId="183" fontId="44" fillId="0" borderId="20" xfId="0" applyFont="1" applyBorder="1"/>
    <xf numFmtId="183" fontId="27" fillId="0" borderId="21" xfId="0" applyFont="1" applyBorder="1"/>
    <xf numFmtId="186" fontId="0" fillId="0" borderId="21" xfId="0" applyNumberFormat="1" applyFill="1" applyBorder="1"/>
    <xf numFmtId="4" fontId="0" fillId="0" borderId="30" xfId="0" applyNumberFormat="1" applyBorder="1"/>
    <xf numFmtId="184" fontId="0" fillId="0" borderId="0" xfId="0" applyNumberFormat="1" applyBorder="1"/>
    <xf numFmtId="184" fontId="0" fillId="0" borderId="21" xfId="0" applyNumberFormat="1" applyBorder="1"/>
    <xf numFmtId="3" fontId="27" fillId="0" borderId="31" xfId="0" applyNumberFormat="1" applyFont="1" applyBorder="1"/>
    <xf numFmtId="3" fontId="27" fillId="0" borderId="0" xfId="0" applyNumberFormat="1" applyFont="1" applyBorder="1"/>
    <xf numFmtId="3" fontId="27" fillId="0" borderId="21" xfId="0" applyNumberFormat="1" applyFont="1" applyBorder="1"/>
    <xf numFmtId="3" fontId="27" fillId="0" borderId="24" xfId="0" applyNumberFormat="1" applyFont="1" applyBorder="1"/>
    <xf numFmtId="183" fontId="27" fillId="0" borderId="24" xfId="0" applyFont="1" applyBorder="1"/>
    <xf numFmtId="183" fontId="27" fillId="0" borderId="23" xfId="0" applyFont="1" applyBorder="1"/>
    <xf numFmtId="183" fontId="24" fillId="0" borderId="7" xfId="0" applyFont="1" applyBorder="1" applyAlignment="1">
      <alignment horizontal="center"/>
    </xf>
    <xf numFmtId="180" fontId="18" fillId="0" borderId="0" xfId="0" applyNumberFormat="1" applyFont="1" applyFill="1"/>
    <xf numFmtId="169" fontId="18" fillId="0" borderId="11" xfId="1" applyNumberFormat="1" applyFont="1" applyFill="1" applyBorder="1" applyAlignment="1">
      <alignment horizontal="right"/>
    </xf>
    <xf numFmtId="183" fontId="18" fillId="0" borderId="7" xfId="0" applyFont="1" applyFill="1" applyBorder="1"/>
    <xf numFmtId="169" fontId="18" fillId="0" borderId="15" xfId="1" applyNumberFormat="1" applyFont="1" applyFill="1" applyBorder="1"/>
    <xf numFmtId="169" fontId="18" fillId="0" borderId="18" xfId="1" applyNumberFormat="1" applyFont="1" applyFill="1" applyBorder="1"/>
    <xf numFmtId="170" fontId="18" fillId="0" borderId="0" xfId="0" applyNumberFormat="1" applyFont="1" applyFill="1"/>
    <xf numFmtId="168" fontId="18" fillId="0" borderId="0" xfId="7" applyNumberFormat="1" applyFont="1" applyFill="1"/>
    <xf numFmtId="171" fontId="18" fillId="0" borderId="0" xfId="7" applyNumberFormat="1" applyFont="1" applyFill="1"/>
    <xf numFmtId="169" fontId="18" fillId="0" borderId="7" xfId="1" applyNumberFormat="1" applyFont="1" applyFill="1" applyBorder="1"/>
    <xf numFmtId="167" fontId="18" fillId="0" borderId="7" xfId="0" applyNumberFormat="1" applyFont="1" applyFill="1" applyBorder="1"/>
    <xf numFmtId="167" fontId="18" fillId="0" borderId="9" xfId="0" applyNumberFormat="1" applyFont="1" applyFill="1" applyBorder="1"/>
    <xf numFmtId="167" fontId="18" fillId="0" borderId="15" xfId="0" applyNumberFormat="1" applyFont="1" applyFill="1" applyBorder="1"/>
    <xf numFmtId="167" fontId="18" fillId="0" borderId="18" xfId="0" applyNumberFormat="1" applyFont="1" applyFill="1" applyBorder="1"/>
    <xf numFmtId="168" fontId="18" fillId="0" borderId="0" xfId="7" applyNumberFormat="1" applyFont="1" applyFill="1" applyAlignment="1">
      <alignment horizontal="right"/>
    </xf>
    <xf numFmtId="169" fontId="18" fillId="0" borderId="7" xfId="0" applyNumberFormat="1" applyFont="1" applyFill="1" applyBorder="1"/>
    <xf numFmtId="169" fontId="18" fillId="0" borderId="18" xfId="1" applyNumberFormat="1" applyFont="1" applyFill="1" applyBorder="1" applyAlignment="1">
      <alignment horizontal="right"/>
    </xf>
    <xf numFmtId="168" fontId="18" fillId="0" borderId="0" xfId="7" applyNumberFormat="1" applyFont="1"/>
    <xf numFmtId="37" fontId="0" fillId="0" borderId="0" xfId="0" applyNumberFormat="1"/>
    <xf numFmtId="37" fontId="18" fillId="0" borderId="10" xfId="0" applyNumberFormat="1" applyFont="1" applyBorder="1" applyAlignment="1">
      <alignment horizontal="right"/>
    </xf>
    <xf numFmtId="37" fontId="18" fillId="0" borderId="0" xfId="0" applyNumberFormat="1" applyFont="1" applyBorder="1"/>
    <xf numFmtId="169" fontId="18" fillId="0" borderId="13" xfId="1" applyNumberFormat="1" applyFont="1" applyFill="1" applyBorder="1" applyAlignment="1">
      <alignment horizontal="right"/>
    </xf>
    <xf numFmtId="37" fontId="18" fillId="0" borderId="12" xfId="0" applyNumberFormat="1" applyFont="1" applyBorder="1"/>
    <xf numFmtId="37" fontId="18" fillId="0" borderId="13" xfId="0" applyNumberFormat="1" applyFont="1" applyBorder="1"/>
    <xf numFmtId="169" fontId="18" fillId="0" borderId="19" xfId="1" applyNumberFormat="1" applyFont="1" applyFill="1" applyBorder="1" applyAlignment="1">
      <alignment horizontal="right"/>
    </xf>
    <xf numFmtId="169" fontId="18" fillId="0" borderId="6" xfId="1" applyNumberFormat="1" applyFont="1" applyFill="1" applyBorder="1" applyAlignment="1">
      <alignment horizontal="right"/>
    </xf>
    <xf numFmtId="37" fontId="18" fillId="0" borderId="12" xfId="0" applyNumberFormat="1" applyFont="1" applyBorder="1" applyAlignment="1">
      <alignment horizontal="right"/>
    </xf>
    <xf numFmtId="37" fontId="18" fillId="0" borderId="16" xfId="0" applyNumberFormat="1" applyFont="1" applyBorder="1" applyAlignment="1">
      <alignment horizontal="right"/>
    </xf>
    <xf numFmtId="37" fontId="18" fillId="0" borderId="6" xfId="0" applyNumberFormat="1" applyFont="1" applyBorder="1"/>
    <xf numFmtId="169" fontId="18" fillId="0" borderId="13" xfId="1" applyNumberFormat="1" applyFont="1" applyFill="1" applyBorder="1"/>
    <xf numFmtId="37" fontId="18" fillId="0" borderId="3" xfId="0" applyNumberFormat="1" applyFont="1" applyBorder="1"/>
    <xf numFmtId="169" fontId="18" fillId="0" borderId="3" xfId="0" applyNumberFormat="1" applyFont="1" applyFill="1" applyBorder="1"/>
    <xf numFmtId="168" fontId="18" fillId="0" borderId="4" xfId="0" applyNumberFormat="1" applyFont="1" applyFill="1" applyBorder="1"/>
    <xf numFmtId="169" fontId="18" fillId="0" borderId="6" xfId="0" applyNumberFormat="1" applyFont="1" applyFill="1" applyBorder="1"/>
    <xf numFmtId="37" fontId="18" fillId="0" borderId="3" xfId="1" applyNumberFormat="1" applyFont="1" applyFill="1" applyBorder="1"/>
    <xf numFmtId="169" fontId="18" fillId="0" borderId="6" xfId="0" applyNumberFormat="1" applyFont="1" applyBorder="1"/>
    <xf numFmtId="183" fontId="24" fillId="0" borderId="0" xfId="0" applyFont="1" applyBorder="1"/>
    <xf numFmtId="37" fontId="18" fillId="0" borderId="11" xfId="0" applyNumberFormat="1" applyFont="1" applyBorder="1"/>
    <xf numFmtId="37" fontId="18" fillId="0" borderId="1" xfId="0" applyNumberFormat="1" applyFont="1" applyBorder="1"/>
    <xf numFmtId="37" fontId="18" fillId="0" borderId="1" xfId="0" applyNumberFormat="1" applyFont="1" applyFill="1" applyBorder="1"/>
    <xf numFmtId="37" fontId="18" fillId="0" borderId="8" xfId="0" applyNumberFormat="1" applyFont="1" applyFill="1" applyBorder="1"/>
    <xf numFmtId="183" fontId="27" fillId="0" borderId="0" xfId="0" applyFont="1" applyFill="1" applyBorder="1"/>
    <xf numFmtId="182" fontId="13" fillId="0" borderId="0" xfId="1" applyNumberFormat="1" applyAlignment="1">
      <alignment horizontal="center"/>
    </xf>
    <xf numFmtId="184" fontId="0" fillId="0" borderId="0" xfId="0" applyNumberFormat="1"/>
    <xf numFmtId="171" fontId="18" fillId="0" borderId="0" xfId="7" applyNumberFormat="1" applyFont="1" applyFill="1" applyBorder="1" applyAlignment="1">
      <alignment horizontal="right"/>
    </xf>
    <xf numFmtId="37" fontId="0" fillId="0" borderId="0" xfId="0" applyNumberFormat="1" applyBorder="1"/>
    <xf numFmtId="183" fontId="29" fillId="0" borderId="0" xfId="0" applyFont="1" applyAlignment="1">
      <alignment horizontal="center"/>
    </xf>
    <xf numFmtId="169" fontId="18" fillId="0" borderId="2" xfId="0" applyNumberFormat="1" applyFont="1" applyFill="1" applyBorder="1"/>
    <xf numFmtId="37" fontId="18" fillId="0" borderId="0" xfId="7" applyNumberFormat="1" applyFont="1" applyFill="1" applyBorder="1" applyAlignment="1">
      <alignment horizontal="right"/>
    </xf>
    <xf numFmtId="37" fontId="18" fillId="0" borderId="0" xfId="0" applyNumberFormat="1" applyFont="1" applyFill="1" applyBorder="1"/>
    <xf numFmtId="183" fontId="18" fillId="0" borderId="6" xfId="0" applyFont="1" applyBorder="1"/>
    <xf numFmtId="169" fontId="18" fillId="0" borderId="1" xfId="0" applyNumberFormat="1" applyFont="1" applyBorder="1"/>
    <xf numFmtId="169" fontId="18" fillId="0" borderId="5" xfId="1" applyNumberFormat="1" applyFont="1" applyFill="1" applyBorder="1"/>
    <xf numFmtId="169" fontId="18" fillId="0" borderId="16" xfId="1" applyNumberFormat="1" applyFont="1" applyFill="1" applyBorder="1"/>
    <xf numFmtId="37" fontId="18" fillId="0" borderId="13" xfId="7" applyNumberFormat="1" applyFont="1" applyFill="1" applyBorder="1" applyAlignment="1">
      <alignment horizontal="right"/>
    </xf>
    <xf numFmtId="37" fontId="18" fillId="0" borderId="6" xfId="0" applyNumberFormat="1" applyFont="1" applyFill="1" applyBorder="1"/>
    <xf numFmtId="37" fontId="18" fillId="0" borderId="6" xfId="7" applyNumberFormat="1" applyFont="1" applyFill="1" applyBorder="1" applyAlignment="1">
      <alignment horizontal="right"/>
    </xf>
    <xf numFmtId="37" fontId="18" fillId="0" borderId="3" xfId="7" applyNumberFormat="1" applyFont="1" applyFill="1" applyBorder="1" applyAlignment="1">
      <alignment horizontal="right"/>
    </xf>
    <xf numFmtId="183" fontId="0" fillId="0" borderId="3" xfId="0" applyFill="1" applyBorder="1"/>
    <xf numFmtId="37" fontId="18" fillId="0" borderId="25" xfId="1" applyNumberFormat="1" applyFont="1" applyFill="1" applyBorder="1" applyAlignment="1">
      <alignment horizontal="right"/>
    </xf>
    <xf numFmtId="183" fontId="18" fillId="0" borderId="11" xfId="0" applyFont="1" applyFill="1" applyBorder="1"/>
    <xf numFmtId="37" fontId="18" fillId="0" borderId="36" xfId="1" applyNumberFormat="1" applyFont="1" applyFill="1" applyBorder="1" applyAlignment="1">
      <alignment horizontal="right"/>
    </xf>
    <xf numFmtId="37" fontId="18" fillId="0" borderId="5" xfId="0" applyNumberFormat="1" applyFont="1" applyFill="1" applyBorder="1"/>
    <xf numFmtId="169" fontId="18" fillId="0" borderId="5" xfId="0" applyNumberFormat="1" applyFont="1" applyBorder="1" applyAlignment="1">
      <alignment horizontal="right"/>
    </xf>
    <xf numFmtId="169" fontId="18" fillId="0" borderId="8" xfId="1" applyNumberFormat="1" applyFont="1" applyFill="1" applyBorder="1" applyAlignment="1">
      <alignment horizontal="right"/>
    </xf>
    <xf numFmtId="181" fontId="18" fillId="0" borderId="0" xfId="1" applyNumberFormat="1" applyFont="1" applyFill="1" applyBorder="1"/>
    <xf numFmtId="183" fontId="0" fillId="0" borderId="6" xfId="0" applyFill="1" applyBorder="1"/>
    <xf numFmtId="37" fontId="18" fillId="0" borderId="3" xfId="0" applyNumberFormat="1" applyFont="1" applyFill="1" applyBorder="1"/>
    <xf numFmtId="186" fontId="0" fillId="0" borderId="21" xfId="0" applyNumberFormat="1" applyBorder="1"/>
    <xf numFmtId="37" fontId="18" fillId="0" borderId="7" xfId="0" applyNumberFormat="1" applyFont="1" applyBorder="1"/>
    <xf numFmtId="183" fontId="27" fillId="2" borderId="29" xfId="0" applyFont="1" applyFill="1" applyBorder="1"/>
    <xf numFmtId="183" fontId="0" fillId="2" borderId="27" xfId="0" applyFill="1" applyBorder="1"/>
    <xf numFmtId="183" fontId="0" fillId="2" borderId="28" xfId="0" applyFill="1" applyBorder="1"/>
    <xf numFmtId="183" fontId="44" fillId="2" borderId="20" xfId="0" applyFont="1" applyFill="1" applyBorder="1"/>
    <xf numFmtId="183" fontId="0" fillId="2" borderId="0" xfId="0" applyFill="1" applyBorder="1"/>
    <xf numFmtId="183" fontId="0" fillId="2" borderId="21" xfId="0" applyFill="1" applyBorder="1"/>
    <xf numFmtId="183" fontId="27" fillId="2" borderId="0" xfId="0" applyFont="1" applyFill="1" applyBorder="1"/>
    <xf numFmtId="183" fontId="0" fillId="2" borderId="20" xfId="0" applyFill="1" applyBorder="1"/>
    <xf numFmtId="183" fontId="27" fillId="2" borderId="21" xfId="0" applyFont="1" applyFill="1" applyBorder="1"/>
    <xf numFmtId="182" fontId="13" fillId="2" borderId="0" xfId="1" applyNumberFormat="1" applyFill="1" applyAlignment="1">
      <alignment horizontal="center"/>
    </xf>
    <xf numFmtId="184" fontId="0" fillId="2" borderId="0" xfId="0" applyNumberFormat="1" applyFill="1"/>
    <xf numFmtId="183" fontId="34" fillId="2" borderId="20" xfId="0" applyFont="1" applyFill="1" applyBorder="1"/>
    <xf numFmtId="186" fontId="0" fillId="2" borderId="0" xfId="0" applyNumberFormat="1" applyFill="1" applyBorder="1"/>
    <xf numFmtId="186" fontId="0" fillId="2" borderId="21" xfId="0" applyNumberFormat="1" applyFill="1" applyBorder="1"/>
    <xf numFmtId="4" fontId="0" fillId="2" borderId="13" xfId="0" applyNumberFormat="1" applyFill="1" applyBorder="1"/>
    <xf numFmtId="4" fontId="0" fillId="2" borderId="30" xfId="0" applyNumberFormat="1" applyFill="1" applyBorder="1"/>
    <xf numFmtId="184" fontId="0" fillId="2" borderId="0" xfId="0" applyNumberFormat="1" applyFill="1" applyBorder="1"/>
    <xf numFmtId="184" fontId="0" fillId="2" borderId="21" xfId="0" applyNumberFormat="1" applyFill="1" applyBorder="1"/>
    <xf numFmtId="183" fontId="27" fillId="2" borderId="20" xfId="0" applyFont="1" applyFill="1" applyBorder="1"/>
    <xf numFmtId="3" fontId="27" fillId="2" borderId="19" xfId="0" applyNumberFormat="1" applyFont="1" applyFill="1" applyBorder="1"/>
    <xf numFmtId="3" fontId="27" fillId="2" borderId="31" xfId="0" applyNumberFormat="1" applyFont="1" applyFill="1" applyBorder="1"/>
    <xf numFmtId="3" fontId="27" fillId="2" borderId="0" xfId="0" applyNumberFormat="1" applyFont="1" applyFill="1" applyBorder="1"/>
    <xf numFmtId="3" fontId="27" fillId="2" borderId="21" xfId="0" applyNumberFormat="1" applyFont="1" applyFill="1" applyBorder="1"/>
    <xf numFmtId="183" fontId="0" fillId="2" borderId="22" xfId="0" applyFill="1" applyBorder="1"/>
    <xf numFmtId="3" fontId="27" fillId="2" borderId="24" xfId="0" applyNumberFormat="1" applyFont="1" applyFill="1" applyBorder="1"/>
    <xf numFmtId="183" fontId="27" fillId="2" borderId="24" xfId="0" applyFont="1" applyFill="1" applyBorder="1"/>
    <xf numFmtId="183" fontId="27" fillId="2" borderId="23" xfId="0" applyFont="1" applyFill="1" applyBorder="1"/>
    <xf numFmtId="169" fontId="18" fillId="0" borderId="2" xfId="1" applyNumberFormat="1" applyFont="1" applyFill="1" applyBorder="1"/>
    <xf numFmtId="168" fontId="18" fillId="0" borderId="4" xfId="7" applyNumberFormat="1" applyFont="1" applyFill="1" applyBorder="1" applyAlignment="1">
      <alignment horizontal="right"/>
    </xf>
    <xf numFmtId="168" fontId="18" fillId="0" borderId="13" xfId="7" applyNumberFormat="1" applyFont="1" applyFill="1" applyBorder="1" applyAlignment="1">
      <alignment horizontal="right"/>
    </xf>
    <xf numFmtId="37" fontId="18" fillId="0" borderId="0" xfId="1" applyNumberFormat="1" applyFont="1" applyFill="1" applyBorder="1" applyAlignment="1">
      <alignment horizontal="center"/>
    </xf>
    <xf numFmtId="37" fontId="18" fillId="0" borderId="11" xfId="1" applyNumberFormat="1" applyFont="1" applyFill="1" applyBorder="1" applyAlignment="1">
      <alignment horizontal="center"/>
    </xf>
    <xf numFmtId="37" fontId="18" fillId="0" borderId="19" xfId="1" applyNumberFormat="1" applyFont="1" applyFill="1" applyBorder="1" applyAlignment="1">
      <alignment horizontal="center"/>
    </xf>
    <xf numFmtId="37" fontId="18" fillId="0" borderId="17" xfId="1" applyNumberFormat="1" applyFont="1" applyFill="1" applyBorder="1" applyAlignment="1">
      <alignment horizontal="center"/>
    </xf>
    <xf numFmtId="37" fontId="18" fillId="0" borderId="2" xfId="1" applyNumberFormat="1" applyFont="1" applyFill="1" applyBorder="1" applyAlignment="1">
      <alignment horizontal="right"/>
    </xf>
    <xf numFmtId="169" fontId="18" fillId="0" borderId="19" xfId="1" applyNumberFormat="1" applyFont="1" applyFill="1" applyBorder="1"/>
    <xf numFmtId="183" fontId="18" fillId="0" borderId="9" xfId="0" applyFont="1" applyBorder="1" applyAlignment="1">
      <alignment horizontal="center"/>
    </xf>
    <xf numFmtId="168" fontId="18" fillId="0" borderId="1" xfId="0" applyNumberFormat="1" applyFont="1" applyFill="1" applyBorder="1" applyAlignment="1">
      <alignment horizontal="right"/>
    </xf>
    <xf numFmtId="168" fontId="18" fillId="0" borderId="11" xfId="0" applyNumberFormat="1" applyFont="1" applyBorder="1" applyAlignment="1">
      <alignment horizontal="right"/>
    </xf>
    <xf numFmtId="168" fontId="18" fillId="0" borderId="11" xfId="0" applyNumberFormat="1" applyFont="1" applyFill="1" applyBorder="1" applyAlignment="1">
      <alignment horizontal="right"/>
    </xf>
    <xf numFmtId="2" fontId="0" fillId="0" borderId="0" xfId="0" applyNumberFormat="1" applyBorder="1"/>
    <xf numFmtId="43" fontId="18" fillId="0" borderId="10" xfId="1" applyFont="1" applyBorder="1" applyAlignment="1">
      <alignment horizontal="right"/>
    </xf>
    <xf numFmtId="168" fontId="18" fillId="0" borderId="3" xfId="7" applyNumberFormat="1" applyFont="1" applyFill="1" applyBorder="1" applyAlignment="1">
      <alignment horizontal="right"/>
    </xf>
    <xf numFmtId="183" fontId="27" fillId="0" borderId="0" xfId="0" applyFont="1" applyBorder="1" applyAlignment="1">
      <alignment horizontal="right"/>
    </xf>
    <xf numFmtId="183" fontId="18" fillId="0" borderId="11" xfId="0" applyFont="1" applyBorder="1" applyAlignment="1">
      <alignment horizontal="right"/>
    </xf>
    <xf numFmtId="169" fontId="18" fillId="0" borderId="9" xfId="1" applyNumberFormat="1" applyFont="1" applyFill="1" applyBorder="1" applyAlignment="1">
      <alignment horizontal="center"/>
    </xf>
    <xf numFmtId="37" fontId="18" fillId="0" borderId="18" xfId="1" applyNumberFormat="1" applyFont="1" applyFill="1" applyBorder="1" applyAlignment="1">
      <alignment horizontal="center"/>
    </xf>
    <xf numFmtId="169" fontId="18" fillId="0" borderId="18" xfId="1" applyNumberFormat="1" applyFont="1" applyFill="1" applyBorder="1" applyAlignment="1">
      <alignment horizontal="center"/>
    </xf>
    <xf numFmtId="37" fontId="18" fillId="0" borderId="13" xfId="1" applyNumberFormat="1" applyFont="1" applyFill="1" applyBorder="1" applyAlignment="1">
      <alignment horizontal="center"/>
    </xf>
    <xf numFmtId="37" fontId="18" fillId="0" borderId="14" xfId="1" applyNumberFormat="1" applyFont="1" applyFill="1" applyBorder="1" applyAlignment="1">
      <alignment horizontal="center"/>
    </xf>
    <xf numFmtId="37" fontId="18" fillId="0" borderId="15" xfId="1" applyNumberFormat="1" applyFont="1" applyFill="1" applyBorder="1" applyAlignment="1">
      <alignment horizontal="center"/>
    </xf>
    <xf numFmtId="169" fontId="18" fillId="0" borderId="15" xfId="1" applyNumberFormat="1" applyFont="1" applyFill="1" applyBorder="1" applyAlignment="1">
      <alignment horizontal="center"/>
    </xf>
    <xf numFmtId="168" fontId="18" fillId="0" borderId="0" xfId="7" applyNumberFormat="1" applyFont="1" applyFill="1" applyBorder="1" applyAlignment="1">
      <alignment horizontal="center"/>
    </xf>
    <xf numFmtId="169" fontId="18" fillId="0" borderId="12" xfId="0" applyNumberFormat="1" applyFont="1" applyFill="1" applyBorder="1"/>
    <xf numFmtId="168" fontId="18" fillId="0" borderId="14" xfId="0" applyNumberFormat="1" applyFont="1" applyFill="1" applyBorder="1"/>
    <xf numFmtId="37" fontId="18" fillId="0" borderId="15" xfId="0" applyNumberFormat="1" applyFont="1" applyBorder="1"/>
    <xf numFmtId="37" fontId="18" fillId="0" borderId="14" xfId="0" applyNumberFormat="1" applyFont="1" applyBorder="1"/>
    <xf numFmtId="168" fontId="18" fillId="0" borderId="0" xfId="0" applyNumberFormat="1" applyFont="1" applyFill="1" applyBorder="1" applyAlignment="1">
      <alignment horizontal="right"/>
    </xf>
    <xf numFmtId="181" fontId="18" fillId="0" borderId="13" xfId="1" applyNumberFormat="1" applyFont="1" applyBorder="1"/>
    <xf numFmtId="181" fontId="18" fillId="0" borderId="15" xfId="1" applyNumberFormat="1" applyFont="1" applyBorder="1"/>
    <xf numFmtId="169" fontId="0" fillId="0" borderId="0" xfId="0" applyNumberFormat="1" applyBorder="1"/>
    <xf numFmtId="181" fontId="18" fillId="0" borderId="10" xfId="1" applyNumberFormat="1" applyFont="1" applyFill="1" applyBorder="1" applyAlignment="1">
      <alignment horizontal="right"/>
    </xf>
    <xf numFmtId="181" fontId="0" fillId="0" borderId="0" xfId="1" applyNumberFormat="1" applyFont="1"/>
    <xf numFmtId="168" fontId="18" fillId="0" borderId="11" xfId="7" quotePrefix="1" applyNumberFormat="1" applyFont="1" applyFill="1" applyBorder="1" applyAlignment="1">
      <alignment horizontal="right"/>
    </xf>
    <xf numFmtId="169" fontId="18" fillId="0" borderId="11" xfId="0" quotePrefix="1" applyNumberFormat="1" applyFont="1" applyBorder="1" applyAlignment="1">
      <alignment horizontal="right"/>
    </xf>
    <xf numFmtId="168" fontId="18" fillId="0" borderId="9" xfId="7" applyNumberFormat="1" applyFont="1" applyFill="1" applyBorder="1" applyAlignment="1">
      <alignment horizontal="right"/>
    </xf>
    <xf numFmtId="188" fontId="13" fillId="0" borderId="0" xfId="1" applyNumberFormat="1" applyAlignment="1">
      <alignment horizontal="center"/>
    </xf>
    <xf numFmtId="171" fontId="0" fillId="0" borderId="0" xfId="7" applyNumberFormat="1" applyFont="1" applyBorder="1"/>
    <xf numFmtId="168" fontId="18" fillId="0" borderId="11" xfId="7" applyNumberFormat="1" applyFont="1" applyFill="1" applyBorder="1" applyAlignment="1"/>
    <xf numFmtId="181" fontId="0" fillId="0" borderId="0" xfId="0" applyNumberFormat="1"/>
    <xf numFmtId="183" fontId="25" fillId="0" borderId="9" xfId="0" applyFont="1" applyFill="1" applyBorder="1" applyAlignment="1">
      <alignment horizontal="center"/>
    </xf>
    <xf numFmtId="168" fontId="18" fillId="0" borderId="9" xfId="0" applyNumberFormat="1" applyFont="1" applyFill="1" applyBorder="1"/>
    <xf numFmtId="183" fontId="18" fillId="0" borderId="9" xfId="0" applyFont="1" applyFill="1" applyBorder="1" applyAlignment="1"/>
    <xf numFmtId="181" fontId="18" fillId="0" borderId="3" xfId="1" applyNumberFormat="1" applyFont="1" applyBorder="1"/>
    <xf numFmtId="181" fontId="18" fillId="0" borderId="0" xfId="1" applyNumberFormat="1" applyFont="1" applyBorder="1"/>
    <xf numFmtId="181" fontId="18" fillId="0" borderId="6" xfId="1" applyNumberFormat="1" applyFont="1" applyBorder="1"/>
    <xf numFmtId="37" fontId="18" fillId="0" borderId="4" xfId="0" applyNumberFormat="1" applyFont="1" applyFill="1" applyBorder="1"/>
    <xf numFmtId="168" fontId="18" fillId="0" borderId="0" xfId="7" applyNumberFormat="1" applyFont="1" applyFill="1" applyBorder="1" applyAlignment="1"/>
    <xf numFmtId="43" fontId="18" fillId="0" borderId="0" xfId="1" applyFont="1" applyFill="1" applyBorder="1" applyAlignment="1">
      <alignment horizontal="right"/>
    </xf>
    <xf numFmtId="182" fontId="50" fillId="0" borderId="0" xfId="1" applyNumberFormat="1" applyFont="1" applyAlignment="1">
      <alignment horizontal="center"/>
    </xf>
    <xf numFmtId="181" fontId="18" fillId="0" borderId="13" xfId="0" applyNumberFormat="1" applyFont="1" applyBorder="1"/>
    <xf numFmtId="183" fontId="0" fillId="0" borderId="0" xfId="0" applyBorder="1" applyAlignment="1"/>
    <xf numFmtId="183" fontId="0" fillId="0" borderId="6" xfId="0" applyBorder="1" applyAlignment="1"/>
    <xf numFmtId="37" fontId="18" fillId="0" borderId="0" xfId="0" applyNumberFormat="1" applyFont="1" applyBorder="1" applyAlignment="1"/>
    <xf numFmtId="170" fontId="18" fillId="0" borderId="0" xfId="0" applyNumberFormat="1" applyFont="1" applyFill="1" applyBorder="1" applyAlignment="1"/>
    <xf numFmtId="183" fontId="18" fillId="0" borderId="0" xfId="0" applyFont="1" applyBorder="1" applyAlignment="1"/>
    <xf numFmtId="168" fontId="18" fillId="0" borderId="0" xfId="0" applyNumberFormat="1" applyFont="1" applyFill="1" applyBorder="1" applyAlignment="1"/>
    <xf numFmtId="37" fontId="18" fillId="0" borderId="10" xfId="0" applyNumberFormat="1" applyFont="1" applyBorder="1" applyAlignment="1"/>
    <xf numFmtId="37" fontId="18" fillId="0" borderId="5" xfId="0" applyNumberFormat="1" applyFont="1" applyBorder="1" applyAlignment="1"/>
    <xf numFmtId="37" fontId="18" fillId="0" borderId="12" xfId="0" applyNumberFormat="1" applyFont="1" applyBorder="1" applyAlignment="1"/>
    <xf numFmtId="181" fontId="18" fillId="0" borderId="2" xfId="1" applyNumberFormat="1" applyFont="1" applyBorder="1" applyAlignment="1"/>
    <xf numFmtId="181" fontId="18" fillId="0" borderId="10" xfId="1" applyNumberFormat="1" applyFont="1" applyBorder="1" applyAlignment="1"/>
    <xf numFmtId="181" fontId="18" fillId="0" borderId="5" xfId="1" applyNumberFormat="1" applyFont="1" applyBorder="1" applyAlignment="1"/>
    <xf numFmtId="181" fontId="18" fillId="0" borderId="12" xfId="1" applyNumberFormat="1" applyFont="1" applyBorder="1" applyAlignment="1"/>
    <xf numFmtId="169" fontId="18" fillId="0" borderId="0" xfId="0" applyNumberFormat="1" applyFont="1" applyBorder="1" applyAlignment="1"/>
    <xf numFmtId="37" fontId="18" fillId="0" borderId="2" xfId="0" applyNumberFormat="1" applyFont="1" applyBorder="1" applyAlignment="1"/>
    <xf numFmtId="169" fontId="18" fillId="0" borderId="0" xfId="1" applyNumberFormat="1" applyFont="1" applyFill="1" applyBorder="1" applyAlignment="1"/>
    <xf numFmtId="37" fontId="18" fillId="0" borderId="0" xfId="0" applyNumberFormat="1" applyFont="1" applyAlignment="1"/>
    <xf numFmtId="183" fontId="18" fillId="0" borderId="10" xfId="0" applyFont="1" applyBorder="1" applyAlignment="1"/>
    <xf numFmtId="183" fontId="18" fillId="0" borderId="11" xfId="0" applyFont="1" applyBorder="1" applyAlignment="1"/>
    <xf numFmtId="177" fontId="18" fillId="0" borderId="0" xfId="7" applyNumberFormat="1" applyFont="1" applyFill="1" applyAlignment="1"/>
    <xf numFmtId="169" fontId="18" fillId="0" borderId="3" xfId="0" applyNumberFormat="1" applyFont="1" applyFill="1" applyBorder="1" applyAlignment="1"/>
    <xf numFmtId="168" fontId="18" fillId="0" borderId="4" xfId="0" applyNumberFormat="1" applyFont="1" applyFill="1" applyBorder="1" applyAlignment="1"/>
    <xf numFmtId="169" fontId="18" fillId="0" borderId="0" xfId="0" applyNumberFormat="1" applyFont="1" applyFill="1" applyBorder="1" applyAlignment="1"/>
    <xf numFmtId="168" fontId="18" fillId="0" borderId="11" xfId="0" applyNumberFormat="1" applyFont="1" applyFill="1" applyBorder="1" applyAlignment="1"/>
    <xf numFmtId="169" fontId="18" fillId="0" borderId="6" xfId="0" applyNumberFormat="1" applyFont="1" applyFill="1" applyBorder="1" applyAlignment="1"/>
    <xf numFmtId="168" fontId="18" fillId="0" borderId="1" xfId="0" applyNumberFormat="1" applyFont="1" applyFill="1" applyBorder="1" applyAlignment="1"/>
    <xf numFmtId="181" fontId="18" fillId="0" borderId="0" xfId="1" applyNumberFormat="1" applyFont="1" applyBorder="1" applyAlignment="1"/>
    <xf numFmtId="181" fontId="18" fillId="0" borderId="6" xfId="1" applyNumberFormat="1" applyFont="1" applyBorder="1" applyAlignment="1"/>
    <xf numFmtId="181" fontId="18" fillId="0" borderId="13" xfId="1" applyNumberFormat="1" applyFont="1" applyBorder="1" applyAlignment="1"/>
    <xf numFmtId="183" fontId="18" fillId="0" borderId="4" xfId="0" applyFont="1" applyBorder="1" applyAlignment="1"/>
    <xf numFmtId="169" fontId="18" fillId="0" borderId="10" xfId="1" applyNumberFormat="1" applyFont="1" applyFill="1" applyBorder="1" applyAlignment="1"/>
    <xf numFmtId="169" fontId="18" fillId="0" borderId="0" xfId="0" applyNumberFormat="1" applyFont="1" applyAlignment="1"/>
    <xf numFmtId="181" fontId="18" fillId="0" borderId="0" xfId="1" applyNumberFormat="1" applyFont="1" applyFill="1" applyBorder="1" applyAlignment="1"/>
    <xf numFmtId="183" fontId="13" fillId="0" borderId="20" xfId="0" applyFont="1" applyBorder="1"/>
    <xf numFmtId="171" fontId="0" fillId="0" borderId="0" xfId="7" applyNumberFormat="1" applyFont="1"/>
    <xf numFmtId="183" fontId="25" fillId="0" borderId="0" xfId="0" applyFont="1" applyFill="1" applyBorder="1" applyAlignment="1">
      <alignment horizontal="center"/>
    </xf>
    <xf numFmtId="183" fontId="24" fillId="0" borderId="2" xfId="0" applyFont="1" applyFill="1" applyBorder="1" applyAlignment="1">
      <alignment horizontal="center"/>
    </xf>
    <xf numFmtId="183" fontId="34" fillId="0" borderId="0" xfId="0" applyFont="1" applyFill="1" applyAlignment="1" applyProtection="1">
      <alignment horizontal="left" wrapText="1"/>
      <protection locked="0"/>
    </xf>
    <xf numFmtId="183" fontId="0" fillId="0" borderId="0" xfId="0" applyFill="1" applyAlignment="1" applyProtection="1">
      <alignment horizontal="left" wrapText="1"/>
      <protection locked="0"/>
    </xf>
    <xf numFmtId="183" fontId="36" fillId="0" borderId="0" xfId="0" applyFont="1" applyAlignment="1"/>
    <xf numFmtId="183" fontId="35" fillId="0" borderId="0" xfId="0" applyFont="1" applyAlignment="1"/>
    <xf numFmtId="183" fontId="0" fillId="0" borderId="0" xfId="0"/>
    <xf numFmtId="183" fontId="24" fillId="0" borderId="0" xfId="0" applyFont="1" applyFill="1" applyBorder="1"/>
    <xf numFmtId="169" fontId="18" fillId="0" borderId="9" xfId="0" applyNumberFormat="1" applyFont="1" applyBorder="1"/>
    <xf numFmtId="169" fontId="18" fillId="0" borderId="9" xfId="0" applyNumberFormat="1" applyFont="1" applyBorder="1" applyAlignment="1">
      <alignment horizontal="right"/>
    </xf>
    <xf numFmtId="169" fontId="18" fillId="0" borderId="0" xfId="0" applyNumberFormat="1" applyFont="1" applyFill="1"/>
    <xf numFmtId="37" fontId="18" fillId="0" borderId="11" xfId="0" applyNumberFormat="1" applyFont="1" applyFill="1" applyBorder="1"/>
    <xf numFmtId="37" fontId="18" fillId="0" borderId="0" xfId="0" applyNumberFormat="1" applyFont="1" applyFill="1"/>
    <xf numFmtId="183" fontId="36" fillId="0" borderId="0" xfId="0" applyFont="1" applyFill="1" applyBorder="1"/>
    <xf numFmtId="183" fontId="25" fillId="0" borderId="0" xfId="0" applyFont="1" applyFill="1" applyBorder="1" applyAlignment="1">
      <alignment horizontal="center"/>
    </xf>
    <xf numFmtId="183" fontId="25" fillId="0" borderId="11" xfId="0" applyFont="1" applyFill="1" applyBorder="1" applyAlignment="1">
      <alignment horizontal="center"/>
    </xf>
    <xf numFmtId="183" fontId="25" fillId="0" borderId="10" xfId="0" applyFont="1" applyFill="1" applyBorder="1" applyAlignment="1">
      <alignment horizontal="center"/>
    </xf>
    <xf numFmtId="183" fontId="14" fillId="0" borderId="10" xfId="0" applyFont="1" applyFill="1" applyBorder="1" applyAlignment="1">
      <alignment horizontal="center"/>
    </xf>
    <xf numFmtId="183" fontId="25" fillId="0" borderId="4" xfId="0" applyFont="1" applyFill="1" applyBorder="1" applyAlignment="1">
      <alignment horizontal="center"/>
    </xf>
    <xf numFmtId="183" fontId="17" fillId="0" borderId="12" xfId="0" applyFont="1" applyFill="1" applyBorder="1" applyAlignment="1">
      <alignment horizontal="center"/>
    </xf>
    <xf numFmtId="183" fontId="17" fillId="0" borderId="13" xfId="0" applyFont="1" applyFill="1" applyBorder="1" applyAlignment="1">
      <alignment horizontal="center"/>
    </xf>
    <xf numFmtId="183" fontId="17" fillId="0" borderId="14" xfId="0" applyFont="1" applyFill="1" applyBorder="1" applyAlignment="1">
      <alignment horizontal="center"/>
    </xf>
    <xf numFmtId="183" fontId="17" fillId="0" borderId="15" xfId="0" applyFont="1" applyFill="1" applyBorder="1" applyAlignment="1">
      <alignment horizontal="center"/>
    </xf>
    <xf numFmtId="37" fontId="18" fillId="0" borderId="4" xfId="0" applyNumberFormat="1" applyFont="1" applyBorder="1"/>
    <xf numFmtId="181" fontId="18" fillId="0" borderId="7" xfId="1" applyNumberFormat="1" applyFont="1" applyBorder="1"/>
    <xf numFmtId="37" fontId="18" fillId="0" borderId="5" xfId="0" applyNumberFormat="1" applyFont="1" applyBorder="1" applyAlignment="1">
      <alignment horizontal="center"/>
    </xf>
    <xf numFmtId="37" fontId="18" fillId="0" borderId="1" xfId="0" applyNumberFormat="1" applyFont="1" applyBorder="1" applyAlignment="1">
      <alignment horizontal="center"/>
    </xf>
    <xf numFmtId="37" fontId="18" fillId="0" borderId="0" xfId="0" applyNumberFormat="1" applyFont="1" applyBorder="1" applyAlignment="1">
      <alignment horizontal="center"/>
    </xf>
    <xf numFmtId="183" fontId="0" fillId="0" borderId="0" xfId="0" applyFill="1" applyBorder="1" applyAlignment="1">
      <alignment horizontal="center"/>
    </xf>
    <xf numFmtId="181" fontId="18" fillId="0" borderId="8" xfId="1" applyNumberFormat="1" applyFont="1" applyBorder="1" applyAlignment="1">
      <alignment horizontal="center"/>
    </xf>
    <xf numFmtId="37" fontId="18" fillId="0" borderId="8" xfId="0" applyNumberFormat="1" applyFont="1" applyBorder="1" applyAlignment="1">
      <alignment horizontal="center"/>
    </xf>
    <xf numFmtId="183" fontId="0" fillId="0" borderId="0" xfId="0" applyFill="1" applyAlignment="1">
      <alignment horizontal="right"/>
    </xf>
    <xf numFmtId="183" fontId="24" fillId="0" borderId="3" xfId="0" applyFont="1" applyFill="1" applyBorder="1" applyAlignment="1">
      <alignment horizontal="centerContinuous"/>
    </xf>
    <xf numFmtId="183" fontId="24" fillId="0" borderId="4" xfId="0" applyFont="1" applyFill="1" applyBorder="1" applyAlignment="1">
      <alignment horizontal="centerContinuous"/>
    </xf>
    <xf numFmtId="183" fontId="0" fillId="0" borderId="13" xfId="0" applyBorder="1"/>
    <xf numFmtId="183" fontId="0" fillId="0" borderId="14" xfId="0" applyBorder="1"/>
    <xf numFmtId="181" fontId="18" fillId="0" borderId="5" xfId="1" applyNumberFormat="1" applyFont="1" applyBorder="1" applyAlignment="1">
      <alignment horizontal="right"/>
    </xf>
    <xf numFmtId="181" fontId="18" fillId="0" borderId="19" xfId="1" applyNumberFormat="1" applyFont="1" applyFill="1" applyBorder="1" applyAlignment="1">
      <alignment horizontal="right"/>
    </xf>
    <xf numFmtId="169" fontId="18" fillId="0" borderId="4" xfId="0" applyNumberFormat="1" applyFont="1" applyBorder="1"/>
    <xf numFmtId="181" fontId="18" fillId="0" borderId="3" xfId="0" applyNumberFormat="1" applyFont="1" applyBorder="1"/>
    <xf numFmtId="181" fontId="18" fillId="0" borderId="6" xfId="0" applyNumberFormat="1" applyFont="1" applyBorder="1" applyAlignment="1">
      <alignment horizontal="center"/>
    </xf>
    <xf numFmtId="183" fontId="18" fillId="0" borderId="3" xfId="0" applyFont="1" applyBorder="1" applyAlignment="1"/>
    <xf numFmtId="37" fontId="18" fillId="0" borderId="0" xfId="0" applyNumberFormat="1" applyFont="1" applyAlignment="1">
      <alignment horizontal="right"/>
    </xf>
    <xf numFmtId="168" fontId="18" fillId="0" borderId="11" xfId="7" applyNumberFormat="1" applyFont="1" applyFill="1" applyBorder="1" applyAlignment="1">
      <alignment horizontal="right"/>
    </xf>
    <xf numFmtId="183" fontId="24" fillId="0" borderId="2" xfId="0" applyFont="1" applyFill="1" applyBorder="1" applyAlignment="1">
      <alignment horizontal="centerContinuous"/>
    </xf>
    <xf numFmtId="181" fontId="34" fillId="0" borderId="0" xfId="1" applyNumberFormat="1" applyFont="1" applyBorder="1"/>
    <xf numFmtId="181" fontId="34" fillId="0" borderId="6" xfId="1" applyNumberFormat="1" applyFont="1" applyBorder="1"/>
    <xf numFmtId="183" fontId="24" fillId="0" borderId="2" xfId="0" applyFont="1" applyFill="1" applyBorder="1" applyAlignment="1">
      <alignment horizontal="center"/>
    </xf>
    <xf numFmtId="183" fontId="14" fillId="0" borderId="9" xfId="0" applyFont="1" applyFill="1" applyBorder="1" applyAlignment="1">
      <alignment horizontal="center"/>
    </xf>
    <xf numFmtId="183" fontId="14" fillId="0" borderId="0" xfId="0" applyFont="1" applyFill="1" applyBorder="1" applyAlignment="1">
      <alignment horizontal="center"/>
    </xf>
    <xf numFmtId="183" fontId="14" fillId="0" borderId="4" xfId="0" applyFont="1" applyFill="1" applyBorder="1" applyAlignment="1">
      <alignment horizontal="center"/>
    </xf>
    <xf numFmtId="183" fontId="18" fillId="0" borderId="2" xfId="0" applyFont="1" applyBorder="1" applyAlignment="1"/>
    <xf numFmtId="169" fontId="18" fillId="0" borderId="16" xfId="1" applyNumberFormat="1" applyFont="1" applyFill="1" applyBorder="1" applyAlignment="1">
      <alignment horizontal="right"/>
    </xf>
    <xf numFmtId="169" fontId="18" fillId="0" borderId="3" xfId="1" applyNumberFormat="1" applyFont="1" applyFill="1" applyBorder="1" applyAlignment="1">
      <alignment horizontal="right"/>
    </xf>
    <xf numFmtId="181" fontId="18" fillId="0" borderId="12" xfId="1" applyNumberFormat="1" applyFont="1" applyBorder="1"/>
    <xf numFmtId="181" fontId="18" fillId="0" borderId="10" xfId="1" applyNumberFormat="1" applyFont="1" applyBorder="1" applyAlignment="1">
      <alignment horizontal="right"/>
    </xf>
    <xf numFmtId="181" fontId="18" fillId="0" borderId="0" xfId="1" applyNumberFormat="1" applyFont="1"/>
    <xf numFmtId="168" fontId="18" fillId="0" borderId="11" xfId="7" applyNumberFormat="1" applyFont="1" applyFill="1" applyBorder="1" applyAlignment="1">
      <alignment horizontal="right"/>
    </xf>
    <xf numFmtId="169" fontId="18" fillId="0" borderId="10" xfId="1" applyNumberFormat="1" applyFont="1" applyFill="1" applyBorder="1"/>
    <xf numFmtId="37" fontId="18" fillId="0" borderId="0" xfId="1" applyNumberFormat="1" applyFont="1" applyFill="1" applyBorder="1" applyAlignment="1">
      <alignment horizontal="right"/>
    </xf>
    <xf numFmtId="168" fontId="18" fillId="0" borderId="14" xfId="0" applyNumberFormat="1" applyFont="1" applyFill="1" applyBorder="1" applyAlignment="1">
      <alignment horizontal="right"/>
    </xf>
    <xf numFmtId="168" fontId="36" fillId="0" borderId="0" xfId="0" applyNumberFormat="1" applyFont="1"/>
    <xf numFmtId="183" fontId="27" fillId="0" borderId="0" xfId="0" applyNumberFormat="1" applyFont="1" applyFill="1" applyAlignment="1">
      <alignment horizontal="center"/>
    </xf>
    <xf numFmtId="183" fontId="24" fillId="0" borderId="2" xfId="0" applyFont="1" applyFill="1" applyBorder="1" applyAlignment="1">
      <alignment horizontal="center"/>
    </xf>
    <xf numFmtId="183" fontId="0" fillId="0" borderId="9" xfId="0" applyBorder="1" applyAlignment="1">
      <alignment horizontal="center"/>
    </xf>
    <xf numFmtId="183" fontId="24" fillId="0" borderId="2" xfId="0" applyFont="1" applyBorder="1" applyAlignment="1">
      <alignment horizontal="center"/>
    </xf>
    <xf numFmtId="167" fontId="18" fillId="0" borderId="2" xfId="0" applyNumberFormat="1" applyFont="1" applyFill="1" applyBorder="1"/>
    <xf numFmtId="181" fontId="18" fillId="0" borderId="9" xfId="1" applyNumberFormat="1" applyFont="1" applyFill="1" applyBorder="1"/>
    <xf numFmtId="43" fontId="18" fillId="0" borderId="11" xfId="1" applyFont="1" applyFill="1" applyBorder="1" applyAlignment="1">
      <alignment horizontal="right"/>
    </xf>
    <xf numFmtId="43" fontId="18" fillId="0" borderId="9" xfId="1" applyFont="1" applyFill="1" applyBorder="1" applyAlignment="1">
      <alignment horizontal="right"/>
    </xf>
    <xf numFmtId="43" fontId="18" fillId="0" borderId="8" xfId="1" applyFont="1" applyFill="1" applyBorder="1" applyAlignment="1">
      <alignment horizontal="right"/>
    </xf>
    <xf numFmtId="186" fontId="0" fillId="0" borderId="0" xfId="0" applyNumberFormat="1" applyFill="1" applyBorder="1"/>
    <xf numFmtId="191" fontId="0" fillId="0" borderId="0" xfId="1" applyNumberFormat="1" applyFont="1" applyAlignment="1">
      <alignment horizontal="center"/>
    </xf>
    <xf numFmtId="183" fontId="58" fillId="0" borderId="0" xfId="26" applyAlignment="1">
      <alignment horizontal="center"/>
    </xf>
    <xf numFmtId="182" fontId="58" fillId="0" borderId="0" xfId="27" applyNumberFormat="1" applyAlignment="1">
      <alignment horizontal="center"/>
    </xf>
    <xf numFmtId="183" fontId="58" fillId="0" borderId="0" xfId="28" applyAlignment="1">
      <alignment horizontal="center"/>
    </xf>
    <xf numFmtId="4" fontId="0" fillId="0" borderId="0" xfId="0" applyNumberFormat="1" applyBorder="1"/>
    <xf numFmtId="4" fontId="0" fillId="0" borderId="21" xfId="0" applyNumberFormat="1" applyBorder="1"/>
    <xf numFmtId="183" fontId="59" fillId="0" borderId="0" xfId="0" applyFont="1"/>
    <xf numFmtId="183" fontId="0" fillId="0" borderId="0" xfId="0"/>
    <xf numFmtId="183" fontId="0" fillId="0" borderId="0" xfId="0" applyBorder="1"/>
    <xf numFmtId="183" fontId="18" fillId="0" borderId="0" xfId="0" applyFont="1"/>
    <xf numFmtId="183" fontId="18" fillId="0" borderId="0" xfId="0" applyFont="1" applyBorder="1"/>
    <xf numFmtId="183" fontId="18" fillId="0" borderId="0" xfId="0" applyFont="1" applyFill="1"/>
    <xf numFmtId="168" fontId="18" fillId="0" borderId="0" xfId="0" applyNumberFormat="1" applyFont="1"/>
    <xf numFmtId="37" fontId="18" fillId="0" borderId="9" xfId="1" applyNumberFormat="1" applyFont="1" applyFill="1" applyBorder="1"/>
    <xf numFmtId="37" fontId="18" fillId="0" borderId="9" xfId="0" applyNumberFormat="1" applyFont="1" applyBorder="1"/>
    <xf numFmtId="169" fontId="18" fillId="0" borderId="0" xfId="0" applyNumberFormat="1" applyFont="1" applyBorder="1"/>
    <xf numFmtId="167" fontId="18" fillId="0" borderId="0" xfId="0" applyNumberFormat="1" applyFont="1"/>
    <xf numFmtId="37" fontId="18" fillId="0" borderId="10" xfId="1" applyNumberFormat="1" applyFont="1" applyFill="1" applyBorder="1" applyAlignment="1">
      <alignment horizontal="right"/>
    </xf>
    <xf numFmtId="37" fontId="18" fillId="0" borderId="0" xfId="0" applyNumberFormat="1" applyFont="1" applyBorder="1" applyAlignment="1">
      <alignment horizontal="right"/>
    </xf>
    <xf numFmtId="167" fontId="18" fillId="0" borderId="0" xfId="0" applyNumberFormat="1" applyFont="1" applyFill="1"/>
    <xf numFmtId="37" fontId="18" fillId="0" borderId="10" xfId="0" applyNumberFormat="1" applyFont="1" applyBorder="1" applyAlignment="1">
      <alignment horizontal="right"/>
    </xf>
    <xf numFmtId="37" fontId="18" fillId="0" borderId="0" xfId="0" applyNumberFormat="1" applyFont="1" applyBorder="1"/>
    <xf numFmtId="37" fontId="18" fillId="0" borderId="11" xfId="0" applyNumberFormat="1" applyFont="1" applyBorder="1"/>
    <xf numFmtId="183" fontId="18" fillId="0" borderId="0" xfId="0" applyFont="1" applyBorder="1" applyAlignment="1">
      <alignment wrapText="1"/>
    </xf>
    <xf numFmtId="168" fontId="18" fillId="0" borderId="9" xfId="7" applyNumberFormat="1" applyFont="1" applyFill="1" applyBorder="1" applyAlignment="1">
      <alignment horizontal="right"/>
    </xf>
    <xf numFmtId="168" fontId="18" fillId="0" borderId="11" xfId="7" applyNumberFormat="1" applyFont="1" applyFill="1" applyBorder="1" applyAlignment="1">
      <alignment horizontal="right"/>
    </xf>
    <xf numFmtId="37" fontId="18" fillId="0" borderId="9" xfId="1" applyNumberFormat="1" applyFont="1" applyFill="1" applyBorder="1" applyAlignment="1">
      <alignment horizontal="right"/>
    </xf>
    <xf numFmtId="37" fontId="18" fillId="0" borderId="0" xfId="1" applyNumberFormat="1" applyFont="1" applyFill="1" applyBorder="1" applyAlignment="1">
      <alignment horizontal="right"/>
    </xf>
    <xf numFmtId="37" fontId="18" fillId="0" borderId="11" xfId="1" applyNumberFormat="1" applyFont="1" applyFill="1" applyBorder="1" applyAlignment="1">
      <alignment horizontal="right"/>
    </xf>
    <xf numFmtId="37" fontId="18" fillId="0" borderId="0" xfId="7" applyNumberFormat="1" applyFont="1" applyFill="1" applyBorder="1" applyAlignment="1">
      <alignment horizontal="right"/>
    </xf>
    <xf numFmtId="181" fontId="18" fillId="0" borderId="11" xfId="1" applyNumberFormat="1" applyFont="1" applyFill="1" applyBorder="1" applyAlignment="1">
      <alignment horizontal="right"/>
    </xf>
    <xf numFmtId="181" fontId="18" fillId="0" borderId="0" xfId="1" applyNumberFormat="1" applyFont="1" applyFill="1" applyBorder="1" applyAlignment="1">
      <alignment horizontal="right"/>
    </xf>
    <xf numFmtId="181" fontId="18" fillId="0" borderId="9" xfId="1" applyNumberFormat="1" applyFont="1" applyBorder="1"/>
    <xf numFmtId="181" fontId="18" fillId="0" borderId="9" xfId="1" applyNumberFormat="1" applyFont="1" applyFill="1" applyBorder="1" applyAlignment="1">
      <alignment horizontal="right"/>
    </xf>
    <xf numFmtId="169" fontId="18" fillId="0" borderId="0" xfId="1" applyNumberFormat="1" applyFont="1" applyFill="1" applyBorder="1"/>
    <xf numFmtId="168" fontId="18" fillId="0" borderId="0" xfId="7" applyNumberFormat="1" applyFont="1" applyFill="1" applyBorder="1" applyAlignment="1">
      <alignment horizontal="right"/>
    </xf>
    <xf numFmtId="183" fontId="36" fillId="0" borderId="0" xfId="14" applyFont="1" applyFill="1" applyAlignment="1"/>
    <xf numFmtId="183" fontId="44" fillId="0" borderId="0" xfId="0" applyFont="1" applyFill="1" applyBorder="1" applyAlignment="1">
      <alignment horizontal="left"/>
    </xf>
    <xf numFmtId="10" fontId="18" fillId="0" borderId="0" xfId="7" applyNumberFormat="1" applyFont="1"/>
    <xf numFmtId="167" fontId="0" fillId="0" borderId="0" xfId="0" applyNumberFormat="1" applyFill="1" applyAlignment="1"/>
    <xf numFmtId="183" fontId="0" fillId="0" borderId="9" xfId="0" applyBorder="1" applyAlignment="1">
      <alignment horizontal="center"/>
    </xf>
    <xf numFmtId="183" fontId="36" fillId="0" borderId="0" xfId="0" applyFont="1" applyFill="1" applyAlignment="1"/>
    <xf numFmtId="169" fontId="18" fillId="0" borderId="0" xfId="7" applyNumberFormat="1" applyFont="1" applyFill="1" applyBorder="1" applyAlignment="1">
      <alignment horizontal="right"/>
    </xf>
    <xf numFmtId="169" fontId="18" fillId="0" borderId="0" xfId="1" applyNumberFormat="1" applyFont="1" applyBorder="1"/>
    <xf numFmtId="169" fontId="18" fillId="0" borderId="13" xfId="7" applyNumberFormat="1" applyFont="1" applyFill="1" applyBorder="1" applyAlignment="1">
      <alignment horizontal="right"/>
    </xf>
    <xf numFmtId="169" fontId="18" fillId="0" borderId="6" xfId="0" applyNumberFormat="1" applyFont="1" applyBorder="1" applyAlignment="1">
      <alignment horizontal="right"/>
    </xf>
    <xf numFmtId="169" fontId="18" fillId="0" borderId="1" xfId="0" applyNumberFormat="1" applyFont="1" applyBorder="1" applyAlignment="1">
      <alignment horizontal="right"/>
    </xf>
    <xf numFmtId="169" fontId="18" fillId="0" borderId="8" xfId="1" applyNumberFormat="1" applyFont="1" applyBorder="1" applyAlignment="1">
      <alignment horizontal="right"/>
    </xf>
    <xf numFmtId="179" fontId="18" fillId="0" borderId="0" xfId="1" applyNumberFormat="1" applyFont="1" applyFill="1" applyBorder="1" applyAlignment="1">
      <alignment horizontal="right"/>
    </xf>
    <xf numFmtId="179" fontId="18" fillId="0" borderId="11" xfId="1" applyNumberFormat="1" applyFont="1" applyFill="1" applyBorder="1" applyAlignment="1">
      <alignment horizontal="right"/>
    </xf>
    <xf numFmtId="167" fontId="18" fillId="0" borderId="0" xfId="1" applyNumberFormat="1" applyFont="1" applyFill="1" applyBorder="1" applyAlignment="1">
      <alignment horizontal="right"/>
    </xf>
    <xf numFmtId="167" fontId="18" fillId="0" borderId="11" xfId="1" applyNumberFormat="1" applyFont="1" applyFill="1" applyBorder="1" applyAlignment="1">
      <alignment horizontal="right"/>
    </xf>
    <xf numFmtId="167" fontId="18" fillId="0" borderId="0" xfId="1" applyNumberFormat="1" applyFont="1" applyFill="1" applyBorder="1"/>
    <xf numFmtId="181" fontId="18" fillId="0" borderId="9" xfId="1" applyNumberFormat="1" applyFont="1" applyBorder="1" applyAlignment="1">
      <alignment horizontal="right"/>
    </xf>
    <xf numFmtId="181" fontId="18" fillId="0" borderId="6" xfId="1" applyNumberFormat="1" applyFont="1" applyFill="1" applyBorder="1" applyAlignment="1">
      <alignment horizontal="right"/>
    </xf>
    <xf numFmtId="181" fontId="18" fillId="0" borderId="8" xfId="1" applyNumberFormat="1" applyFont="1" applyBorder="1" applyAlignment="1">
      <alignment horizontal="right"/>
    </xf>
    <xf numFmtId="183" fontId="25" fillId="0" borderId="10" xfId="0" applyFont="1" applyFill="1" applyBorder="1" applyAlignment="1">
      <alignment horizontal="center"/>
    </xf>
    <xf numFmtId="183" fontId="24" fillId="0" borderId="2" xfId="0" applyFont="1" applyFill="1" applyBorder="1" applyAlignment="1">
      <alignment horizontal="center"/>
    </xf>
    <xf numFmtId="183" fontId="18" fillId="0" borderId="47" xfId="0" applyFont="1" applyBorder="1"/>
    <xf numFmtId="37" fontId="18" fillId="0" borderId="47" xfId="1" applyNumberFormat="1" applyFont="1" applyFill="1" applyBorder="1" applyAlignment="1">
      <alignment horizontal="right"/>
    </xf>
    <xf numFmtId="171" fontId="0" fillId="0" borderId="0" xfId="7" applyNumberFormat="1" applyFont="1" applyAlignment="1"/>
    <xf numFmtId="2" fontId="54" fillId="0" borderId="0" xfId="0" applyNumberFormat="1" applyFont="1" applyBorder="1" applyAlignment="1">
      <alignment horizontal="right" vertical="center"/>
    </xf>
    <xf numFmtId="171" fontId="0" fillId="0" borderId="0" xfId="7" applyNumberFormat="1" applyFont="1" applyBorder="1" applyAlignment="1"/>
    <xf numFmtId="181" fontId="0" fillId="0" borderId="0" xfId="1" applyNumberFormat="1" applyFont="1" applyBorder="1" applyAlignment="1"/>
    <xf numFmtId="168" fontId="18" fillId="0" borderId="4" xfId="7" applyNumberFormat="1" applyFont="1" applyFill="1" applyBorder="1" applyAlignment="1"/>
    <xf numFmtId="37" fontId="18" fillId="0" borderId="3" xfId="1" applyNumberFormat="1" applyFont="1" applyFill="1" applyBorder="1" applyAlignment="1">
      <alignment horizontal="center"/>
    </xf>
    <xf numFmtId="37" fontId="18" fillId="0" borderId="4" xfId="1" applyNumberFormat="1" applyFont="1" applyFill="1" applyBorder="1" applyAlignment="1">
      <alignment horizontal="center"/>
    </xf>
    <xf numFmtId="169" fontId="18" fillId="0" borderId="7" xfId="1" applyNumberFormat="1" applyFont="1" applyFill="1" applyBorder="1" applyAlignment="1">
      <alignment horizontal="center"/>
    </xf>
    <xf numFmtId="37" fontId="18" fillId="0" borderId="2" xfId="1" applyNumberFormat="1" applyFont="1" applyFill="1" applyBorder="1" applyAlignment="1">
      <alignment horizontal="center"/>
    </xf>
    <xf numFmtId="167" fontId="18" fillId="0" borderId="11" xfId="1" applyNumberFormat="1" applyFont="1" applyFill="1" applyBorder="1"/>
    <xf numFmtId="183" fontId="24" fillId="0" borderId="0" xfId="0" applyFont="1" applyBorder="1" applyAlignment="1">
      <alignment wrapText="1"/>
    </xf>
    <xf numFmtId="37" fontId="18" fillId="0" borderId="10" xfId="1" applyNumberFormat="1" applyFont="1" applyFill="1" applyBorder="1" applyAlignment="1">
      <alignment horizontal="center"/>
    </xf>
    <xf numFmtId="37" fontId="18" fillId="0" borderId="1" xfId="1" applyNumberFormat="1" applyFont="1" applyFill="1" applyBorder="1" applyAlignment="1">
      <alignment horizontal="center"/>
    </xf>
    <xf numFmtId="169" fontId="18" fillId="0" borderId="8" xfId="1" applyNumberFormat="1" applyFont="1" applyFill="1" applyBorder="1" applyAlignment="1">
      <alignment horizontal="center"/>
    </xf>
    <xf numFmtId="183" fontId="18" fillId="0" borderId="0" xfId="0" applyFont="1" applyBorder="1" applyAlignment="1">
      <alignment horizontal="left" wrapText="1" indent="1"/>
    </xf>
    <xf numFmtId="167" fontId="18" fillId="0" borderId="1" xfId="1" applyNumberFormat="1" applyFont="1" applyFill="1" applyBorder="1" applyAlignment="1">
      <alignment horizontal="right"/>
    </xf>
    <xf numFmtId="167" fontId="18" fillId="0" borderId="9" xfId="1" applyNumberFormat="1" applyFont="1" applyFill="1" applyBorder="1" applyAlignment="1">
      <alignment horizontal="right"/>
    </xf>
    <xf numFmtId="167" fontId="18" fillId="0" borderId="7" xfId="1" applyNumberFormat="1" applyFont="1" applyFill="1" applyBorder="1" applyAlignment="1">
      <alignment horizontal="right"/>
    </xf>
    <xf numFmtId="167" fontId="18" fillId="0" borderId="6" xfId="1" applyNumberFormat="1" applyFont="1" applyFill="1" applyBorder="1" applyAlignment="1">
      <alignment horizontal="right"/>
    </xf>
    <xf numFmtId="37" fontId="18" fillId="0" borderId="48" xfId="1" applyNumberFormat="1" applyFont="1" applyFill="1" applyBorder="1" applyAlignment="1">
      <alignment horizontal="right"/>
    </xf>
    <xf numFmtId="167" fontId="18" fillId="4" borderId="9" xfId="1" applyNumberFormat="1" applyFont="1" applyFill="1" applyBorder="1" applyAlignment="1">
      <alignment horizontal="right"/>
    </xf>
    <xf numFmtId="37" fontId="18" fillId="4" borderId="9" xfId="1" applyNumberFormat="1" applyFont="1" applyFill="1" applyBorder="1" applyAlignment="1">
      <alignment horizontal="right"/>
    </xf>
    <xf numFmtId="37" fontId="18" fillId="4" borderId="8" xfId="1" applyNumberFormat="1" applyFont="1" applyFill="1" applyBorder="1" applyAlignment="1">
      <alignment horizontal="right"/>
    </xf>
    <xf numFmtId="37" fontId="18" fillId="0" borderId="7" xfId="1" applyNumberFormat="1" applyFont="1" applyFill="1" applyBorder="1" applyAlignment="1">
      <alignment horizontal="center"/>
    </xf>
    <xf numFmtId="181" fontId="18" fillId="0" borderId="3" xfId="1" applyNumberFormat="1" applyFont="1" applyFill="1" applyBorder="1" applyAlignment="1">
      <alignment horizontal="right"/>
    </xf>
    <xf numFmtId="181" fontId="18" fillId="0" borderId="7" xfId="1" applyNumberFormat="1" applyFont="1" applyFill="1" applyBorder="1" applyAlignment="1">
      <alignment horizontal="right"/>
    </xf>
    <xf numFmtId="181" fontId="18" fillId="0" borderId="1" xfId="1" applyNumberFormat="1" applyFont="1" applyFill="1" applyBorder="1" applyAlignment="1">
      <alignment horizontal="right"/>
    </xf>
    <xf numFmtId="167" fontId="18" fillId="0" borderId="4" xfId="1" applyNumberFormat="1" applyFont="1" applyFill="1" applyBorder="1" applyAlignment="1">
      <alignment horizontal="right"/>
    </xf>
    <xf numFmtId="167" fontId="18" fillId="0" borderId="14" xfId="1" applyNumberFormat="1" applyFont="1" applyFill="1" applyBorder="1" applyAlignment="1">
      <alignment horizontal="right"/>
    </xf>
    <xf numFmtId="37" fontId="18" fillId="0" borderId="48" xfId="0" applyNumberFormat="1" applyFont="1" applyBorder="1" applyAlignment="1">
      <alignment horizontal="right"/>
    </xf>
    <xf numFmtId="167" fontId="18" fillId="0" borderId="1" xfId="0" applyNumberFormat="1" applyFont="1" applyBorder="1"/>
    <xf numFmtId="167" fontId="18" fillId="0" borderId="6" xfId="1" applyNumberFormat="1" applyFont="1" applyFill="1" applyBorder="1"/>
    <xf numFmtId="167" fontId="18" fillId="0" borderId="1" xfId="1" applyNumberFormat="1" applyFont="1" applyFill="1" applyBorder="1"/>
    <xf numFmtId="167" fontId="18" fillId="0" borderId="8" xfId="1" applyNumberFormat="1" applyFont="1" applyFill="1" applyBorder="1" applyAlignment="1">
      <alignment horizontal="right"/>
    </xf>
    <xf numFmtId="183" fontId="34" fillId="0" borderId="10" xfId="0" applyFont="1" applyBorder="1" applyAlignment="1">
      <alignment horizontal="left" wrapText="1" indent="2"/>
    </xf>
    <xf numFmtId="183" fontId="25" fillId="0" borderId="0" xfId="0" applyFont="1" applyFill="1" applyBorder="1" applyAlignment="1">
      <alignment horizontal="center"/>
    </xf>
    <xf numFmtId="183" fontId="25" fillId="0" borderId="11" xfId="0" applyFont="1" applyFill="1" applyBorder="1" applyAlignment="1">
      <alignment horizontal="center"/>
    </xf>
    <xf numFmtId="183" fontId="24" fillId="0" borderId="0" xfId="0" applyFont="1" applyAlignment="1">
      <alignment wrapText="1"/>
    </xf>
    <xf numFmtId="183" fontId="25" fillId="0" borderId="10" xfId="0" applyFont="1" applyFill="1" applyBorder="1" applyAlignment="1">
      <alignment horizontal="center"/>
    </xf>
    <xf numFmtId="183" fontId="24" fillId="0" borderId="7" xfId="0" applyFont="1" applyBorder="1" applyAlignment="1">
      <alignment horizontal="center"/>
    </xf>
    <xf numFmtId="183" fontId="24" fillId="0" borderId="2" xfId="0" applyFont="1" applyBorder="1" applyAlignment="1">
      <alignment horizontal="center"/>
    </xf>
    <xf numFmtId="0" fontId="13" fillId="0" borderId="0" xfId="75"/>
    <xf numFmtId="0" fontId="13" fillId="0" borderId="0" xfId="75" applyBorder="1"/>
    <xf numFmtId="37" fontId="13" fillId="0" borderId="0" xfId="75" applyNumberFormat="1" applyBorder="1"/>
    <xf numFmtId="0" fontId="13" fillId="0" borderId="0" xfId="75" applyAlignment="1"/>
    <xf numFmtId="0" fontId="15" fillId="0" borderId="0" xfId="75" applyFont="1"/>
    <xf numFmtId="0" fontId="16" fillId="0" borderId="0" xfId="75" applyFont="1" applyFill="1" applyBorder="1" applyAlignment="1">
      <alignment horizontal="left"/>
    </xf>
    <xf numFmtId="0" fontId="13" fillId="0" borderId="0" xfId="75" applyFill="1" applyBorder="1"/>
    <xf numFmtId="0" fontId="13" fillId="0" borderId="6" xfId="75" applyFill="1" applyBorder="1"/>
    <xf numFmtId="0" fontId="13" fillId="0" borderId="0" xfId="75" applyBorder="1" applyAlignment="1"/>
    <xf numFmtId="0" fontId="17" fillId="0" borderId="0" xfId="75" applyFont="1" applyFill="1" applyBorder="1"/>
    <xf numFmtId="0" fontId="18" fillId="0" borderId="0" xfId="75" applyFont="1" applyFill="1" applyBorder="1"/>
    <xf numFmtId="0" fontId="24" fillId="0" borderId="9" xfId="75" applyFont="1" applyFill="1" applyBorder="1" applyAlignment="1">
      <alignment horizontal="center"/>
    </xf>
    <xf numFmtId="0" fontId="13" fillId="0" borderId="3" xfId="75" applyBorder="1"/>
    <xf numFmtId="0" fontId="13" fillId="0" borderId="4" xfId="75" applyBorder="1"/>
    <xf numFmtId="0" fontId="13" fillId="0" borderId="2" xfId="75" applyBorder="1"/>
    <xf numFmtId="0" fontId="13" fillId="0" borderId="9" xfId="75" applyBorder="1"/>
    <xf numFmtId="0" fontId="24" fillId="0" borderId="0" xfId="75" applyFont="1" applyFill="1" applyBorder="1" applyAlignment="1">
      <alignment horizontal="center"/>
    </xf>
    <xf numFmtId="0" fontId="24" fillId="0" borderId="7" xfId="75" applyFont="1" applyFill="1" applyBorder="1" applyAlignment="1">
      <alignment horizontal="center"/>
    </xf>
    <xf numFmtId="0" fontId="13" fillId="0" borderId="7" xfId="75" applyBorder="1"/>
    <xf numFmtId="0" fontId="24" fillId="0" borderId="7" xfId="75" applyFont="1" applyBorder="1" applyAlignment="1">
      <alignment horizontal="center"/>
    </xf>
    <xf numFmtId="0" fontId="13" fillId="0" borderId="10" xfId="75" applyBorder="1"/>
    <xf numFmtId="0" fontId="14" fillId="0" borderId="9" xfId="75" applyFont="1" applyFill="1" applyBorder="1" applyAlignment="1">
      <alignment horizontal="center"/>
    </xf>
    <xf numFmtId="0" fontId="24" fillId="0" borderId="6" xfId="75" applyFont="1" applyFill="1" applyBorder="1" applyAlignment="1">
      <alignment horizontal="center"/>
    </xf>
    <xf numFmtId="0" fontId="24" fillId="0" borderId="1" xfId="75" applyFont="1" applyFill="1" applyBorder="1" applyAlignment="1">
      <alignment horizontal="center"/>
    </xf>
    <xf numFmtId="0" fontId="24" fillId="0" borderId="5" xfId="75" applyFont="1" applyFill="1" applyBorder="1" applyAlignment="1">
      <alignment horizontal="center"/>
    </xf>
    <xf numFmtId="0" fontId="14" fillId="0" borderId="0" xfId="75" applyFont="1" applyFill="1" applyBorder="1" applyAlignment="1">
      <alignment horizontal="center"/>
    </xf>
    <xf numFmtId="0" fontId="24" fillId="0" borderId="8" xfId="75" applyFont="1" applyFill="1" applyBorder="1" applyAlignment="1">
      <alignment horizontal="center"/>
    </xf>
    <xf numFmtId="0" fontId="79" fillId="0" borderId="10" xfId="75" applyFont="1" applyFill="1" applyBorder="1" applyAlignment="1">
      <alignment horizontal="center"/>
    </xf>
    <xf numFmtId="0" fontId="79" fillId="0" borderId="4" xfId="75" applyFont="1" applyFill="1" applyBorder="1" applyAlignment="1">
      <alignment horizontal="center"/>
    </xf>
    <xf numFmtId="0" fontId="79" fillId="0" borderId="9" xfId="75" applyFont="1" applyFill="1" applyBorder="1" applyAlignment="1">
      <alignment horizontal="center"/>
    </xf>
    <xf numFmtId="0" fontId="17" fillId="0" borderId="0" xfId="75" applyFont="1" applyFill="1" applyBorder="1" applyAlignment="1">
      <alignment horizontal="center"/>
    </xf>
    <xf numFmtId="0" fontId="17" fillId="0" borderId="11" xfId="75" applyFont="1" applyFill="1" applyBorder="1" applyAlignment="1">
      <alignment horizontal="center"/>
    </xf>
    <xf numFmtId="0" fontId="17" fillId="0" borderId="10" xfId="75" applyFont="1" applyFill="1" applyBorder="1" applyAlignment="1">
      <alignment horizontal="center"/>
    </xf>
    <xf numFmtId="0" fontId="17" fillId="0" borderId="9" xfId="75" applyFont="1" applyFill="1" applyBorder="1" applyAlignment="1">
      <alignment horizontal="center"/>
    </xf>
    <xf numFmtId="0" fontId="79" fillId="0" borderId="0" xfId="75" applyFont="1" applyFill="1" applyBorder="1" applyAlignment="1">
      <alignment horizontal="center"/>
    </xf>
    <xf numFmtId="0" fontId="17" fillId="0" borderId="15" xfId="75" applyFont="1" applyFill="1" applyBorder="1" applyAlignment="1">
      <alignment horizontal="center"/>
    </xf>
    <xf numFmtId="0" fontId="44" fillId="0" borderId="10" xfId="75" applyFont="1" applyBorder="1"/>
    <xf numFmtId="0" fontId="44" fillId="0" borderId="0" xfId="75" applyFont="1" applyBorder="1"/>
    <xf numFmtId="0" fontId="44" fillId="0" borderId="0" xfId="75" applyFont="1"/>
    <xf numFmtId="0" fontId="24" fillId="0" borderId="0" xfId="75" applyFont="1" applyFill="1" applyBorder="1"/>
    <xf numFmtId="0" fontId="20" fillId="0" borderId="0" xfId="75" applyFont="1" applyFill="1" applyBorder="1"/>
    <xf numFmtId="0" fontId="18" fillId="0" borderId="10" xfId="75" applyFont="1" applyBorder="1"/>
    <xf numFmtId="0" fontId="18" fillId="0" borderId="11" xfId="75" applyFont="1" applyBorder="1"/>
    <xf numFmtId="0" fontId="18" fillId="0" borderId="9" xfId="75" applyFont="1" applyBorder="1"/>
    <xf numFmtId="0" fontId="18" fillId="0" borderId="0" xfId="75" applyFont="1" applyBorder="1"/>
    <xf numFmtId="0" fontId="18" fillId="0" borderId="0" xfId="75" applyFont="1"/>
    <xf numFmtId="176" fontId="18" fillId="0" borderId="9" xfId="13" applyNumberFormat="1" applyFont="1" applyFill="1" applyBorder="1"/>
    <xf numFmtId="176" fontId="18" fillId="0" borderId="7" xfId="13" applyNumberFormat="1" applyFont="1" applyFill="1" applyBorder="1"/>
    <xf numFmtId="169" fontId="18" fillId="0" borderId="10" xfId="13" applyNumberFormat="1" applyFont="1" applyFill="1" applyBorder="1"/>
    <xf numFmtId="168" fontId="18" fillId="0" borderId="11" xfId="16" applyNumberFormat="1" applyFont="1" applyFill="1" applyBorder="1" applyAlignment="1">
      <alignment horizontal="right"/>
    </xf>
    <xf numFmtId="168" fontId="18" fillId="0" borderId="9" xfId="16" applyNumberFormat="1" applyFont="1" applyFill="1" applyBorder="1" applyAlignment="1">
      <alignment horizontal="right"/>
    </xf>
    <xf numFmtId="37" fontId="18" fillId="0" borderId="6" xfId="13" applyNumberFormat="1" applyFont="1" applyFill="1" applyBorder="1"/>
    <xf numFmtId="37" fontId="18" fillId="0" borderId="11" xfId="13" applyNumberFormat="1" applyFont="1" applyFill="1" applyBorder="1"/>
    <xf numFmtId="37" fontId="18" fillId="0" borderId="6" xfId="75" applyNumberFormat="1" applyFont="1" applyFill="1" applyBorder="1"/>
    <xf numFmtId="37" fontId="18" fillId="0" borderId="0" xfId="16" applyNumberFormat="1" applyFont="1" applyFill="1" applyBorder="1" applyAlignment="1">
      <alignment horizontal="right"/>
    </xf>
    <xf numFmtId="169" fontId="18" fillId="0" borderId="0" xfId="75" applyNumberFormat="1" applyFont="1" applyBorder="1"/>
    <xf numFmtId="169" fontId="18" fillId="0" borderId="0" xfId="75" applyNumberFormat="1" applyFont="1"/>
    <xf numFmtId="169" fontId="18" fillId="0" borderId="0" xfId="13" applyNumberFormat="1" applyFont="1" applyFill="1" applyBorder="1" applyAlignment="1"/>
    <xf numFmtId="37" fontId="18" fillId="0" borderId="9" xfId="13" applyNumberFormat="1" applyFont="1" applyFill="1" applyBorder="1" applyAlignment="1">
      <alignment horizontal="right"/>
    </xf>
    <xf numFmtId="169" fontId="18" fillId="0" borderId="12" xfId="13" applyNumberFormat="1" applyFont="1" applyFill="1" applyBorder="1"/>
    <xf numFmtId="168" fontId="18" fillId="0" borderId="14" xfId="16" applyNumberFormat="1" applyFont="1" applyFill="1" applyBorder="1" applyAlignment="1">
      <alignment horizontal="right"/>
    </xf>
    <xf numFmtId="169" fontId="18" fillId="0" borderId="13" xfId="13" applyNumberFormat="1" applyFont="1" applyFill="1" applyBorder="1" applyAlignment="1"/>
    <xf numFmtId="37" fontId="18" fillId="0" borderId="15" xfId="13" applyNumberFormat="1" applyFont="1" applyFill="1" applyBorder="1" applyAlignment="1">
      <alignment horizontal="right"/>
    </xf>
    <xf numFmtId="169" fontId="18" fillId="0" borderId="15" xfId="13" applyNumberFormat="1" applyFont="1" applyFill="1" applyBorder="1"/>
    <xf numFmtId="37" fontId="18" fillId="0" borderId="4" xfId="13" applyNumberFormat="1" applyFont="1" applyFill="1" applyBorder="1"/>
    <xf numFmtId="37" fontId="18" fillId="0" borderId="0" xfId="13" applyNumberFormat="1" applyFont="1" applyFill="1" applyBorder="1"/>
    <xf numFmtId="37" fontId="18" fillId="0" borderId="10" xfId="13" applyNumberFormat="1" applyFont="1" applyFill="1" applyBorder="1"/>
    <xf numFmtId="0" fontId="18" fillId="0" borderId="9" xfId="75" applyFont="1" applyBorder="1" applyAlignment="1">
      <alignment horizontal="right"/>
    </xf>
    <xf numFmtId="169" fontId="18" fillId="0" borderId="9" xfId="13" applyNumberFormat="1" applyFont="1" applyFill="1" applyBorder="1"/>
    <xf numFmtId="37" fontId="18" fillId="0" borderId="9" xfId="75" applyNumberFormat="1" applyFont="1" applyBorder="1" applyAlignment="1">
      <alignment horizontal="right"/>
    </xf>
    <xf numFmtId="169" fontId="18" fillId="0" borderId="9" xfId="13" applyNumberFormat="1" applyFont="1" applyFill="1" applyBorder="1" applyAlignment="1"/>
    <xf numFmtId="37" fontId="18" fillId="0" borderId="11" xfId="13" applyNumberFormat="1" applyFont="1" applyFill="1" applyBorder="1" applyAlignment="1">
      <alignment horizontal="right"/>
    </xf>
    <xf numFmtId="169" fontId="18" fillId="0" borderId="5" xfId="13" applyNumberFormat="1" applyFont="1" applyFill="1" applyBorder="1"/>
    <xf numFmtId="168" fontId="18" fillId="0" borderId="1" xfId="16" applyNumberFormat="1" applyFont="1" applyFill="1" applyBorder="1" applyAlignment="1">
      <alignment horizontal="right"/>
    </xf>
    <xf numFmtId="37" fontId="18" fillId="0" borderId="6" xfId="16" applyNumberFormat="1" applyFont="1" applyFill="1" applyBorder="1" applyAlignment="1">
      <alignment horizontal="right"/>
    </xf>
    <xf numFmtId="37" fontId="18" fillId="0" borderId="1" xfId="13" applyNumberFormat="1" applyFont="1" applyFill="1" applyBorder="1"/>
    <xf numFmtId="169" fontId="18" fillId="0" borderId="6" xfId="13" applyNumberFormat="1" applyFont="1" applyFill="1" applyBorder="1" applyAlignment="1"/>
    <xf numFmtId="37" fontId="18" fillId="0" borderId="8" xfId="75" applyNumberFormat="1" applyFont="1" applyBorder="1" applyAlignment="1">
      <alignment horizontal="right"/>
    </xf>
    <xf numFmtId="169" fontId="18" fillId="0" borderId="8" xfId="13" applyNumberFormat="1" applyFont="1" applyFill="1" applyBorder="1" applyAlignment="1"/>
    <xf numFmtId="169" fontId="18" fillId="0" borderId="0" xfId="13" applyNumberFormat="1" applyFont="1" applyFill="1" applyBorder="1"/>
    <xf numFmtId="169" fontId="18" fillId="0" borderId="0" xfId="13" applyNumberFormat="1" applyFont="1" applyFill="1" applyBorder="1" applyAlignment="1">
      <alignment horizontal="right"/>
    </xf>
    <xf numFmtId="0" fontId="18" fillId="0" borderId="0" xfId="75" applyFont="1" applyBorder="1" applyAlignment="1">
      <alignment horizontal="right"/>
    </xf>
    <xf numFmtId="168" fontId="18" fillId="0" borderId="11" xfId="16" applyNumberFormat="1" applyFont="1" applyFill="1" applyBorder="1" applyAlignment="1"/>
    <xf numFmtId="43" fontId="18" fillId="0" borderId="10" xfId="13" applyFont="1" applyBorder="1"/>
    <xf numFmtId="169" fontId="18" fillId="0" borderId="0" xfId="16" applyNumberFormat="1" applyFont="1" applyFill="1" applyBorder="1" applyAlignment="1">
      <alignment horizontal="right"/>
    </xf>
    <xf numFmtId="181" fontId="18" fillId="0" borderId="0" xfId="13" applyNumberFormat="1" applyFont="1" applyFill="1" applyBorder="1" applyAlignment="1"/>
    <xf numFmtId="43" fontId="18" fillId="0" borderId="9" xfId="13" applyFont="1" applyBorder="1" applyAlignment="1">
      <alignment horizontal="right"/>
    </xf>
    <xf numFmtId="43" fontId="18" fillId="0" borderId="9" xfId="13" applyFont="1" applyFill="1" applyBorder="1"/>
    <xf numFmtId="169" fontId="18" fillId="0" borderId="0" xfId="75" applyNumberFormat="1" applyFont="1" applyBorder="1" applyAlignment="1">
      <alignment horizontal="right"/>
    </xf>
    <xf numFmtId="169" fontId="18" fillId="0" borderId="9" xfId="75" applyNumberFormat="1" applyFont="1" applyBorder="1" applyAlignment="1">
      <alignment horizontal="right"/>
    </xf>
    <xf numFmtId="0" fontId="18" fillId="0" borderId="0" xfId="75" applyFont="1" applyFill="1"/>
    <xf numFmtId="169" fontId="18" fillId="0" borderId="5" xfId="75" applyNumberFormat="1" applyFont="1" applyBorder="1" applyAlignment="1">
      <alignment horizontal="right"/>
    </xf>
    <xf numFmtId="43" fontId="18" fillId="0" borderId="8" xfId="13" applyFont="1" applyBorder="1" applyAlignment="1">
      <alignment horizontal="right"/>
    </xf>
    <xf numFmtId="168" fontId="18" fillId="0" borderId="4" xfId="16" applyNumberFormat="1" applyFont="1" applyFill="1" applyBorder="1" applyAlignment="1"/>
    <xf numFmtId="37" fontId="18" fillId="0" borderId="2" xfId="13" applyNumberFormat="1" applyFont="1" applyFill="1" applyBorder="1"/>
    <xf numFmtId="168" fontId="18" fillId="0" borderId="4" xfId="16" applyNumberFormat="1" applyFont="1" applyFill="1" applyBorder="1" applyAlignment="1">
      <alignment horizontal="right"/>
    </xf>
    <xf numFmtId="37" fontId="18" fillId="0" borderId="7" xfId="13" applyNumberFormat="1" applyFont="1" applyFill="1" applyBorder="1" applyAlignment="1">
      <alignment horizontal="right"/>
    </xf>
    <xf numFmtId="169" fontId="18" fillId="0" borderId="7" xfId="13" applyNumberFormat="1" applyFont="1" applyFill="1" applyBorder="1"/>
    <xf numFmtId="37" fontId="18" fillId="0" borderId="14" xfId="13" applyNumberFormat="1" applyFont="1" applyFill="1" applyBorder="1" applyAlignment="1">
      <alignment horizontal="right"/>
    </xf>
    <xf numFmtId="169" fontId="18" fillId="0" borderId="17" xfId="13" applyNumberFormat="1" applyFont="1" applyFill="1" applyBorder="1"/>
    <xf numFmtId="0" fontId="27" fillId="0" borderId="0" xfId="75" applyFont="1" applyBorder="1"/>
    <xf numFmtId="0" fontId="27" fillId="0" borderId="0" xfId="75" applyFont="1"/>
    <xf numFmtId="0" fontId="18" fillId="0" borderId="0" xfId="75" applyFont="1" applyBorder="1" applyAlignment="1">
      <alignment wrapText="1"/>
    </xf>
    <xf numFmtId="0" fontId="18" fillId="0" borderId="0" xfId="75" applyFont="1" applyBorder="1" applyAlignment="1">
      <alignment horizontal="center"/>
    </xf>
    <xf numFmtId="169" fontId="18" fillId="0" borderId="9" xfId="13" applyNumberFormat="1" applyFont="1" applyFill="1" applyBorder="1" applyAlignment="1">
      <alignment horizontal="right"/>
    </xf>
    <xf numFmtId="169" fontId="18" fillId="0" borderId="16" xfId="13" applyNumberFormat="1" applyFont="1" applyFill="1" applyBorder="1"/>
    <xf numFmtId="37" fontId="18" fillId="0" borderId="17" xfId="13" applyNumberFormat="1" applyFont="1" applyFill="1" applyBorder="1" applyAlignment="1">
      <alignment horizontal="right"/>
    </xf>
    <xf numFmtId="37" fontId="18" fillId="0" borderId="18" xfId="13" applyNumberFormat="1" applyFont="1" applyFill="1" applyBorder="1" applyAlignment="1">
      <alignment horizontal="right"/>
    </xf>
    <xf numFmtId="169" fontId="18" fillId="0" borderId="18" xfId="13" applyNumberFormat="1" applyFont="1" applyFill="1" applyBorder="1"/>
    <xf numFmtId="168" fontId="18" fillId="0" borderId="0" xfId="16" applyNumberFormat="1" applyFont="1" applyFill="1" applyBorder="1" applyAlignment="1">
      <alignment horizontal="right"/>
    </xf>
    <xf numFmtId="0" fontId="18" fillId="0" borderId="0" xfId="16" applyNumberFormat="1" applyFont="1" applyFill="1" applyBorder="1" applyAlignment="1">
      <alignment horizontal="right"/>
    </xf>
    <xf numFmtId="170" fontId="18" fillId="0" borderId="0" xfId="75" applyNumberFormat="1" applyFont="1" applyBorder="1"/>
    <xf numFmtId="177" fontId="18" fillId="0" borderId="0" xfId="75" applyNumberFormat="1" applyFont="1" applyFill="1" applyBorder="1" applyAlignment="1">
      <alignment horizontal="right"/>
    </xf>
    <xf numFmtId="168" fontId="18" fillId="0" borderId="0" xfId="75" applyNumberFormat="1" applyFont="1" applyBorder="1"/>
    <xf numFmtId="168" fontId="18" fillId="0" borderId="0" xfId="75" applyNumberFormat="1" applyFont="1"/>
    <xf numFmtId="168" fontId="18" fillId="0" borderId="0" xfId="75" applyNumberFormat="1" applyFont="1" applyFill="1"/>
    <xf numFmtId="168" fontId="18" fillId="0" borderId="0" xfId="16" applyNumberFormat="1" applyFont="1" applyFill="1" applyBorder="1"/>
    <xf numFmtId="168" fontId="18" fillId="0" borderId="0" xfId="16" applyNumberFormat="1" applyFont="1" applyFill="1"/>
    <xf numFmtId="177" fontId="18" fillId="0" borderId="0" xfId="75" applyNumberFormat="1" applyFont="1" applyFill="1" applyBorder="1" applyAlignment="1">
      <alignment horizontal="center"/>
    </xf>
    <xf numFmtId="168" fontId="18" fillId="0" borderId="0" xfId="75" applyNumberFormat="1" applyFont="1" applyFill="1" applyBorder="1"/>
    <xf numFmtId="171" fontId="18" fillId="0" borderId="0" xfId="16" applyNumberFormat="1" applyFont="1" applyFill="1"/>
    <xf numFmtId="0" fontId="18" fillId="0" borderId="0" xfId="75" applyFont="1" applyBorder="1" applyAlignment="1"/>
    <xf numFmtId="180" fontId="18" fillId="0" borderId="0" xfId="75" applyNumberFormat="1" applyFont="1" applyFill="1"/>
    <xf numFmtId="168" fontId="15" fillId="0" borderId="0" xfId="77" applyNumberFormat="1" applyFont="1" applyBorder="1"/>
    <xf numFmtId="170" fontId="18" fillId="0" borderId="0" xfId="75" applyNumberFormat="1" applyFont="1" applyFill="1"/>
    <xf numFmtId="168" fontId="20" fillId="0" borderId="0" xfId="75" applyNumberFormat="1" applyFont="1" applyBorder="1"/>
    <xf numFmtId="0" fontId="18" fillId="0" borderId="6" xfId="75" applyFont="1" applyBorder="1"/>
    <xf numFmtId="0" fontId="18" fillId="0" borderId="2" xfId="75" applyFont="1" applyBorder="1"/>
    <xf numFmtId="0" fontId="18" fillId="0" borderId="7" xfId="75" applyFont="1" applyBorder="1"/>
    <xf numFmtId="0" fontId="18" fillId="0" borderId="0" xfId="75" applyFont="1" applyFill="1" applyBorder="1" applyAlignment="1">
      <alignment horizontal="center"/>
    </xf>
    <xf numFmtId="0" fontId="17" fillId="0" borderId="0" xfId="75" applyFont="1"/>
    <xf numFmtId="169" fontId="18" fillId="0" borderId="10" xfId="75" applyNumberFormat="1" applyFont="1" applyFill="1" applyBorder="1"/>
    <xf numFmtId="168" fontId="18" fillId="0" borderId="11" xfId="75" applyNumberFormat="1" applyFont="1" applyFill="1" applyBorder="1"/>
    <xf numFmtId="37" fontId="18" fillId="0" borderId="0" xfId="75" applyNumberFormat="1" applyFont="1" applyFill="1" applyBorder="1"/>
    <xf numFmtId="37" fontId="18" fillId="0" borderId="11" xfId="75" applyNumberFormat="1" applyFont="1" applyBorder="1"/>
    <xf numFmtId="37" fontId="18" fillId="0" borderId="3" xfId="75" applyNumberFormat="1" applyFont="1" applyFill="1" applyBorder="1"/>
    <xf numFmtId="168" fontId="18" fillId="0" borderId="4" xfId="75" applyNumberFormat="1" applyFont="1" applyFill="1" applyBorder="1" applyAlignment="1"/>
    <xf numFmtId="37" fontId="18" fillId="0" borderId="9" xfId="75" applyNumberFormat="1" applyFont="1" applyBorder="1"/>
    <xf numFmtId="37" fontId="18" fillId="0" borderId="7" xfId="13" applyNumberFormat="1" applyFont="1" applyFill="1" applyBorder="1"/>
    <xf numFmtId="168" fontId="18" fillId="0" borderId="9" xfId="75" applyNumberFormat="1" applyFont="1" applyFill="1" applyBorder="1"/>
    <xf numFmtId="168" fontId="18" fillId="0" borderId="11" xfId="75" applyNumberFormat="1" applyFont="1" applyFill="1" applyBorder="1" applyAlignment="1"/>
    <xf numFmtId="37" fontId="18" fillId="0" borderId="9" xfId="13" applyNumberFormat="1" applyFont="1" applyFill="1" applyBorder="1"/>
    <xf numFmtId="37" fontId="18" fillId="0" borderId="5" xfId="13" applyNumberFormat="1" applyFont="1" applyFill="1" applyBorder="1"/>
    <xf numFmtId="37" fontId="18" fillId="0" borderId="8" xfId="13" applyNumberFormat="1" applyFont="1" applyFill="1" applyBorder="1"/>
    <xf numFmtId="169" fontId="18" fillId="0" borderId="8" xfId="13" applyNumberFormat="1" applyFont="1" applyFill="1" applyBorder="1"/>
    <xf numFmtId="169" fontId="18" fillId="0" borderId="5" xfId="75" applyNumberFormat="1" applyFont="1" applyFill="1" applyBorder="1"/>
    <xf numFmtId="168" fontId="18" fillId="0" borderId="1" xfId="75" applyNumberFormat="1" applyFont="1" applyFill="1" applyBorder="1" applyAlignment="1">
      <alignment horizontal="right"/>
    </xf>
    <xf numFmtId="37" fontId="18" fillId="0" borderId="1" xfId="75" applyNumberFormat="1" applyFont="1" applyBorder="1"/>
    <xf numFmtId="37" fontId="18" fillId="0" borderId="8" xfId="75" applyNumberFormat="1" applyFont="1" applyBorder="1"/>
    <xf numFmtId="169" fontId="18" fillId="0" borderId="0" xfId="75" applyNumberFormat="1" applyFont="1" applyFill="1" applyBorder="1"/>
    <xf numFmtId="169" fontId="18" fillId="0" borderId="0" xfId="75" applyNumberFormat="1" applyFont="1" applyFill="1" applyBorder="1" applyAlignment="1"/>
    <xf numFmtId="168" fontId="18" fillId="0" borderId="0" xfId="75" applyNumberFormat="1" applyFont="1" applyFill="1" applyBorder="1" applyAlignment="1"/>
    <xf numFmtId="177" fontId="18" fillId="0" borderId="0" xfId="75" applyNumberFormat="1" applyFont="1"/>
    <xf numFmtId="168" fontId="15" fillId="0" borderId="0" xfId="75" applyNumberFormat="1" applyFont="1" applyBorder="1"/>
    <xf numFmtId="37" fontId="18" fillId="0" borderId="11" xfId="75" applyNumberFormat="1" applyFont="1" applyFill="1" applyBorder="1"/>
    <xf numFmtId="37" fontId="18" fillId="0" borderId="10" xfId="75" applyNumberFormat="1" applyFont="1" applyFill="1" applyBorder="1"/>
    <xf numFmtId="37" fontId="18" fillId="0" borderId="10" xfId="75" applyNumberFormat="1" applyFont="1" applyBorder="1"/>
    <xf numFmtId="37" fontId="18" fillId="0" borderId="4" xfId="75" applyNumberFormat="1" applyFont="1" applyFill="1" applyBorder="1"/>
    <xf numFmtId="181" fontId="18" fillId="0" borderId="3" xfId="13" applyNumberFormat="1" applyFont="1" applyFill="1" applyBorder="1" applyAlignment="1"/>
    <xf numFmtId="181" fontId="18" fillId="0" borderId="0" xfId="13" applyNumberFormat="1" applyFont="1" applyBorder="1" applyAlignment="1"/>
    <xf numFmtId="181" fontId="18" fillId="0" borderId="9" xfId="13" applyNumberFormat="1" applyFont="1" applyFill="1" applyBorder="1"/>
    <xf numFmtId="181" fontId="18" fillId="0" borderId="0" xfId="13" applyNumberFormat="1" applyFont="1" applyFill="1" applyBorder="1"/>
    <xf numFmtId="43" fontId="18" fillId="0" borderId="0" xfId="13" applyFont="1" applyFill="1" applyBorder="1"/>
    <xf numFmtId="0" fontId="18" fillId="0" borderId="9" xfId="75" applyFont="1" applyFill="1" applyBorder="1" applyAlignment="1"/>
    <xf numFmtId="37" fontId="18" fillId="0" borderId="1" xfId="75" applyNumberFormat="1" applyFont="1" applyFill="1" applyBorder="1"/>
    <xf numFmtId="181" fontId="18" fillId="0" borderId="6" xfId="13" applyNumberFormat="1" applyFont="1" applyFill="1" applyBorder="1"/>
    <xf numFmtId="43" fontId="18" fillId="0" borderId="6" xfId="13" applyFont="1" applyFill="1" applyBorder="1"/>
    <xf numFmtId="43" fontId="18" fillId="0" borderId="1" xfId="13" applyFont="1" applyFill="1" applyBorder="1"/>
    <xf numFmtId="169" fontId="18" fillId="0" borderId="12" xfId="75" applyNumberFormat="1" applyFont="1" applyFill="1" applyBorder="1"/>
    <xf numFmtId="168" fontId="18" fillId="0" borderId="14" xfId="75" applyNumberFormat="1" applyFont="1" applyFill="1" applyBorder="1"/>
    <xf numFmtId="37" fontId="18" fillId="0" borderId="13" xfId="75" applyNumberFormat="1" applyFont="1" applyBorder="1"/>
    <xf numFmtId="37" fontId="18" fillId="0" borderId="14" xfId="75" applyNumberFormat="1" applyFont="1" applyBorder="1"/>
    <xf numFmtId="37" fontId="18" fillId="0" borderId="12" xfId="75" applyNumberFormat="1" applyFont="1" applyBorder="1"/>
    <xf numFmtId="181" fontId="18" fillId="0" borderId="13" xfId="13" applyNumberFormat="1" applyFont="1" applyBorder="1" applyAlignment="1"/>
    <xf numFmtId="168" fontId="18" fillId="0" borderId="14" xfId="75" applyNumberFormat="1" applyFont="1" applyFill="1" applyBorder="1" applyAlignment="1"/>
    <xf numFmtId="169" fontId="18" fillId="0" borderId="15" xfId="75" applyNumberFormat="1" applyFont="1" applyBorder="1"/>
    <xf numFmtId="169" fontId="18" fillId="0" borderId="14" xfId="75" applyNumberFormat="1" applyFont="1" applyBorder="1"/>
    <xf numFmtId="168" fontId="18" fillId="0" borderId="1" xfId="75" applyNumberFormat="1" applyFont="1" applyFill="1" applyBorder="1"/>
    <xf numFmtId="37" fontId="18" fillId="0" borderId="0" xfId="75" applyNumberFormat="1" applyFont="1" applyBorder="1"/>
    <xf numFmtId="37" fontId="18" fillId="0" borderId="6" xfId="75" applyNumberFormat="1" applyFont="1" applyBorder="1"/>
    <xf numFmtId="37" fontId="18" fillId="0" borderId="5" xfId="75" applyNumberFormat="1" applyFont="1" applyBorder="1"/>
    <xf numFmtId="181" fontId="18" fillId="0" borderId="6" xfId="13" applyNumberFormat="1" applyFont="1" applyBorder="1" applyAlignment="1"/>
    <xf numFmtId="168" fontId="18" fillId="0" borderId="1" xfId="75" applyNumberFormat="1" applyFont="1" applyFill="1" applyBorder="1" applyAlignment="1"/>
    <xf numFmtId="169" fontId="18" fillId="0" borderId="8" xfId="75" applyNumberFormat="1" applyFont="1" applyBorder="1"/>
    <xf numFmtId="169" fontId="18" fillId="0" borderId="1" xfId="75" applyNumberFormat="1" applyFont="1" applyBorder="1"/>
    <xf numFmtId="169" fontId="13" fillId="0" borderId="0" xfId="75" applyNumberFormat="1" applyBorder="1"/>
    <xf numFmtId="37" fontId="13" fillId="0" borderId="0" xfId="75" applyNumberFormat="1" applyBorder="1" applyAlignment="1"/>
    <xf numFmtId="37" fontId="13" fillId="0" borderId="0" xfId="75" applyNumberFormat="1" applyFill="1" applyBorder="1"/>
    <xf numFmtId="169" fontId="18" fillId="0" borderId="0" xfId="75" applyNumberFormat="1" applyFont="1" applyAlignment="1"/>
    <xf numFmtId="170" fontId="18" fillId="0" borderId="0" xfId="13" applyNumberFormat="1" applyFont="1" applyFill="1" applyBorder="1"/>
    <xf numFmtId="170" fontId="13" fillId="0" borderId="0" xfId="75" applyNumberFormat="1" applyFill="1" applyBorder="1"/>
    <xf numFmtId="3" fontId="13" fillId="0" borderId="0" xfId="75" applyNumberFormat="1" applyBorder="1"/>
    <xf numFmtId="170" fontId="18" fillId="0" borderId="0" xfId="75" applyNumberFormat="1" applyFont="1" applyFill="1" applyBorder="1"/>
    <xf numFmtId="39" fontId="18" fillId="0" borderId="0" xfId="75" applyNumberFormat="1" applyFont="1" applyFill="1" applyBorder="1"/>
    <xf numFmtId="175" fontId="18" fillId="0" borderId="0" xfId="75" applyNumberFormat="1" applyFont="1" applyFill="1" applyBorder="1" applyAlignment="1">
      <alignment horizontal="right"/>
    </xf>
    <xf numFmtId="172" fontId="18" fillId="0" borderId="0" xfId="75" applyNumberFormat="1" applyFont="1" applyFill="1" applyBorder="1"/>
    <xf numFmtId="170" fontId="18" fillId="0" borderId="0" xfId="75" applyNumberFormat="1" applyFont="1" applyFill="1" applyBorder="1" applyAlignment="1">
      <alignment horizontal="right"/>
    </xf>
    <xf numFmtId="171" fontId="18" fillId="0" borderId="0" xfId="16" applyNumberFormat="1" applyFont="1" applyFill="1" applyBorder="1"/>
    <xf numFmtId="173" fontId="18" fillId="0" borderId="0" xfId="75" applyNumberFormat="1" applyFont="1" applyFill="1" applyBorder="1"/>
    <xf numFmtId="167" fontId="18" fillId="0" borderId="0" xfId="16" applyNumberFormat="1" applyFont="1" applyFill="1" applyBorder="1" applyAlignment="1">
      <alignment horizontal="right"/>
    </xf>
    <xf numFmtId="168" fontId="18" fillId="0" borderId="11" xfId="75" applyNumberFormat="1" applyFont="1" applyFill="1" applyBorder="1" applyAlignment="1">
      <alignment horizontal="right"/>
    </xf>
    <xf numFmtId="37" fontId="18" fillId="0" borderId="9" xfId="75" applyNumberFormat="1" applyFont="1" applyFill="1" applyBorder="1"/>
    <xf numFmtId="37" fontId="18" fillId="0" borderId="8" xfId="75" applyNumberFormat="1" applyFont="1" applyFill="1" applyBorder="1"/>
    <xf numFmtId="181" fontId="18" fillId="0" borderId="5" xfId="1" applyNumberFormat="1" applyFont="1" applyFill="1" applyBorder="1" applyAlignment="1">
      <alignment horizontal="right"/>
    </xf>
    <xf numFmtId="169" fontId="18" fillId="0" borderId="0" xfId="75" applyNumberFormat="1" applyFont="1" applyFill="1" applyBorder="1" applyAlignment="1">
      <alignment horizontal="right"/>
    </xf>
    <xf numFmtId="167" fontId="18" fillId="0" borderId="0" xfId="13" applyNumberFormat="1" applyFont="1" applyFill="1" applyBorder="1" applyAlignment="1">
      <alignment horizontal="right"/>
    </xf>
    <xf numFmtId="168" fontId="18" fillId="0" borderId="17" xfId="16" applyNumberFormat="1" applyFont="1" applyFill="1" applyBorder="1" applyAlignment="1">
      <alignment horizontal="right"/>
    </xf>
    <xf numFmtId="37" fontId="18" fillId="0" borderId="7" xfId="75" applyNumberFormat="1" applyFont="1" applyFill="1" applyBorder="1"/>
    <xf numFmtId="167" fontId="18" fillId="0" borderId="11" xfId="13" applyNumberFormat="1" applyFont="1" applyFill="1" applyBorder="1"/>
    <xf numFmtId="167" fontId="18" fillId="0" borderId="0" xfId="13" applyNumberFormat="1" applyFont="1" applyFill="1" applyBorder="1"/>
    <xf numFmtId="167" fontId="18" fillId="0" borderId="10" xfId="13" applyNumberFormat="1" applyFont="1" applyFill="1" applyBorder="1"/>
    <xf numFmtId="167" fontId="18" fillId="0" borderId="0" xfId="13" applyNumberFormat="1" applyFont="1" applyFill="1" applyBorder="1" applyAlignment="1"/>
    <xf numFmtId="167" fontId="18" fillId="0" borderId="0" xfId="75" applyNumberFormat="1" applyFont="1"/>
    <xf numFmtId="167" fontId="18" fillId="0" borderId="9" xfId="13" applyNumberFormat="1" applyFont="1" applyFill="1" applyBorder="1" applyAlignment="1">
      <alignment horizontal="right"/>
    </xf>
    <xf numFmtId="167" fontId="18" fillId="0" borderId="11" xfId="13" applyNumberFormat="1" applyFont="1" applyFill="1" applyBorder="1" applyAlignment="1">
      <alignment horizontal="right"/>
    </xf>
    <xf numFmtId="167" fontId="18" fillId="0" borderId="9" xfId="75" applyNumberFormat="1" applyFont="1" applyBorder="1" applyAlignment="1">
      <alignment horizontal="right"/>
    </xf>
    <xf numFmtId="167" fontId="18" fillId="0" borderId="0" xfId="75" applyNumberFormat="1" applyFont="1" applyBorder="1" applyAlignment="1">
      <alignment horizontal="right"/>
    </xf>
    <xf numFmtId="167" fontId="18" fillId="0" borderId="9" xfId="13" applyNumberFormat="1" applyFont="1" applyFill="1" applyBorder="1"/>
    <xf numFmtId="167" fontId="18" fillId="0" borderId="0" xfId="13" applyNumberFormat="1" applyFont="1" applyBorder="1"/>
    <xf numFmtId="167" fontId="18" fillId="0" borderId="10" xfId="13" applyNumberFormat="1" applyFont="1" applyBorder="1"/>
    <xf numFmtId="167" fontId="18" fillId="0" borderId="11" xfId="13" applyNumberFormat="1" applyFont="1" applyBorder="1"/>
    <xf numFmtId="167" fontId="18" fillId="0" borderId="0" xfId="13" applyNumberFormat="1" applyFont="1"/>
    <xf numFmtId="167" fontId="18" fillId="0" borderId="9" xfId="13" applyNumberFormat="1" applyFont="1" applyBorder="1" applyAlignment="1">
      <alignment horizontal="right"/>
    </xf>
    <xf numFmtId="167" fontId="18" fillId="0" borderId="11" xfId="75" applyNumberFormat="1" applyFont="1" applyBorder="1" applyAlignment="1">
      <alignment horizontal="right"/>
    </xf>
    <xf numFmtId="167" fontId="18" fillId="0" borderId="0" xfId="75" applyNumberFormat="1" applyFont="1" applyBorder="1"/>
    <xf numFmtId="167" fontId="18" fillId="0" borderId="10" xfId="75" applyNumberFormat="1" applyFont="1" applyBorder="1" applyAlignment="1">
      <alignment horizontal="right"/>
    </xf>
    <xf numFmtId="167" fontId="18" fillId="0" borderId="10" xfId="75" applyNumberFormat="1" applyFont="1" applyBorder="1"/>
    <xf numFmtId="167" fontId="18" fillId="0" borderId="11" xfId="75" applyNumberFormat="1" applyFont="1" applyBorder="1"/>
    <xf numFmtId="167" fontId="18" fillId="0" borderId="0" xfId="75" applyNumberFormat="1" applyFont="1" applyBorder="1" applyAlignment="1"/>
    <xf numFmtId="167" fontId="18" fillId="0" borderId="9" xfId="75" applyNumberFormat="1" applyFont="1" applyFill="1" applyBorder="1" applyAlignment="1">
      <alignment horizontal="right"/>
    </xf>
    <xf numFmtId="167" fontId="18" fillId="0" borderId="6" xfId="13" applyNumberFormat="1" applyFont="1" applyFill="1" applyBorder="1" applyAlignment="1">
      <alignment horizontal="right"/>
    </xf>
    <xf numFmtId="167" fontId="18" fillId="0" borderId="1" xfId="13" applyNumberFormat="1" applyFont="1" applyFill="1" applyBorder="1" applyAlignment="1">
      <alignment horizontal="right"/>
    </xf>
    <xf numFmtId="167" fontId="18" fillId="0" borderId="5" xfId="75" applyNumberFormat="1" applyFont="1" applyBorder="1" applyAlignment="1">
      <alignment horizontal="right"/>
    </xf>
    <xf numFmtId="183" fontId="0" fillId="0" borderId="0" xfId="0" applyBorder="1" applyAlignment="1">
      <alignment horizontal="left" indent="2"/>
    </xf>
    <xf numFmtId="183" fontId="13" fillId="0" borderId="10" xfId="0" applyFont="1" applyBorder="1" applyAlignment="1">
      <alignment horizontal="left" indent="2"/>
    </xf>
    <xf numFmtId="37" fontId="18" fillId="0" borderId="9" xfId="13" applyNumberFormat="1" applyFont="1" applyFill="1" applyBorder="1" applyAlignment="1">
      <alignment horizontal="center"/>
    </xf>
    <xf numFmtId="168" fontId="18" fillId="0" borderId="1" xfId="7" applyNumberFormat="1" applyFont="1" applyFill="1" applyBorder="1" applyAlignment="1"/>
    <xf numFmtId="167" fontId="18" fillId="0" borderId="6" xfId="13" applyNumberFormat="1" applyFont="1" applyFill="1" applyBorder="1"/>
    <xf numFmtId="167" fontId="18" fillId="0" borderId="6" xfId="75" applyNumberFormat="1" applyFont="1" applyFill="1" applyBorder="1"/>
    <xf numFmtId="167" fontId="18" fillId="0" borderId="14" xfId="13" applyNumberFormat="1" applyFont="1" applyFill="1" applyBorder="1"/>
    <xf numFmtId="167" fontId="18" fillId="0" borderId="13" xfId="13" applyNumberFormat="1" applyFont="1" applyFill="1" applyBorder="1"/>
    <xf numFmtId="167" fontId="18" fillId="0" borderId="12" xfId="13" applyNumberFormat="1" applyFont="1" applyFill="1" applyBorder="1"/>
    <xf numFmtId="167" fontId="18" fillId="0" borderId="3" xfId="16" applyNumberFormat="1" applyFont="1" applyFill="1" applyBorder="1" applyAlignment="1">
      <alignment horizontal="right"/>
    </xf>
    <xf numFmtId="167" fontId="18" fillId="0" borderId="4" xfId="13" applyNumberFormat="1" applyFont="1" applyFill="1" applyBorder="1"/>
    <xf numFmtId="167" fontId="18" fillId="0" borderId="6" xfId="16" applyNumberFormat="1" applyFont="1" applyFill="1" applyBorder="1" applyAlignment="1">
      <alignment horizontal="right"/>
    </xf>
    <xf numFmtId="167" fontId="18" fillId="0" borderId="1" xfId="13" applyNumberFormat="1" applyFont="1" applyFill="1" applyBorder="1"/>
    <xf numFmtId="167" fontId="18" fillId="0" borderId="3" xfId="13" applyNumberFormat="1" applyFont="1" applyFill="1" applyBorder="1"/>
    <xf numFmtId="167" fontId="18" fillId="0" borderId="2" xfId="13" applyNumberFormat="1" applyFont="1" applyFill="1" applyBorder="1"/>
    <xf numFmtId="167" fontId="18" fillId="0" borderId="14" xfId="13" applyNumberFormat="1" applyFont="1" applyFill="1" applyBorder="1" applyAlignment="1">
      <alignment horizontal="right"/>
    </xf>
    <xf numFmtId="167" fontId="18" fillId="0" borderId="13" xfId="13" applyNumberFormat="1" applyFont="1" applyFill="1" applyBorder="1" applyAlignment="1">
      <alignment horizontal="right"/>
    </xf>
    <xf numFmtId="167" fontId="18" fillId="0" borderId="0" xfId="13" applyNumberFormat="1" applyFont="1" applyFill="1" applyBorder="1" applyAlignment="1">
      <alignment horizontal="center"/>
    </xf>
    <xf numFmtId="167" fontId="18" fillId="0" borderId="11" xfId="13" applyNumberFormat="1" applyFont="1" applyFill="1" applyBorder="1" applyAlignment="1">
      <alignment horizontal="center"/>
    </xf>
    <xf numFmtId="167" fontId="18" fillId="0" borderId="19" xfId="13" applyNumberFormat="1" applyFont="1" applyFill="1" applyBorder="1" applyAlignment="1">
      <alignment horizontal="right"/>
    </xf>
    <xf numFmtId="167" fontId="18" fillId="0" borderId="17" xfId="13" applyNumberFormat="1" applyFont="1" applyFill="1" applyBorder="1" applyAlignment="1">
      <alignment horizontal="right"/>
    </xf>
    <xf numFmtId="167" fontId="18" fillId="0" borderId="19" xfId="13" applyNumberFormat="1" applyFont="1" applyFill="1" applyBorder="1" applyAlignment="1">
      <alignment horizontal="center"/>
    </xf>
    <xf numFmtId="167" fontId="18" fillId="0" borderId="17" xfId="13" applyNumberFormat="1" applyFont="1" applyFill="1" applyBorder="1" applyAlignment="1">
      <alignment horizontal="center"/>
    </xf>
    <xf numFmtId="183" fontId="0" fillId="0" borderId="0" xfId="0" applyFill="1" applyAlignment="1">
      <alignment wrapText="1"/>
    </xf>
    <xf numFmtId="183" fontId="0" fillId="0" borderId="0" xfId="0" applyFill="1" applyAlignment="1">
      <alignment horizontal="center"/>
    </xf>
    <xf numFmtId="181" fontId="18" fillId="0" borderId="6" xfId="1" applyNumberFormat="1" applyFont="1" applyFill="1" applyBorder="1"/>
    <xf numFmtId="181" fontId="18" fillId="0" borderId="2" xfId="1" applyNumberFormat="1" applyFont="1" applyFill="1" applyBorder="1" applyAlignment="1">
      <alignment horizontal="right"/>
    </xf>
    <xf numFmtId="181" fontId="18" fillId="0" borderId="13" xfId="1" applyNumberFormat="1" applyFont="1" applyFill="1" applyBorder="1" applyAlignment="1">
      <alignment horizontal="right"/>
    </xf>
    <xf numFmtId="181" fontId="18" fillId="0" borderId="3" xfId="1" applyNumberFormat="1" applyFont="1" applyFill="1" applyBorder="1" applyAlignment="1"/>
    <xf numFmtId="181" fontId="18" fillId="0" borderId="6" xfId="1" applyNumberFormat="1" applyFont="1" applyFill="1" applyBorder="1" applyAlignment="1"/>
    <xf numFmtId="183" fontId="0" fillId="0" borderId="0" xfId="0" applyAlignment="1">
      <alignment wrapText="1"/>
    </xf>
    <xf numFmtId="183" fontId="28" fillId="0" borderId="0" xfId="0" applyFont="1" applyAlignment="1">
      <alignment horizontal="center"/>
    </xf>
    <xf numFmtId="183" fontId="13" fillId="0" borderId="0" xfId="0" applyFont="1" applyFill="1"/>
    <xf numFmtId="169" fontId="18" fillId="0" borderId="6" xfId="75" applyNumberFormat="1" applyFont="1" applyBorder="1" applyAlignment="1">
      <alignment horizontal="right"/>
    </xf>
    <xf numFmtId="167" fontId="18" fillId="0" borderId="6" xfId="75" applyNumberFormat="1" applyFont="1" applyBorder="1" applyAlignment="1">
      <alignment horizontal="right"/>
    </xf>
    <xf numFmtId="167" fontId="18" fillId="0" borderId="1" xfId="75" applyNumberFormat="1" applyFont="1" applyBorder="1" applyAlignment="1">
      <alignment horizontal="right"/>
    </xf>
    <xf numFmtId="37" fontId="13" fillId="0" borderId="0" xfId="75" applyNumberFormat="1"/>
    <xf numFmtId="167" fontId="13" fillId="0" borderId="0" xfId="75" applyNumberFormat="1" applyBorder="1"/>
    <xf numFmtId="171" fontId="13" fillId="0" borderId="0" xfId="7" applyNumberFormat="1" applyBorder="1"/>
    <xf numFmtId="183" fontId="0" fillId="0" borderId="0" xfId="0" applyFill="1" applyAlignment="1">
      <alignment wrapText="1"/>
    </xf>
    <xf numFmtId="183" fontId="30" fillId="0" borderId="0" xfId="0" applyFont="1" applyAlignment="1">
      <alignment horizontal="center" wrapText="1"/>
    </xf>
    <xf numFmtId="183" fontId="0" fillId="0" borderId="0" xfId="0" applyAlignment="1">
      <alignment wrapText="1"/>
    </xf>
    <xf numFmtId="183" fontId="13" fillId="0" borderId="0" xfId="0" applyFont="1" applyFill="1" applyAlignment="1">
      <alignment horizontal="left"/>
    </xf>
    <xf numFmtId="183" fontId="0" fillId="0" borderId="0" xfId="0" applyAlignment="1">
      <alignment horizontal="left"/>
    </xf>
    <xf numFmtId="183" fontId="36" fillId="0" borderId="0" xfId="14" applyFont="1" applyFill="1" applyAlignment="1">
      <alignment horizontal="left"/>
    </xf>
    <xf numFmtId="168" fontId="18" fillId="0" borderId="9" xfId="16" applyNumberFormat="1" applyFont="1" applyFill="1" applyBorder="1" applyAlignment="1">
      <alignment horizontal="left"/>
    </xf>
    <xf numFmtId="169" fontId="18" fillId="0" borderId="8" xfId="75" applyNumberFormat="1" applyFont="1" applyBorder="1" applyAlignment="1">
      <alignment horizontal="right"/>
    </xf>
    <xf numFmtId="0" fontId="24" fillId="0" borderId="0" xfId="75" applyFont="1" applyAlignment="1">
      <alignment wrapText="1"/>
    </xf>
    <xf numFmtId="169" fontId="18" fillId="0" borderId="5" xfId="158" applyNumberFormat="1" applyFont="1" applyFill="1" applyBorder="1"/>
    <xf numFmtId="168" fontId="18" fillId="0" borderId="1" xfId="158" applyNumberFormat="1" applyFont="1" applyFill="1" applyBorder="1"/>
    <xf numFmtId="183" fontId="13" fillId="0" borderId="9" xfId="158" applyNumberFormat="1" applyBorder="1"/>
    <xf numFmtId="169" fontId="18" fillId="0" borderId="13" xfId="158" applyNumberFormat="1" applyFont="1" applyBorder="1"/>
    <xf numFmtId="169" fontId="18" fillId="0" borderId="1" xfId="158" applyNumberFormat="1" applyFont="1" applyBorder="1"/>
    <xf numFmtId="37" fontId="18" fillId="0" borderId="5" xfId="158" applyNumberFormat="1" applyFont="1" applyBorder="1"/>
    <xf numFmtId="37" fontId="18" fillId="0" borderId="6" xfId="158" applyNumberFormat="1" applyFont="1" applyBorder="1"/>
    <xf numFmtId="37" fontId="18" fillId="0" borderId="1" xfId="158" applyNumberFormat="1" applyFont="1" applyBorder="1"/>
    <xf numFmtId="37" fontId="18" fillId="0" borderId="5" xfId="158" applyNumberFormat="1" applyFont="1" applyBorder="1" applyAlignment="1">
      <alignment horizontal="center"/>
    </xf>
    <xf numFmtId="37" fontId="18" fillId="0" borderId="6" xfId="158" applyNumberFormat="1" applyFont="1" applyBorder="1" applyAlignment="1">
      <alignment horizontal="center"/>
    </xf>
    <xf numFmtId="37" fontId="18" fillId="0" borderId="1" xfId="158" applyNumberFormat="1" applyFont="1" applyBorder="1" applyAlignment="1">
      <alignment horizontal="center"/>
    </xf>
    <xf numFmtId="37" fontId="18" fillId="0" borderId="0" xfId="158" applyNumberFormat="1" applyFont="1" applyBorder="1" applyAlignment="1">
      <alignment horizontal="center"/>
    </xf>
    <xf numFmtId="183" fontId="13" fillId="0" borderId="0" xfId="158" applyNumberFormat="1" applyFill="1" applyBorder="1" applyAlignment="1">
      <alignment horizontal="center"/>
    </xf>
    <xf numFmtId="168" fontId="18" fillId="0" borderId="1" xfId="158" applyNumberFormat="1" applyFont="1" applyFill="1" applyBorder="1" applyAlignment="1">
      <alignment horizontal="right"/>
    </xf>
    <xf numFmtId="183" fontId="13" fillId="0" borderId="0" xfId="158" applyNumberFormat="1" applyAlignment="1">
      <alignment horizontal="center"/>
    </xf>
    <xf numFmtId="37" fontId="18" fillId="0" borderId="8" xfId="158" applyNumberFormat="1" applyFont="1" applyBorder="1" applyAlignment="1">
      <alignment horizontal="center"/>
    </xf>
    <xf numFmtId="169" fontId="18" fillId="0" borderId="0" xfId="158" applyNumberFormat="1" applyFont="1" applyBorder="1"/>
    <xf numFmtId="168" fontId="18" fillId="0" borderId="0" xfId="158" applyNumberFormat="1" applyFont="1"/>
    <xf numFmtId="183" fontId="13" fillId="0" borderId="0" xfId="158" applyNumberFormat="1"/>
    <xf numFmtId="0" fontId="24" fillId="0" borderId="10" xfId="75" applyFont="1" applyFill="1" applyBorder="1" applyAlignment="1">
      <alignment horizontal="center"/>
    </xf>
    <xf numFmtId="167" fontId="18" fillId="0" borderId="10" xfId="75" applyNumberFormat="1" applyFont="1" applyBorder="1" applyAlignment="1">
      <alignment horizontal="center"/>
    </xf>
    <xf numFmtId="183" fontId="13" fillId="0" borderId="10" xfId="158" applyNumberFormat="1" applyBorder="1" applyAlignment="1">
      <alignment horizontal="center"/>
    </xf>
    <xf numFmtId="183" fontId="17" fillId="0" borderId="3" xfId="0" applyFont="1" applyFill="1" applyBorder="1" applyAlignment="1">
      <alignment horizontal="center"/>
    </xf>
    <xf numFmtId="183" fontId="17" fillId="0" borderId="4" xfId="0" applyFont="1" applyFill="1" applyBorder="1" applyAlignment="1">
      <alignment horizontal="center"/>
    </xf>
    <xf numFmtId="0" fontId="18" fillId="0" borderId="11" xfId="75" applyFont="1" applyBorder="1" applyAlignment="1"/>
    <xf numFmtId="0" fontId="17" fillId="0" borderId="3" xfId="75" applyFont="1" applyFill="1" applyBorder="1" applyAlignment="1">
      <alignment horizontal="center"/>
    </xf>
    <xf numFmtId="0" fontId="17" fillId="0" borderId="4" xfId="75" applyFont="1" applyFill="1" applyBorder="1" applyAlignment="1">
      <alignment horizontal="center"/>
    </xf>
    <xf numFmtId="183" fontId="17" fillId="0" borderId="3" xfId="29" applyFont="1" applyFill="1" applyBorder="1" applyAlignment="1">
      <alignment horizontal="center"/>
    </xf>
    <xf numFmtId="183" fontId="13" fillId="0" borderId="3" xfId="29" applyBorder="1"/>
    <xf numFmtId="183" fontId="13" fillId="0" borderId="4" xfId="29" applyBorder="1"/>
    <xf numFmtId="0" fontId="17" fillId="0" borderId="7" xfId="75" applyFont="1" applyFill="1" applyBorder="1" applyAlignment="1">
      <alignment horizontal="center"/>
    </xf>
    <xf numFmtId="183" fontId="37" fillId="0" borderId="0" xfId="0" applyFont="1" applyFill="1" applyAlignment="1"/>
    <xf numFmtId="183" fontId="36" fillId="0" borderId="0" xfId="14" applyFont="1" applyFill="1" applyAlignment="1">
      <alignment vertical="center"/>
    </xf>
    <xf numFmtId="183" fontId="37" fillId="0" borderId="0" xfId="14" applyFont="1" applyFill="1" applyAlignment="1"/>
    <xf numFmtId="183" fontId="13" fillId="0" borderId="0" xfId="14" applyFill="1" applyAlignment="1"/>
    <xf numFmtId="183" fontId="18" fillId="0" borderId="0" xfId="0" applyFont="1" applyFill="1" applyAlignment="1">
      <alignment horizontal="left"/>
    </xf>
    <xf numFmtId="183" fontId="13" fillId="0" borderId="0" xfId="0" applyFont="1" applyFill="1" applyAlignment="1"/>
    <xf numFmtId="183" fontId="18" fillId="0" borderId="0" xfId="0" applyFont="1" applyFill="1" applyAlignment="1"/>
    <xf numFmtId="176" fontId="37" fillId="0" borderId="0" xfId="4" applyNumberFormat="1" applyFont="1" applyFill="1" applyAlignment="1"/>
    <xf numFmtId="187" fontId="36" fillId="0" borderId="0" xfId="4" applyNumberFormat="1" applyFont="1" applyFill="1" applyBorder="1" applyAlignment="1">
      <alignment horizontal="right"/>
    </xf>
    <xf numFmtId="187" fontId="36" fillId="0" borderId="0" xfId="4" quotePrefix="1" applyNumberFormat="1" applyFont="1" applyFill="1" applyBorder="1" applyAlignment="1">
      <alignment horizontal="right"/>
    </xf>
    <xf numFmtId="183" fontId="0" fillId="0" borderId="0" xfId="0" applyFill="1" applyProtection="1">
      <protection locked="0"/>
    </xf>
    <xf numFmtId="183" fontId="0" fillId="0" borderId="0" xfId="0" applyFill="1" applyBorder="1" applyProtection="1">
      <protection locked="0"/>
    </xf>
    <xf numFmtId="169" fontId="23" fillId="0" borderId="0" xfId="1" applyNumberFormat="1" applyFont="1" applyFill="1" applyBorder="1" applyProtection="1">
      <protection locked="0"/>
    </xf>
    <xf numFmtId="183" fontId="16" fillId="0" borderId="0" xfId="0" applyFont="1" applyFill="1" applyBorder="1" applyAlignment="1" applyProtection="1">
      <alignment horizontal="left"/>
      <protection locked="0"/>
    </xf>
    <xf numFmtId="183" fontId="18" fillId="0" borderId="0" xfId="0" applyFont="1" applyFill="1" applyBorder="1" applyProtection="1">
      <protection locked="0"/>
    </xf>
    <xf numFmtId="183" fontId="24" fillId="0" borderId="9" xfId="0" applyFont="1" applyFill="1" applyBorder="1" applyAlignment="1" applyProtection="1">
      <alignment horizontal="center"/>
      <protection locked="0"/>
    </xf>
    <xf numFmtId="183" fontId="0" fillId="0" borderId="3" xfId="0" applyFill="1" applyBorder="1" applyProtection="1">
      <protection locked="0"/>
    </xf>
    <xf numFmtId="183" fontId="0" fillId="0" borderId="9" xfId="0" applyFill="1" applyBorder="1" applyProtection="1">
      <protection locked="0"/>
    </xf>
    <xf numFmtId="183" fontId="24" fillId="0" borderId="0" xfId="0" applyFont="1" applyFill="1" applyBorder="1" applyAlignment="1" applyProtection="1">
      <alignment horizontal="center"/>
      <protection locked="0"/>
    </xf>
    <xf numFmtId="183" fontId="0" fillId="0" borderId="10" xfId="0" applyFill="1" applyBorder="1" applyProtection="1">
      <protection locked="0"/>
    </xf>
    <xf numFmtId="183" fontId="25" fillId="0" borderId="9" xfId="0" applyFont="1" applyFill="1" applyBorder="1" applyAlignment="1" applyProtection="1">
      <alignment horizontal="center"/>
      <protection locked="0"/>
    </xf>
    <xf numFmtId="183" fontId="24" fillId="0" borderId="6" xfId="0" applyFont="1" applyFill="1" applyBorder="1" applyAlignment="1" applyProtection="1">
      <alignment horizontal="center"/>
      <protection locked="0"/>
    </xf>
    <xf numFmtId="168" fontId="18" fillId="0" borderId="0" xfId="7" applyNumberFormat="1" applyFont="1" applyFill="1" applyBorder="1" applyAlignment="1" applyProtection="1">
      <alignment horizontal="right"/>
      <protection locked="0"/>
    </xf>
    <xf numFmtId="168" fontId="23" fillId="0" borderId="9" xfId="7" applyNumberFormat="1" applyFont="1" applyFill="1" applyBorder="1" applyAlignment="1" applyProtection="1">
      <alignment horizontal="right"/>
      <protection locked="0"/>
    </xf>
    <xf numFmtId="183" fontId="23" fillId="0" borderId="9" xfId="0" applyFont="1" applyFill="1" applyBorder="1" applyProtection="1">
      <protection locked="0"/>
    </xf>
    <xf numFmtId="168" fontId="23" fillId="0" borderId="0" xfId="7" applyNumberFormat="1" applyFont="1" applyFill="1" applyBorder="1" applyProtection="1">
      <protection locked="0"/>
    </xf>
    <xf numFmtId="168" fontId="23" fillId="0" borderId="0" xfId="7" applyNumberFormat="1" applyFont="1" applyFill="1" applyBorder="1" applyAlignment="1" applyProtection="1">
      <alignment horizontal="right"/>
      <protection locked="0"/>
    </xf>
    <xf numFmtId="183" fontId="23" fillId="0" borderId="0" xfId="0" applyFont="1" applyFill="1" applyBorder="1" applyProtection="1">
      <protection locked="0"/>
    </xf>
    <xf numFmtId="169" fontId="18" fillId="0" borderId="0" xfId="1" applyNumberFormat="1" applyFont="1" applyFill="1" applyBorder="1" applyProtection="1">
      <protection locked="0"/>
    </xf>
    <xf numFmtId="169" fontId="18" fillId="0" borderId="0" xfId="0" applyNumberFormat="1" applyFont="1" applyFill="1" applyBorder="1" applyProtection="1">
      <protection locked="0"/>
    </xf>
    <xf numFmtId="169" fontId="18" fillId="0" borderId="0" xfId="1" applyNumberFormat="1" applyFont="1" applyFill="1" applyBorder="1" applyAlignment="1" applyProtection="1">
      <alignment horizontal="right"/>
      <protection locked="0"/>
    </xf>
    <xf numFmtId="168" fontId="23" fillId="0" borderId="9" xfId="7" applyNumberFormat="1" applyFont="1" applyFill="1" applyBorder="1" applyAlignment="1" applyProtection="1">
      <alignment horizontal="left"/>
      <protection locked="0"/>
    </xf>
    <xf numFmtId="170" fontId="23" fillId="0" borderId="0" xfId="0" applyNumberFormat="1" applyFont="1" applyFill="1" applyBorder="1" applyProtection="1">
      <protection locked="0"/>
    </xf>
    <xf numFmtId="170" fontId="18" fillId="0" borderId="0" xfId="0" applyNumberFormat="1" applyFont="1" applyFill="1" applyBorder="1" applyProtection="1">
      <protection locked="0"/>
    </xf>
    <xf numFmtId="168" fontId="18" fillId="0" borderId="9" xfId="7" applyNumberFormat="1" applyFont="1" applyFill="1" applyBorder="1" applyAlignment="1" applyProtection="1">
      <alignment horizontal="right"/>
      <protection locked="0"/>
    </xf>
    <xf numFmtId="183" fontId="18" fillId="0" borderId="9" xfId="0" applyFont="1" applyFill="1" applyBorder="1" applyProtection="1">
      <protection locked="0"/>
    </xf>
    <xf numFmtId="168" fontId="18" fillId="0" borderId="11" xfId="7" applyNumberFormat="1" applyFont="1" applyFill="1" applyBorder="1" applyAlignment="1" applyProtection="1">
      <alignment horizontal="right"/>
      <protection locked="0"/>
    </xf>
    <xf numFmtId="168" fontId="18" fillId="0" borderId="0" xfId="7" applyNumberFormat="1" applyFont="1" applyFill="1" applyBorder="1" applyProtection="1">
      <protection locked="0"/>
    </xf>
    <xf numFmtId="183" fontId="13" fillId="0" borderId="0" xfId="0" applyFont="1" applyFill="1" applyProtection="1">
      <protection locked="0"/>
    </xf>
    <xf numFmtId="43" fontId="13" fillId="0" borderId="0" xfId="1" applyFont="1" applyFill="1" applyProtection="1">
      <protection locked="0"/>
    </xf>
    <xf numFmtId="169" fontId="18" fillId="0" borderId="9" xfId="1" applyNumberFormat="1" applyFont="1" applyFill="1" applyBorder="1" applyAlignment="1" applyProtection="1">
      <alignment horizontal="right"/>
      <protection locked="0"/>
    </xf>
    <xf numFmtId="181" fontId="18" fillId="0" borderId="0" xfId="1" applyNumberFormat="1" applyFont="1" applyFill="1" applyBorder="1" applyAlignment="1" applyProtection="1">
      <alignment horizontal="center"/>
      <protection locked="0"/>
    </xf>
    <xf numFmtId="183" fontId="23" fillId="0" borderId="9" xfId="0" applyFont="1" applyFill="1" applyBorder="1" applyAlignment="1" applyProtection="1">
      <alignment horizontal="center"/>
      <protection locked="0"/>
    </xf>
    <xf numFmtId="168" fontId="18" fillId="0" borderId="0" xfId="0" applyNumberFormat="1" applyFont="1" applyFill="1" applyBorder="1" applyProtection="1">
      <protection locked="0"/>
    </xf>
    <xf numFmtId="171" fontId="18" fillId="0" borderId="0" xfId="7" applyNumberFormat="1" applyFont="1" applyFill="1" applyBorder="1" applyAlignment="1" applyProtection="1">
      <alignment horizontal="right"/>
      <protection locked="0"/>
    </xf>
    <xf numFmtId="168" fontId="18" fillId="0" borderId="9" xfId="7" applyNumberFormat="1" applyFont="1" applyFill="1" applyBorder="1" applyProtection="1">
      <protection locked="0"/>
    </xf>
    <xf numFmtId="168" fontId="23" fillId="0" borderId="0" xfId="0" applyNumberFormat="1" applyFont="1" applyFill="1" applyBorder="1" applyProtection="1">
      <protection locked="0"/>
    </xf>
    <xf numFmtId="168" fontId="23" fillId="0" borderId="9" xfId="0" applyNumberFormat="1" applyFont="1" applyFill="1" applyBorder="1" applyProtection="1">
      <protection locked="0"/>
    </xf>
    <xf numFmtId="43" fontId="0" fillId="0" borderId="0" xfId="1" applyFont="1" applyFill="1" applyProtection="1">
      <protection locked="0"/>
    </xf>
    <xf numFmtId="173" fontId="18" fillId="0" borderId="0" xfId="0" applyNumberFormat="1" applyFont="1" applyFill="1" applyBorder="1" applyProtection="1">
      <protection locked="0"/>
    </xf>
    <xf numFmtId="183" fontId="23" fillId="0" borderId="6" xfId="0" applyFont="1" applyFill="1" applyBorder="1" applyProtection="1">
      <protection locked="0"/>
    </xf>
    <xf numFmtId="183" fontId="47" fillId="0" borderId="9" xfId="0" applyFont="1" applyFill="1" applyBorder="1" applyAlignment="1" applyProtection="1">
      <alignment horizontal="center"/>
      <protection locked="0"/>
    </xf>
    <xf numFmtId="183" fontId="0" fillId="0" borderId="0" xfId="0" applyFill="1" applyBorder="1" applyAlignment="1" applyProtection="1">
      <protection locked="0"/>
    </xf>
    <xf numFmtId="170" fontId="18" fillId="0" borderId="0" xfId="1" applyNumberFormat="1" applyFont="1" applyFill="1" applyBorder="1" applyProtection="1">
      <protection locked="0"/>
    </xf>
    <xf numFmtId="183" fontId="0" fillId="0" borderId="0" xfId="0" applyFill="1" applyProtection="1"/>
    <xf numFmtId="183" fontId="0" fillId="0" borderId="0" xfId="0" applyFill="1" applyBorder="1" applyProtection="1"/>
    <xf numFmtId="183" fontId="15" fillId="0" borderId="0" xfId="0" applyFont="1" applyFill="1" applyBorder="1" applyAlignment="1" applyProtection="1">
      <alignment horizontal="left"/>
    </xf>
    <xf numFmtId="183" fontId="16" fillId="0" borderId="0" xfId="0" applyFont="1" applyFill="1" applyBorder="1" applyAlignment="1" applyProtection="1">
      <alignment horizontal="left"/>
    </xf>
    <xf numFmtId="183" fontId="44" fillId="0" borderId="0" xfId="0" applyFont="1" applyFill="1" applyBorder="1" applyAlignment="1" applyProtection="1">
      <alignment horizontal="left"/>
    </xf>
    <xf numFmtId="183" fontId="17" fillId="0" borderId="0" xfId="0" applyFont="1" applyFill="1" applyBorder="1" applyProtection="1"/>
    <xf numFmtId="183" fontId="18" fillId="0" borderId="0" xfId="0" applyFont="1" applyFill="1" applyBorder="1" applyProtection="1"/>
    <xf numFmtId="183" fontId="24" fillId="0" borderId="0" xfId="0" applyFont="1" applyFill="1" applyBorder="1" applyProtection="1"/>
    <xf numFmtId="183" fontId="20" fillId="0" borderId="0" xfId="0" applyFont="1" applyFill="1" applyBorder="1" applyProtection="1"/>
    <xf numFmtId="183" fontId="0" fillId="0" borderId="10" xfId="0" applyFill="1" applyBorder="1" applyProtection="1"/>
    <xf numFmtId="183" fontId="0" fillId="0" borderId="11" xfId="0" applyFill="1" applyBorder="1" applyProtection="1"/>
    <xf numFmtId="169" fontId="23" fillId="0" borderId="10" xfId="1" applyNumberFormat="1" applyFont="1" applyFill="1" applyBorder="1" applyProtection="1"/>
    <xf numFmtId="168" fontId="18" fillId="0" borderId="0" xfId="7" applyNumberFormat="1" applyFont="1" applyFill="1" applyBorder="1" applyAlignment="1" applyProtection="1">
      <alignment horizontal="right"/>
    </xf>
    <xf numFmtId="168" fontId="23" fillId="0" borderId="11" xfId="7" applyNumberFormat="1" applyFont="1" applyFill="1" applyBorder="1" applyAlignment="1" applyProtection="1">
      <alignment horizontal="right"/>
    </xf>
    <xf numFmtId="167" fontId="18" fillId="0" borderId="0" xfId="0" applyNumberFormat="1" applyFont="1" applyFill="1" applyProtection="1"/>
    <xf numFmtId="43" fontId="23" fillId="0" borderId="10" xfId="1" applyFont="1" applyFill="1" applyBorder="1" applyProtection="1"/>
    <xf numFmtId="39" fontId="23" fillId="0" borderId="10" xfId="1" applyNumberFormat="1" applyFont="1" applyFill="1" applyBorder="1" applyProtection="1"/>
    <xf numFmtId="169" fontId="18" fillId="0" borderId="10" xfId="1" applyNumberFormat="1" applyFont="1" applyFill="1" applyBorder="1" applyProtection="1"/>
    <xf numFmtId="183" fontId="16" fillId="0" borderId="0" xfId="0" applyFont="1" applyFill="1" applyBorder="1" applyAlignment="1" applyProtection="1">
      <alignment horizontal="right"/>
    </xf>
    <xf numFmtId="168" fontId="18" fillId="0" borderId="0" xfId="0" applyNumberFormat="1" applyFont="1" applyFill="1" applyBorder="1" applyProtection="1"/>
    <xf numFmtId="177" fontId="23" fillId="0" borderId="10" xfId="0" applyNumberFormat="1" applyFont="1" applyFill="1" applyBorder="1" applyAlignment="1" applyProtection="1">
      <alignment horizontal="right"/>
    </xf>
    <xf numFmtId="168" fontId="20" fillId="0" borderId="0" xfId="0" applyNumberFormat="1" applyFont="1" applyFill="1" applyBorder="1" applyProtection="1"/>
    <xf numFmtId="183" fontId="23" fillId="0" borderId="5" xfId="0" applyFont="1" applyFill="1" applyBorder="1" applyProtection="1"/>
    <xf numFmtId="183" fontId="23" fillId="0" borderId="1" xfId="0" applyFont="1" applyFill="1" applyBorder="1" applyProtection="1"/>
    <xf numFmtId="183" fontId="23" fillId="0" borderId="0" xfId="0" applyFont="1" applyFill="1" applyProtection="1"/>
    <xf numFmtId="168" fontId="15" fillId="0" borderId="0" xfId="0" applyNumberFormat="1" applyFont="1" applyFill="1" applyBorder="1" applyProtection="1"/>
    <xf numFmtId="183" fontId="23" fillId="0" borderId="2" xfId="0" applyFont="1" applyFill="1" applyBorder="1" applyProtection="1"/>
    <xf numFmtId="183" fontId="23" fillId="0" borderId="4" xfId="0" applyFont="1" applyFill="1" applyBorder="1" applyProtection="1"/>
    <xf numFmtId="169" fontId="23" fillId="0" borderId="10" xfId="0" applyNumberFormat="1" applyFont="1" applyFill="1" applyBorder="1" applyProtection="1"/>
    <xf numFmtId="168" fontId="23" fillId="0" borderId="11" xfId="0" applyNumberFormat="1" applyFont="1" applyFill="1" applyBorder="1" applyProtection="1"/>
    <xf numFmtId="169" fontId="23" fillId="0" borderId="10" xfId="0" applyNumberFormat="1" applyFont="1" applyFill="1" applyBorder="1" applyAlignment="1" applyProtection="1">
      <alignment horizontal="right"/>
    </xf>
    <xf numFmtId="183" fontId="23" fillId="0" borderId="0" xfId="0" applyFont="1" applyFill="1" applyBorder="1" applyProtection="1"/>
    <xf numFmtId="183" fontId="0" fillId="0" borderId="0" xfId="0" applyFill="1" applyBorder="1" applyAlignment="1" applyProtection="1"/>
    <xf numFmtId="183" fontId="48" fillId="0" borderId="0" xfId="0" applyFont="1" applyFill="1" applyProtection="1"/>
    <xf numFmtId="169" fontId="23" fillId="0" borderId="0" xfId="1" applyNumberFormat="1" applyFont="1" applyFill="1" applyBorder="1" applyProtection="1"/>
    <xf numFmtId="171" fontId="0" fillId="0" borderId="0" xfId="7" applyNumberFormat="1" applyFont="1" applyFill="1" applyBorder="1" applyProtection="1"/>
    <xf numFmtId="169" fontId="0" fillId="0" borderId="0" xfId="0" applyNumberFormat="1" applyFill="1" applyBorder="1" applyProtection="1"/>
    <xf numFmtId="2" fontId="0" fillId="0" borderId="0" xfId="7" applyNumberFormat="1" applyFont="1" applyFill="1" applyBorder="1" applyProtection="1"/>
    <xf numFmtId="171" fontId="16" fillId="0" borderId="0" xfId="7" applyNumberFormat="1" applyFont="1" applyFill="1" applyBorder="1" applyAlignment="1" applyProtection="1">
      <alignment horizontal="left"/>
    </xf>
    <xf numFmtId="181" fontId="16" fillId="0" borderId="0" xfId="1" applyNumberFormat="1" applyFont="1" applyFill="1" applyBorder="1" applyAlignment="1" applyProtection="1">
      <alignment horizontal="left"/>
    </xf>
    <xf numFmtId="181" fontId="13" fillId="0" borderId="0" xfId="1" applyNumberFormat="1" applyFont="1" applyFill="1" applyBorder="1" applyAlignment="1" applyProtection="1">
      <alignment horizontal="left"/>
    </xf>
    <xf numFmtId="183" fontId="0" fillId="0" borderId="6" xfId="0" applyFill="1" applyBorder="1" applyProtection="1"/>
    <xf numFmtId="183" fontId="0" fillId="0" borderId="3" xfId="0" applyFill="1" applyBorder="1" applyProtection="1"/>
    <xf numFmtId="183" fontId="0" fillId="0" borderId="4" xfId="0" applyFill="1" applyBorder="1" applyProtection="1"/>
    <xf numFmtId="183" fontId="0" fillId="0" borderId="2" xfId="0" applyFill="1" applyBorder="1" applyProtection="1"/>
    <xf numFmtId="183" fontId="0" fillId="0" borderId="7" xfId="0" applyFill="1" applyBorder="1" applyProtection="1"/>
    <xf numFmtId="183" fontId="0" fillId="0" borderId="9" xfId="0" applyFill="1" applyBorder="1" applyProtection="1"/>
    <xf numFmtId="183" fontId="24" fillId="0" borderId="2" xfId="0" applyFont="1" applyFill="1" applyBorder="1" applyAlignment="1" applyProtection="1">
      <alignment horizontal="centerContinuous"/>
    </xf>
    <xf numFmtId="183" fontId="24" fillId="0" borderId="3" xfId="0" applyFont="1" applyFill="1" applyBorder="1" applyAlignment="1" applyProtection="1">
      <alignment horizontal="centerContinuous"/>
    </xf>
    <xf numFmtId="183" fontId="24" fillId="0" borderId="4" xfId="0" applyFont="1" applyFill="1" applyBorder="1" applyAlignment="1" applyProtection="1">
      <alignment horizontal="centerContinuous"/>
    </xf>
    <xf numFmtId="183" fontId="24" fillId="0" borderId="0" xfId="0" applyFont="1" applyFill="1" applyBorder="1" applyAlignment="1" applyProtection="1">
      <alignment horizontal="center"/>
    </xf>
    <xf numFmtId="183" fontId="24" fillId="0" borderId="7" xfId="0" applyFont="1" applyFill="1" applyBorder="1" applyAlignment="1" applyProtection="1">
      <alignment horizontal="center"/>
    </xf>
    <xf numFmtId="183" fontId="24" fillId="0" borderId="6" xfId="0" applyFont="1" applyFill="1" applyBorder="1" applyAlignment="1" applyProtection="1">
      <alignment horizontal="center"/>
    </xf>
    <xf numFmtId="183" fontId="24" fillId="0" borderId="1" xfId="0" applyFont="1" applyFill="1" applyBorder="1" applyAlignment="1" applyProtection="1">
      <alignment horizontal="center"/>
    </xf>
    <xf numFmtId="183" fontId="24" fillId="0" borderId="5" xfId="0" applyFont="1" applyFill="1" applyBorder="1" applyAlignment="1" applyProtection="1">
      <alignment horizontal="center"/>
    </xf>
    <xf numFmtId="183" fontId="24" fillId="0" borderId="8" xfId="0" applyFont="1" applyFill="1" applyBorder="1" applyAlignment="1" applyProtection="1">
      <alignment horizontal="center"/>
    </xf>
    <xf numFmtId="183" fontId="24" fillId="0" borderId="9" xfId="0" applyFont="1" applyFill="1" applyBorder="1" applyAlignment="1" applyProtection="1">
      <alignment horizontal="center"/>
    </xf>
    <xf numFmtId="183" fontId="25" fillId="0" borderId="0" xfId="0" applyFont="1" applyFill="1" applyBorder="1" applyAlignment="1" applyProtection="1">
      <alignment horizontal="center"/>
    </xf>
    <xf numFmtId="183" fontId="18" fillId="0" borderId="7" xfId="0" applyFont="1" applyFill="1" applyBorder="1" applyProtection="1"/>
    <xf numFmtId="169" fontId="23" fillId="0" borderId="11" xfId="1" applyNumberFormat="1" applyFont="1" applyFill="1" applyBorder="1" applyProtection="1"/>
    <xf numFmtId="169" fontId="23" fillId="0" borderId="9" xfId="1" applyNumberFormat="1" applyFont="1" applyFill="1" applyBorder="1" applyProtection="1"/>
    <xf numFmtId="183" fontId="23" fillId="0" borderId="9" xfId="0" applyFont="1" applyFill="1" applyBorder="1" applyProtection="1"/>
    <xf numFmtId="169" fontId="23" fillId="0" borderId="0" xfId="0" applyNumberFormat="1" applyFont="1" applyFill="1" applyBorder="1" applyProtection="1"/>
    <xf numFmtId="168" fontId="23" fillId="0" borderId="0" xfId="7" applyNumberFormat="1" applyFont="1" applyFill="1" applyBorder="1" applyProtection="1"/>
    <xf numFmtId="168" fontId="23" fillId="0" borderId="0" xfId="7" applyNumberFormat="1" applyFont="1" applyFill="1" applyBorder="1" applyAlignment="1" applyProtection="1">
      <alignment horizontal="right"/>
    </xf>
    <xf numFmtId="43" fontId="14" fillId="0" borderId="0" xfId="1" applyFont="1" applyFill="1" applyBorder="1" applyAlignment="1" applyProtection="1">
      <alignment horizontal="right"/>
    </xf>
    <xf numFmtId="169" fontId="18" fillId="0" borderId="0" xfId="1" applyNumberFormat="1" applyFont="1" applyFill="1" applyBorder="1" applyProtection="1"/>
    <xf numFmtId="169" fontId="18" fillId="0" borderId="0" xfId="0" applyNumberFormat="1" applyFont="1" applyFill="1" applyBorder="1" applyProtection="1"/>
    <xf numFmtId="169" fontId="23" fillId="0" borderId="0" xfId="1" applyNumberFormat="1" applyFont="1" applyFill="1" applyBorder="1" applyAlignment="1" applyProtection="1">
      <alignment horizontal="right"/>
    </xf>
    <xf numFmtId="169" fontId="18" fillId="0" borderId="0" xfId="1" applyNumberFormat="1" applyFont="1" applyFill="1" applyBorder="1" applyAlignment="1" applyProtection="1">
      <alignment horizontal="right"/>
    </xf>
    <xf numFmtId="169" fontId="23" fillId="0" borderId="0" xfId="1" applyNumberFormat="1" applyFont="1" applyFill="1" applyBorder="1" applyAlignment="1" applyProtection="1">
      <alignment horizontal="center"/>
    </xf>
    <xf numFmtId="169" fontId="23" fillId="0" borderId="11" xfId="1" applyNumberFormat="1" applyFont="1" applyFill="1" applyBorder="1" applyAlignment="1" applyProtection="1">
      <alignment horizontal="center"/>
    </xf>
    <xf numFmtId="183" fontId="23" fillId="0" borderId="11" xfId="0" applyFont="1" applyFill="1" applyBorder="1" applyProtection="1"/>
    <xf numFmtId="170" fontId="23" fillId="0" borderId="0" xfId="0" applyNumberFormat="1" applyFont="1" applyFill="1" applyBorder="1" applyProtection="1"/>
    <xf numFmtId="43" fontId="23" fillId="0" borderId="11" xfId="1" applyFont="1" applyFill="1" applyBorder="1" applyProtection="1"/>
    <xf numFmtId="2" fontId="23" fillId="0" borderId="0" xfId="0" applyNumberFormat="1" applyFont="1" applyFill="1" applyBorder="1" applyProtection="1"/>
    <xf numFmtId="2" fontId="23" fillId="0" borderId="11" xfId="0" applyNumberFormat="1" applyFont="1" applyFill="1" applyBorder="1" applyProtection="1"/>
    <xf numFmtId="170" fontId="23" fillId="0" borderId="9" xfId="0" applyNumberFormat="1" applyFont="1" applyFill="1" applyBorder="1" applyProtection="1"/>
    <xf numFmtId="170" fontId="23" fillId="0" borderId="11" xfId="0" applyNumberFormat="1" applyFont="1" applyFill="1" applyBorder="1" applyProtection="1"/>
    <xf numFmtId="170" fontId="23" fillId="0" borderId="0" xfId="1" applyNumberFormat="1" applyFont="1" applyFill="1" applyBorder="1" applyProtection="1"/>
    <xf numFmtId="170" fontId="18" fillId="0" borderId="0" xfId="0" applyNumberFormat="1" applyFont="1" applyFill="1" applyBorder="1" applyProtection="1"/>
    <xf numFmtId="2" fontId="18" fillId="0" borderId="0" xfId="0" applyNumberFormat="1" applyFont="1" applyFill="1" applyBorder="1" applyProtection="1"/>
    <xf numFmtId="170" fontId="23" fillId="0" borderId="9" xfId="1" applyNumberFormat="1" applyFont="1" applyFill="1" applyBorder="1" applyProtection="1"/>
    <xf numFmtId="170" fontId="23" fillId="0" borderId="11" xfId="1" applyNumberFormat="1" applyFont="1" applyFill="1" applyBorder="1" applyProtection="1"/>
    <xf numFmtId="185" fontId="23" fillId="0" borderId="0" xfId="1" applyNumberFormat="1" applyFont="1" applyFill="1" applyBorder="1" applyProtection="1"/>
    <xf numFmtId="43" fontId="23" fillId="0" borderId="0" xfId="0" applyNumberFormat="1" applyFont="1" applyFill="1" applyBorder="1" applyProtection="1"/>
    <xf numFmtId="183" fontId="23" fillId="0" borderId="9" xfId="1" applyNumberFormat="1" applyFont="1" applyFill="1" applyBorder="1" applyProtection="1"/>
    <xf numFmtId="2" fontId="23" fillId="0" borderId="11" xfId="1" applyNumberFormat="1" applyFont="1" applyFill="1" applyBorder="1" applyProtection="1"/>
    <xf numFmtId="2" fontId="23" fillId="0" borderId="9" xfId="1" applyNumberFormat="1" applyFont="1" applyFill="1" applyBorder="1" applyProtection="1"/>
    <xf numFmtId="183" fontId="23" fillId="0" borderId="11" xfId="1" applyNumberFormat="1" applyFont="1" applyFill="1" applyBorder="1" applyProtection="1"/>
    <xf numFmtId="174" fontId="23" fillId="0" borderId="0" xfId="1" applyNumberFormat="1" applyFont="1" applyFill="1" applyBorder="1" applyProtection="1"/>
    <xf numFmtId="174" fontId="23" fillId="0" borderId="11" xfId="1" applyNumberFormat="1" applyFont="1" applyFill="1" applyBorder="1" applyProtection="1"/>
    <xf numFmtId="169" fontId="18" fillId="0" borderId="11" xfId="1" applyNumberFormat="1" applyFont="1" applyFill="1" applyBorder="1" applyProtection="1"/>
    <xf numFmtId="169" fontId="18" fillId="0" borderId="9" xfId="1" applyNumberFormat="1" applyFont="1" applyFill="1" applyBorder="1" applyProtection="1"/>
    <xf numFmtId="183" fontId="18" fillId="0" borderId="9" xfId="0" applyFont="1" applyFill="1" applyBorder="1" applyProtection="1"/>
    <xf numFmtId="168" fontId="18" fillId="0" borderId="11" xfId="7" applyNumberFormat="1" applyFont="1" applyFill="1" applyBorder="1" applyAlignment="1" applyProtection="1">
      <alignment horizontal="right"/>
    </xf>
    <xf numFmtId="168" fontId="18" fillId="0" borderId="0" xfId="7" applyNumberFormat="1" applyFont="1" applyFill="1" applyBorder="1" applyProtection="1"/>
    <xf numFmtId="169" fontId="18" fillId="0" borderId="11" xfId="1" applyNumberFormat="1" applyFont="1" applyFill="1" applyBorder="1" applyAlignment="1" applyProtection="1">
      <alignment horizontal="right"/>
    </xf>
    <xf numFmtId="169" fontId="18" fillId="0" borderId="9" xfId="1" applyNumberFormat="1" applyFont="1" applyFill="1" applyBorder="1" applyAlignment="1" applyProtection="1">
      <alignment horizontal="right"/>
    </xf>
    <xf numFmtId="169" fontId="23" fillId="0" borderId="10" xfId="1" applyNumberFormat="1" applyFont="1" applyFill="1" applyBorder="1" applyAlignment="1" applyProtection="1">
      <alignment horizontal="right"/>
    </xf>
    <xf numFmtId="168" fontId="23" fillId="0" borderId="9" xfId="7" applyNumberFormat="1" applyFont="1" applyFill="1" applyBorder="1" applyProtection="1"/>
    <xf numFmtId="171" fontId="23" fillId="0" borderId="0" xfId="0" applyNumberFormat="1" applyFont="1" applyFill="1" applyBorder="1" applyProtection="1"/>
    <xf numFmtId="171" fontId="23" fillId="0" borderId="9" xfId="0" applyNumberFormat="1" applyFont="1" applyFill="1" applyBorder="1" applyProtection="1"/>
    <xf numFmtId="171" fontId="23" fillId="0" borderId="11" xfId="0" applyNumberFormat="1" applyFont="1" applyFill="1" applyBorder="1" applyProtection="1"/>
    <xf numFmtId="171" fontId="23" fillId="0" borderId="11" xfId="7" applyNumberFormat="1" applyFont="1" applyFill="1" applyBorder="1" applyProtection="1"/>
    <xf numFmtId="168" fontId="23" fillId="0" borderId="11" xfId="7" applyNumberFormat="1" applyFont="1" applyFill="1" applyBorder="1" applyProtection="1"/>
    <xf numFmtId="181" fontId="23" fillId="0" borderId="0" xfId="1" applyNumberFormat="1" applyFont="1" applyFill="1" applyBorder="1" applyAlignment="1" applyProtection="1">
      <alignment horizontal="center"/>
    </xf>
    <xf numFmtId="181" fontId="23" fillId="0" borderId="11" xfId="1" applyNumberFormat="1" applyFont="1" applyFill="1" applyBorder="1" applyAlignment="1" applyProtection="1">
      <alignment horizontal="center"/>
    </xf>
    <xf numFmtId="181" fontId="18" fillId="0" borderId="0" xfId="1" applyNumberFormat="1" applyFont="1" applyFill="1" applyBorder="1" applyAlignment="1" applyProtection="1">
      <alignment horizontal="center"/>
    </xf>
    <xf numFmtId="168" fontId="18" fillId="0" borderId="0" xfId="7" applyNumberFormat="1" applyFont="1" applyFill="1" applyBorder="1" applyAlignment="1" applyProtection="1">
      <alignment horizontal="center"/>
    </xf>
    <xf numFmtId="168" fontId="23" fillId="0" borderId="0" xfId="7" applyNumberFormat="1" applyFont="1" applyFill="1" applyBorder="1" applyAlignment="1" applyProtection="1">
      <alignment horizontal="center"/>
    </xf>
    <xf numFmtId="183" fontId="23" fillId="0" borderId="0" xfId="0" applyFont="1" applyFill="1" applyBorder="1" applyAlignment="1" applyProtection="1">
      <alignment horizontal="center"/>
    </xf>
    <xf numFmtId="183" fontId="23" fillId="0" borderId="11" xfId="0" applyFont="1" applyFill="1" applyBorder="1" applyAlignment="1" applyProtection="1">
      <alignment horizontal="center"/>
    </xf>
    <xf numFmtId="171" fontId="23" fillId="0" borderId="0" xfId="0" applyNumberFormat="1" applyFont="1" applyFill="1" applyBorder="1" applyAlignment="1" applyProtection="1">
      <alignment horizontal="center"/>
    </xf>
    <xf numFmtId="171" fontId="23" fillId="0" borderId="9" xfId="0" applyNumberFormat="1" applyFont="1" applyFill="1" applyBorder="1" applyAlignment="1" applyProtection="1">
      <alignment horizontal="center"/>
    </xf>
    <xf numFmtId="171" fontId="23" fillId="0" borderId="11" xfId="0" applyNumberFormat="1" applyFont="1" applyFill="1" applyBorder="1" applyAlignment="1" applyProtection="1">
      <alignment horizontal="center"/>
    </xf>
    <xf numFmtId="171" fontId="23" fillId="0" borderId="11" xfId="7" applyNumberFormat="1" applyFont="1" applyFill="1" applyBorder="1" applyAlignment="1" applyProtection="1">
      <alignment horizontal="center"/>
    </xf>
    <xf numFmtId="183" fontId="23" fillId="0" borderId="9" xfId="0" applyFont="1" applyFill="1" applyBorder="1" applyAlignment="1" applyProtection="1">
      <alignment horizontal="center"/>
    </xf>
    <xf numFmtId="181" fontId="23" fillId="0" borderId="9" xfId="1" applyNumberFormat="1" applyFont="1" applyFill="1" applyBorder="1" applyAlignment="1" applyProtection="1">
      <alignment horizontal="center"/>
    </xf>
    <xf numFmtId="183" fontId="18" fillId="0" borderId="11" xfId="0" applyFont="1" applyFill="1" applyBorder="1" applyProtection="1"/>
    <xf numFmtId="171" fontId="18" fillId="0" borderId="0" xfId="0" applyNumberFormat="1" applyFont="1" applyFill="1" applyBorder="1" applyAlignment="1" applyProtection="1">
      <alignment horizontal="right"/>
    </xf>
    <xf numFmtId="171" fontId="18" fillId="0" borderId="0" xfId="0" applyNumberFormat="1" applyFont="1" applyFill="1" applyBorder="1" applyProtection="1"/>
    <xf numFmtId="171" fontId="18" fillId="0" borderId="9" xfId="0" applyNumberFormat="1" applyFont="1" applyFill="1" applyBorder="1" applyProtection="1"/>
    <xf numFmtId="171" fontId="18" fillId="0" borderId="11" xfId="0" applyNumberFormat="1" applyFont="1" applyFill="1" applyBorder="1" applyProtection="1"/>
    <xf numFmtId="171" fontId="18" fillId="0" borderId="11" xfId="7" applyNumberFormat="1" applyFont="1" applyFill="1" applyBorder="1" applyProtection="1"/>
    <xf numFmtId="43" fontId="18" fillId="0" borderId="0" xfId="1" applyFont="1" applyFill="1" applyBorder="1" applyAlignment="1" applyProtection="1">
      <alignment horizontal="right"/>
    </xf>
    <xf numFmtId="43" fontId="18" fillId="0" borderId="11" xfId="1" applyFont="1" applyFill="1" applyBorder="1" applyAlignment="1" applyProtection="1">
      <alignment horizontal="right"/>
    </xf>
    <xf numFmtId="170" fontId="18" fillId="0" borderId="0" xfId="0" applyNumberFormat="1" applyFont="1" applyFill="1" applyBorder="1" applyAlignment="1" applyProtection="1">
      <alignment horizontal="right"/>
    </xf>
    <xf numFmtId="43" fontId="23" fillId="0" borderId="0" xfId="1" applyNumberFormat="1" applyFont="1" applyFill="1" applyBorder="1" applyAlignment="1" applyProtection="1"/>
    <xf numFmtId="43" fontId="18" fillId="0" borderId="0" xfId="1" applyNumberFormat="1" applyFont="1" applyFill="1" applyBorder="1" applyAlignment="1" applyProtection="1"/>
    <xf numFmtId="189" fontId="18" fillId="0" borderId="0" xfId="1" applyNumberFormat="1" applyFont="1" applyFill="1" applyBorder="1" applyAlignment="1" applyProtection="1"/>
    <xf numFmtId="172" fontId="18" fillId="0" borderId="11" xfId="0" applyNumberFormat="1" applyFont="1" applyFill="1" applyBorder="1" applyProtection="1"/>
    <xf numFmtId="172" fontId="18" fillId="0" borderId="0" xfId="0" applyNumberFormat="1" applyFont="1" applyFill="1" applyBorder="1" applyProtection="1"/>
    <xf numFmtId="175" fontId="18" fillId="0" borderId="0" xfId="0" applyNumberFormat="1" applyFont="1" applyFill="1" applyBorder="1" applyAlignment="1" applyProtection="1">
      <alignment horizontal="right"/>
    </xf>
    <xf numFmtId="170" fontId="18" fillId="0" borderId="9" xfId="0" applyNumberFormat="1" applyFont="1" applyFill="1" applyBorder="1" applyProtection="1"/>
    <xf numFmtId="170" fontId="18" fillId="0" borderId="11" xfId="0" applyNumberFormat="1" applyFont="1" applyFill="1" applyBorder="1" applyProtection="1"/>
    <xf numFmtId="39" fontId="18" fillId="0" borderId="11" xfId="0" applyNumberFormat="1" applyFont="1" applyFill="1" applyBorder="1" applyProtection="1"/>
    <xf numFmtId="43" fontId="18" fillId="0" borderId="0" xfId="1" applyFont="1" applyFill="1" applyBorder="1" applyProtection="1"/>
    <xf numFmtId="2" fontId="18" fillId="0" borderId="9" xfId="0" applyNumberFormat="1" applyFont="1" applyFill="1" applyBorder="1" applyProtection="1"/>
    <xf numFmtId="170" fontId="18" fillId="0" borderId="0" xfId="0" applyNumberFormat="1" applyFont="1" applyFill="1" applyBorder="1" applyAlignment="1" applyProtection="1"/>
    <xf numFmtId="171" fontId="18" fillId="0" borderId="0" xfId="7" applyNumberFormat="1" applyFont="1" applyFill="1" applyBorder="1" applyAlignment="1" applyProtection="1">
      <alignment horizontal="right"/>
    </xf>
    <xf numFmtId="171" fontId="23" fillId="0" borderId="0" xfId="7" applyNumberFormat="1" applyFont="1" applyFill="1" applyBorder="1" applyAlignment="1" applyProtection="1"/>
    <xf numFmtId="171" fontId="18" fillId="0" borderId="0" xfId="7" applyNumberFormat="1" applyFont="1" applyFill="1" applyBorder="1" applyAlignment="1" applyProtection="1"/>
    <xf numFmtId="171" fontId="18" fillId="0" borderId="0" xfId="7" applyNumberFormat="1" applyFont="1" applyFill="1" applyBorder="1" applyProtection="1"/>
    <xf numFmtId="168" fontId="18" fillId="0" borderId="9" xfId="7" applyNumberFormat="1" applyFont="1" applyFill="1" applyBorder="1" applyProtection="1"/>
    <xf numFmtId="168" fontId="18" fillId="0" borderId="11" xfId="7" applyNumberFormat="1" applyFont="1" applyFill="1" applyBorder="1" applyProtection="1"/>
    <xf numFmtId="168" fontId="23" fillId="0" borderId="0" xfId="0" applyNumberFormat="1" applyFont="1" applyFill="1" applyBorder="1" applyProtection="1"/>
    <xf numFmtId="177" fontId="23" fillId="0" borderId="0" xfId="0" applyNumberFormat="1" applyFont="1" applyFill="1" applyBorder="1" applyAlignment="1" applyProtection="1">
      <alignment horizontal="right"/>
    </xf>
    <xf numFmtId="168" fontId="18" fillId="0" borderId="9" xfId="0" applyNumberFormat="1" applyFont="1" applyFill="1" applyBorder="1" applyProtection="1"/>
    <xf numFmtId="168" fontId="23" fillId="0" borderId="9" xfId="0" applyNumberFormat="1" applyFont="1" applyFill="1" applyBorder="1" applyProtection="1"/>
    <xf numFmtId="173" fontId="18" fillId="0" borderId="0" xfId="0" applyNumberFormat="1" applyFont="1" applyFill="1" applyBorder="1" applyProtection="1"/>
    <xf numFmtId="173" fontId="18" fillId="0" borderId="11" xfId="0" applyNumberFormat="1" applyFont="1" applyFill="1" applyBorder="1" applyProtection="1"/>
    <xf numFmtId="178" fontId="18" fillId="0" borderId="0" xfId="0" applyNumberFormat="1" applyFont="1" applyFill="1" applyBorder="1" applyProtection="1"/>
    <xf numFmtId="178" fontId="18" fillId="0" borderId="11" xfId="0" applyNumberFormat="1" applyFont="1" applyFill="1" applyBorder="1" applyProtection="1"/>
    <xf numFmtId="173" fontId="18" fillId="0" borderId="9" xfId="0" applyNumberFormat="1" applyFont="1" applyFill="1" applyBorder="1" applyProtection="1"/>
    <xf numFmtId="173" fontId="23" fillId="0" borderId="9" xfId="0" applyNumberFormat="1" applyFont="1" applyFill="1" applyBorder="1" applyProtection="1"/>
    <xf numFmtId="183" fontId="23" fillId="0" borderId="6" xfId="0" applyFont="1" applyFill="1" applyBorder="1" applyProtection="1"/>
    <xf numFmtId="183" fontId="23" fillId="0" borderId="8" xfId="0" applyFont="1" applyFill="1" applyBorder="1" applyProtection="1"/>
    <xf numFmtId="169" fontId="23" fillId="0" borderId="6" xfId="1" applyNumberFormat="1" applyFont="1" applyFill="1" applyBorder="1" applyProtection="1"/>
    <xf numFmtId="168" fontId="23" fillId="0" borderId="1" xfId="7" applyNumberFormat="1" applyFont="1" applyFill="1" applyBorder="1" applyAlignment="1" applyProtection="1">
      <alignment horizontal="right"/>
    </xf>
    <xf numFmtId="183" fontId="51" fillId="0" borderId="0" xfId="0" applyFont="1" applyFill="1" applyProtection="1"/>
    <xf numFmtId="9" fontId="23" fillId="0" borderId="0" xfId="7" applyFont="1" applyFill="1" applyBorder="1" applyProtection="1"/>
    <xf numFmtId="183" fontId="47" fillId="0" borderId="3" xfId="0" applyFont="1" applyFill="1" applyBorder="1" applyAlignment="1" applyProtection="1">
      <alignment horizontal="center"/>
    </xf>
    <xf numFmtId="183" fontId="47" fillId="0" borderId="2" xfId="0" applyFont="1" applyFill="1" applyBorder="1" applyAlignment="1" applyProtection="1">
      <alignment horizontal="center"/>
    </xf>
    <xf numFmtId="183" fontId="47" fillId="0" borderId="0" xfId="0" applyFont="1" applyFill="1" applyBorder="1" applyAlignment="1" applyProtection="1">
      <alignment horizontal="center"/>
    </xf>
    <xf numFmtId="183" fontId="23" fillId="0" borderId="3" xfId="0" applyFont="1" applyFill="1" applyBorder="1" applyProtection="1"/>
    <xf numFmtId="183" fontId="23" fillId="0" borderId="7" xfId="0" applyFont="1" applyFill="1" applyBorder="1" applyProtection="1"/>
    <xf numFmtId="183" fontId="47" fillId="0" borderId="1" xfId="0" applyFont="1" applyFill="1" applyBorder="1" applyAlignment="1" applyProtection="1">
      <alignment horizontal="center"/>
    </xf>
    <xf numFmtId="183" fontId="47" fillId="0" borderId="6" xfId="0" applyFont="1" applyFill="1" applyBorder="1" applyAlignment="1" applyProtection="1">
      <alignment horizontal="center"/>
    </xf>
    <xf numFmtId="183" fontId="47" fillId="0" borderId="8" xfId="0" applyFont="1" applyFill="1" applyBorder="1" applyAlignment="1" applyProtection="1">
      <alignment horizontal="center"/>
    </xf>
    <xf numFmtId="183" fontId="47" fillId="0" borderId="9" xfId="0" applyFont="1" applyFill="1" applyBorder="1" applyAlignment="1" applyProtection="1">
      <alignment horizontal="center"/>
    </xf>
    <xf numFmtId="183" fontId="23" fillId="0" borderId="10" xfId="0" applyFont="1" applyFill="1" applyBorder="1" applyProtection="1"/>
    <xf numFmtId="37" fontId="23" fillId="0" borderId="0" xfId="0" applyNumberFormat="1" applyFont="1" applyFill="1" applyBorder="1" applyProtection="1"/>
    <xf numFmtId="37" fontId="23" fillId="0" borderId="11" xfId="0" applyNumberFormat="1" applyFont="1" applyFill="1" applyBorder="1" applyProtection="1"/>
    <xf numFmtId="37" fontId="23" fillId="0" borderId="10" xfId="0" applyNumberFormat="1" applyFont="1" applyFill="1" applyBorder="1" applyProtection="1"/>
    <xf numFmtId="169" fontId="23" fillId="0" borderId="9" xfId="0" applyNumberFormat="1" applyFont="1" applyFill="1" applyBorder="1" applyProtection="1"/>
    <xf numFmtId="181" fontId="23" fillId="0" borderId="0" xfId="1" applyNumberFormat="1" applyFont="1" applyFill="1" applyBorder="1" applyProtection="1"/>
    <xf numFmtId="181" fontId="23" fillId="0" borderId="11" xfId="1" applyNumberFormat="1" applyFont="1" applyFill="1" applyBorder="1" applyProtection="1"/>
    <xf numFmtId="168" fontId="23" fillId="0" borderId="10" xfId="0" applyNumberFormat="1" applyFont="1" applyFill="1" applyBorder="1" applyProtection="1"/>
    <xf numFmtId="43" fontId="23" fillId="0" borderId="0" xfId="1" applyNumberFormat="1" applyFont="1" applyFill="1" applyBorder="1" applyProtection="1"/>
    <xf numFmtId="39" fontId="23" fillId="0" borderId="10" xfId="0" applyNumberFormat="1" applyFont="1" applyFill="1" applyBorder="1" applyProtection="1"/>
    <xf numFmtId="39" fontId="23" fillId="0" borderId="0" xfId="0" applyNumberFormat="1" applyFont="1" applyFill="1" applyBorder="1" applyProtection="1"/>
    <xf numFmtId="172" fontId="23" fillId="0" borderId="11" xfId="7" applyNumberFormat="1" applyFont="1" applyFill="1" applyBorder="1" applyAlignment="1" applyProtection="1">
      <alignment horizontal="right"/>
    </xf>
    <xf numFmtId="172" fontId="23" fillId="0" borderId="0" xfId="0" applyNumberFormat="1" applyFont="1" applyFill="1" applyBorder="1" applyProtection="1"/>
    <xf numFmtId="175" fontId="23" fillId="0" borderId="0" xfId="0" applyNumberFormat="1" applyFont="1" applyFill="1" applyBorder="1" applyAlignment="1" applyProtection="1">
      <alignment horizontal="right"/>
    </xf>
    <xf numFmtId="175" fontId="23" fillId="0" borderId="11" xfId="0" applyNumberFormat="1" applyFont="1" applyFill="1" applyBorder="1" applyAlignment="1" applyProtection="1">
      <alignment horizontal="right"/>
    </xf>
    <xf numFmtId="39" fontId="23" fillId="0" borderId="11" xfId="0" applyNumberFormat="1" applyFont="1" applyFill="1" applyBorder="1" applyProtection="1"/>
    <xf numFmtId="2" fontId="23" fillId="0" borderId="9" xfId="7" applyNumberFormat="1" applyFont="1" applyFill="1" applyBorder="1" applyAlignment="1" applyProtection="1">
      <alignment horizontal="right"/>
    </xf>
    <xf numFmtId="168" fontId="23" fillId="0" borderId="10" xfId="7" applyNumberFormat="1" applyFont="1" applyFill="1" applyBorder="1" applyAlignment="1" applyProtection="1">
      <alignment horizontal="right"/>
    </xf>
    <xf numFmtId="170" fontId="23" fillId="0" borderId="10" xfId="0" applyNumberFormat="1" applyFont="1" applyFill="1" applyBorder="1" applyProtection="1"/>
    <xf numFmtId="170" fontId="23" fillId="0" borderId="11" xfId="0" applyNumberFormat="1" applyFont="1" applyFill="1" applyBorder="1" applyAlignment="1" applyProtection="1">
      <alignment horizontal="right"/>
    </xf>
    <xf numFmtId="170" fontId="23" fillId="0" borderId="0" xfId="0" applyNumberFormat="1" applyFont="1" applyFill="1" applyBorder="1" applyAlignment="1" applyProtection="1">
      <alignment horizontal="right"/>
    </xf>
    <xf numFmtId="168" fontId="18" fillId="0" borderId="10" xfId="7" applyNumberFormat="1" applyFont="1" applyFill="1" applyBorder="1" applyAlignment="1" applyProtection="1">
      <alignment horizontal="right"/>
    </xf>
    <xf numFmtId="168" fontId="18" fillId="0" borderId="9" xfId="0" applyNumberFormat="1" applyFont="1" applyFill="1" applyBorder="1" applyAlignment="1" applyProtection="1">
      <alignment horizontal="right"/>
    </xf>
    <xf numFmtId="168" fontId="23" fillId="0" borderId="9" xfId="0" applyNumberFormat="1" applyFont="1" applyFill="1" applyBorder="1" applyAlignment="1" applyProtection="1">
      <alignment horizontal="right"/>
    </xf>
    <xf numFmtId="178" fontId="23" fillId="0" borderId="10" xfId="0" applyNumberFormat="1" applyFont="1" applyFill="1" applyBorder="1" applyProtection="1"/>
    <xf numFmtId="178" fontId="18" fillId="0" borderId="10" xfId="0" applyNumberFormat="1" applyFont="1" applyFill="1" applyBorder="1" applyProtection="1"/>
    <xf numFmtId="192" fontId="18" fillId="0" borderId="0" xfId="0" applyNumberFormat="1" applyFont="1" applyFill="1" applyBorder="1" applyProtection="1"/>
    <xf numFmtId="173" fontId="18" fillId="0" borderId="10" xfId="0" applyNumberFormat="1" applyFont="1" applyFill="1" applyBorder="1" applyProtection="1"/>
    <xf numFmtId="170" fontId="23" fillId="0" borderId="6" xfId="0" applyNumberFormat="1" applyFont="1" applyFill="1" applyBorder="1" applyProtection="1"/>
    <xf numFmtId="170" fontId="23" fillId="0" borderId="1" xfId="0" applyNumberFormat="1" applyFont="1" applyFill="1" applyBorder="1" applyProtection="1"/>
    <xf numFmtId="181" fontId="0" fillId="0" borderId="0" xfId="1" applyNumberFormat="1" applyFont="1" applyFill="1" applyBorder="1" applyProtection="1"/>
    <xf numFmtId="170" fontId="18" fillId="0" borderId="0" xfId="1" applyNumberFormat="1" applyFont="1" applyFill="1" applyBorder="1" applyProtection="1"/>
    <xf numFmtId="39" fontId="18" fillId="0" borderId="0" xfId="0" applyNumberFormat="1" applyFont="1" applyFill="1" applyBorder="1" applyProtection="1"/>
    <xf numFmtId="183" fontId="0" fillId="0" borderId="0" xfId="0" applyProtection="1">
      <protection locked="0"/>
    </xf>
    <xf numFmtId="183" fontId="0" fillId="0" borderId="0" xfId="0" applyBorder="1" applyProtection="1">
      <protection locked="0"/>
    </xf>
    <xf numFmtId="181" fontId="0" fillId="0" borderId="0" xfId="1" applyNumberFormat="1" applyFont="1" applyBorder="1" applyProtection="1">
      <protection locked="0"/>
    </xf>
    <xf numFmtId="183" fontId="18" fillId="0" borderId="11" xfId="0" applyFont="1" applyBorder="1" applyProtection="1">
      <protection locked="0"/>
    </xf>
    <xf numFmtId="183" fontId="0" fillId="0" borderId="3" xfId="0" applyBorder="1" applyProtection="1">
      <protection locked="0"/>
    </xf>
    <xf numFmtId="183" fontId="0" fillId="0" borderId="9" xfId="0" applyBorder="1" applyProtection="1">
      <protection locked="0"/>
    </xf>
    <xf numFmtId="183" fontId="0" fillId="0" borderId="10" xfId="0" applyBorder="1" applyProtection="1">
      <protection locked="0"/>
    </xf>
    <xf numFmtId="183" fontId="17" fillId="0" borderId="3" xfId="0" applyFont="1" applyFill="1" applyBorder="1" applyAlignment="1" applyProtection="1">
      <alignment horizontal="center"/>
      <protection locked="0"/>
    </xf>
    <xf numFmtId="183" fontId="18" fillId="0" borderId="9" xfId="0" applyFont="1" applyBorder="1" applyProtection="1">
      <protection locked="0"/>
    </xf>
    <xf numFmtId="183" fontId="18" fillId="0" borderId="0" xfId="0" applyFont="1" applyBorder="1" applyProtection="1">
      <protection locked="0"/>
    </xf>
    <xf numFmtId="183" fontId="18" fillId="0" borderId="0" xfId="0" applyFont="1" applyProtection="1">
      <protection locked="0"/>
    </xf>
    <xf numFmtId="37" fontId="18" fillId="0" borderId="0" xfId="7" applyNumberFormat="1" applyFont="1" applyFill="1" applyBorder="1" applyAlignment="1" applyProtection="1">
      <alignment horizontal="right"/>
      <protection locked="0"/>
    </xf>
    <xf numFmtId="37" fontId="18" fillId="0" borderId="0" xfId="0" applyNumberFormat="1" applyFont="1" applyBorder="1" applyProtection="1">
      <protection locked="0"/>
    </xf>
    <xf numFmtId="169" fontId="18" fillId="0" borderId="0" xfId="0" applyNumberFormat="1" applyFont="1" applyBorder="1" applyProtection="1">
      <protection locked="0"/>
    </xf>
    <xf numFmtId="37" fontId="18" fillId="0" borderId="13" xfId="7" applyNumberFormat="1" applyFont="1" applyFill="1" applyBorder="1" applyAlignment="1" applyProtection="1">
      <alignment horizontal="right"/>
      <protection locked="0"/>
    </xf>
    <xf numFmtId="181" fontId="18" fillId="0" borderId="0" xfId="1" applyNumberFormat="1" applyFont="1" applyFill="1" applyBorder="1" applyAlignment="1" applyProtection="1">
      <alignment horizontal="right"/>
      <protection locked="0"/>
    </xf>
    <xf numFmtId="181" fontId="18" fillId="0" borderId="0" xfId="1" applyNumberFormat="1" applyFont="1" applyBorder="1" applyProtection="1">
      <protection locked="0"/>
    </xf>
    <xf numFmtId="37" fontId="18" fillId="0" borderId="6" xfId="7" applyNumberFormat="1" applyFont="1" applyFill="1" applyBorder="1" applyAlignment="1" applyProtection="1">
      <alignment horizontal="right"/>
      <protection locked="0"/>
    </xf>
    <xf numFmtId="181" fontId="18" fillId="0" borderId="6" xfId="1" applyNumberFormat="1" applyFont="1" applyFill="1" applyBorder="1" applyAlignment="1" applyProtection="1">
      <alignment horizontal="right"/>
      <protection locked="0"/>
    </xf>
    <xf numFmtId="181" fontId="18" fillId="0" borderId="6" xfId="1" applyNumberFormat="1" applyFont="1" applyBorder="1" applyProtection="1">
      <protection locked="0"/>
    </xf>
    <xf numFmtId="169" fontId="18" fillId="0" borderId="0" xfId="0" applyNumberFormat="1" applyFont="1" applyFill="1" applyProtection="1">
      <protection locked="0"/>
    </xf>
    <xf numFmtId="183" fontId="18" fillId="0" borderId="0" xfId="0" applyFont="1" applyFill="1" applyProtection="1">
      <protection locked="0"/>
    </xf>
    <xf numFmtId="168" fontId="18" fillId="0" borderId="9" xfId="7" applyNumberFormat="1" applyFont="1" applyFill="1" applyBorder="1" applyAlignment="1" applyProtection="1">
      <alignment horizontal="left"/>
      <protection locked="0"/>
    </xf>
    <xf numFmtId="37" fontId="18" fillId="0" borderId="0" xfId="0" applyNumberFormat="1" applyFont="1" applyFill="1" applyBorder="1" applyProtection="1">
      <protection locked="0"/>
    </xf>
    <xf numFmtId="37" fontId="18" fillId="0" borderId="13" xfId="1" applyNumberFormat="1" applyFont="1" applyFill="1" applyBorder="1" applyProtection="1">
      <protection locked="0"/>
    </xf>
    <xf numFmtId="181" fontId="18" fillId="0" borderId="0" xfId="1" applyNumberFormat="1" applyFont="1" applyFill="1" applyBorder="1" applyProtection="1">
      <protection locked="0"/>
    </xf>
    <xf numFmtId="37" fontId="18" fillId="0" borderId="0" xfId="1" applyNumberFormat="1" applyFont="1" applyFill="1" applyBorder="1" applyProtection="1">
      <protection locked="0"/>
    </xf>
    <xf numFmtId="183" fontId="27" fillId="0" borderId="0" xfId="0" applyFont="1" applyProtection="1">
      <protection locked="0"/>
    </xf>
    <xf numFmtId="181" fontId="18" fillId="0" borderId="13" xfId="1" applyNumberFormat="1" applyFont="1" applyFill="1" applyBorder="1" applyProtection="1">
      <protection locked="0"/>
    </xf>
    <xf numFmtId="181" fontId="18" fillId="0" borderId="19" xfId="1" applyNumberFormat="1" applyFont="1" applyFill="1" applyBorder="1" applyProtection="1">
      <protection locked="0"/>
    </xf>
    <xf numFmtId="181" fontId="18" fillId="0" borderId="13" xfId="1" applyNumberFormat="1" applyFont="1" applyBorder="1" applyProtection="1">
      <protection locked="0"/>
    </xf>
    <xf numFmtId="168" fontId="18" fillId="0" borderId="0" xfId="0" applyNumberFormat="1" applyFont="1" applyBorder="1" applyProtection="1">
      <protection locked="0"/>
    </xf>
    <xf numFmtId="185" fontId="18" fillId="0" borderId="0" xfId="7" applyNumberFormat="1" applyFont="1" applyFill="1" applyBorder="1" applyAlignment="1" applyProtection="1">
      <alignment horizontal="right"/>
      <protection locked="0"/>
    </xf>
    <xf numFmtId="183" fontId="18" fillId="0" borderId="6" xfId="0" applyFont="1" applyFill="1" applyBorder="1" applyProtection="1">
      <protection locked="0"/>
    </xf>
    <xf numFmtId="183" fontId="24" fillId="0" borderId="3" xfId="0" applyFont="1" applyFill="1" applyBorder="1" applyAlignment="1" applyProtection="1">
      <alignment horizontal="center"/>
      <protection locked="0"/>
    </xf>
    <xf numFmtId="183" fontId="18" fillId="0" borderId="9" xfId="0" applyFont="1" applyFill="1" applyBorder="1" applyAlignment="1" applyProtection="1">
      <alignment horizontal="center"/>
      <protection locked="0"/>
    </xf>
    <xf numFmtId="43" fontId="0" fillId="0" borderId="0" xfId="1" applyFont="1" applyProtection="1">
      <protection locked="0"/>
    </xf>
    <xf numFmtId="181" fontId="18" fillId="0" borderId="6" xfId="1" applyNumberFormat="1" applyFont="1" applyFill="1" applyBorder="1" applyProtection="1">
      <protection locked="0"/>
    </xf>
    <xf numFmtId="181" fontId="0" fillId="0" borderId="0" xfId="1" applyNumberFormat="1" applyFont="1" applyProtection="1">
      <protection locked="0"/>
    </xf>
    <xf numFmtId="183" fontId="0" fillId="0" borderId="0" xfId="0" applyProtection="1"/>
    <xf numFmtId="183" fontId="0" fillId="0" borderId="0" xfId="0" applyBorder="1" applyProtection="1"/>
    <xf numFmtId="183" fontId="15" fillId="0" borderId="0" xfId="0" applyFont="1" applyProtection="1"/>
    <xf numFmtId="183" fontId="18" fillId="0" borderId="11" xfId="0" applyFont="1" applyBorder="1" applyProtection="1"/>
    <xf numFmtId="183" fontId="25" fillId="0" borderId="4" xfId="0" applyFont="1" applyFill="1" applyBorder="1" applyAlignment="1" applyProtection="1">
      <alignment horizontal="center"/>
    </xf>
    <xf numFmtId="183" fontId="18" fillId="0" borderId="10" xfId="0" applyFont="1" applyBorder="1" applyProtection="1"/>
    <xf numFmtId="169" fontId="18" fillId="0" borderId="12" xfId="1" applyNumberFormat="1" applyFont="1" applyFill="1" applyBorder="1" applyProtection="1"/>
    <xf numFmtId="168" fontId="18" fillId="0" borderId="14" xfId="7" applyNumberFormat="1" applyFont="1" applyFill="1" applyBorder="1" applyAlignment="1" applyProtection="1">
      <alignment horizontal="right"/>
    </xf>
    <xf numFmtId="169" fontId="18" fillId="0" borderId="5" xfId="1" applyNumberFormat="1" applyFont="1" applyFill="1" applyBorder="1" applyProtection="1"/>
    <xf numFmtId="168" fontId="18" fillId="0" borderId="1" xfId="7" applyNumberFormat="1" applyFont="1" applyFill="1" applyBorder="1" applyAlignment="1" applyProtection="1">
      <alignment horizontal="right"/>
    </xf>
    <xf numFmtId="183" fontId="18" fillId="0" borderId="0" xfId="0" applyFont="1" applyProtection="1"/>
    <xf numFmtId="167" fontId="18" fillId="0" borderId="0" xfId="0" applyNumberFormat="1" applyFont="1" applyFill="1" applyBorder="1" applyProtection="1"/>
    <xf numFmtId="181" fontId="18" fillId="0" borderId="12" xfId="1" applyNumberFormat="1" applyFont="1" applyFill="1" applyBorder="1" applyProtection="1"/>
    <xf numFmtId="37" fontId="18" fillId="0" borderId="10" xfId="1" applyNumberFormat="1" applyFont="1" applyFill="1" applyBorder="1" applyProtection="1"/>
    <xf numFmtId="183" fontId="24" fillId="0" borderId="0" xfId="0" applyFont="1" applyProtection="1"/>
    <xf numFmtId="181" fontId="18" fillId="0" borderId="10" xfId="1" applyNumberFormat="1" applyFont="1" applyFill="1" applyBorder="1" applyProtection="1"/>
    <xf numFmtId="183" fontId="36" fillId="0" borderId="0" xfId="0" applyFont="1" applyProtection="1"/>
    <xf numFmtId="168" fontId="18" fillId="0" borderId="17" xfId="7" applyNumberFormat="1" applyFont="1" applyFill="1" applyBorder="1" applyAlignment="1" applyProtection="1">
      <alignment horizontal="right"/>
    </xf>
    <xf numFmtId="183" fontId="18" fillId="0" borderId="0" xfId="0" applyFont="1" applyFill="1" applyProtection="1"/>
    <xf numFmtId="177" fontId="18" fillId="0" borderId="0" xfId="0" applyNumberFormat="1" applyFont="1" applyFill="1" applyBorder="1" applyAlignment="1" applyProtection="1">
      <alignment horizontal="right"/>
    </xf>
    <xf numFmtId="168" fontId="18" fillId="0" borderId="0" xfId="0" applyNumberFormat="1" applyFont="1" applyProtection="1"/>
    <xf numFmtId="168" fontId="18" fillId="0" borderId="0" xfId="0" applyNumberFormat="1" applyFont="1" applyFill="1" applyProtection="1"/>
    <xf numFmtId="181" fontId="18" fillId="0" borderId="0" xfId="1" applyNumberFormat="1" applyFont="1" applyFill="1" applyBorder="1" applyAlignment="1" applyProtection="1">
      <alignment horizontal="right"/>
    </xf>
    <xf numFmtId="175" fontId="18" fillId="0" borderId="0" xfId="1" applyNumberFormat="1" applyFont="1" applyFill="1" applyBorder="1" applyProtection="1"/>
    <xf numFmtId="183" fontId="17" fillId="0" borderId="0" xfId="0" applyFont="1" applyProtection="1"/>
    <xf numFmtId="183" fontId="18" fillId="0" borderId="0" xfId="0" applyFont="1" applyBorder="1" applyProtection="1"/>
    <xf numFmtId="169" fontId="18" fillId="0" borderId="10" xfId="0" applyNumberFormat="1" applyFont="1" applyFill="1" applyBorder="1" applyProtection="1"/>
    <xf numFmtId="168" fontId="18" fillId="0" borderId="4" xfId="7" applyNumberFormat="1" applyFont="1" applyFill="1" applyBorder="1" applyAlignment="1" applyProtection="1">
      <alignment horizontal="right"/>
    </xf>
    <xf numFmtId="169" fontId="18" fillId="0" borderId="5" xfId="0" applyNumberFormat="1" applyFont="1" applyFill="1" applyBorder="1" applyProtection="1"/>
    <xf numFmtId="168" fontId="41" fillId="0" borderId="0" xfId="7" applyNumberFormat="1" applyFont="1" applyFill="1" applyBorder="1" applyAlignment="1" applyProtection="1">
      <alignment horizontal="right"/>
    </xf>
    <xf numFmtId="37" fontId="0" fillId="0" borderId="0" xfId="0" applyNumberFormat="1" applyBorder="1" applyProtection="1"/>
    <xf numFmtId="2" fontId="0" fillId="0" borderId="0" xfId="0" applyNumberFormat="1" applyBorder="1" applyProtection="1"/>
    <xf numFmtId="181" fontId="0" fillId="0" borderId="0" xfId="1" applyNumberFormat="1" applyFont="1" applyBorder="1" applyProtection="1"/>
    <xf numFmtId="171" fontId="0" fillId="0" borderId="0" xfId="7" applyNumberFormat="1" applyFont="1" applyBorder="1" applyProtection="1"/>
    <xf numFmtId="183" fontId="0" fillId="0" borderId="0" xfId="0" applyBorder="1" applyAlignment="1" applyProtection="1"/>
    <xf numFmtId="183" fontId="0" fillId="0" borderId="4" xfId="0" applyBorder="1" applyProtection="1"/>
    <xf numFmtId="183" fontId="0" fillId="0" borderId="2" xfId="0" applyBorder="1" applyProtection="1"/>
    <xf numFmtId="183" fontId="0" fillId="0" borderId="3" xfId="0" applyBorder="1" applyProtection="1"/>
    <xf numFmtId="183" fontId="0" fillId="0" borderId="7" xfId="0" applyBorder="1" applyProtection="1"/>
    <xf numFmtId="183" fontId="0" fillId="0" borderId="9" xfId="0" applyBorder="1" applyProtection="1"/>
    <xf numFmtId="183" fontId="0" fillId="0" borderId="10" xfId="0" applyBorder="1" applyProtection="1"/>
    <xf numFmtId="183" fontId="17" fillId="0" borderId="3" xfId="0" applyFont="1" applyFill="1" applyBorder="1" applyAlignment="1" applyProtection="1">
      <alignment horizontal="center"/>
    </xf>
    <xf numFmtId="183" fontId="17" fillId="0" borderId="4" xfId="0" applyFont="1" applyFill="1" applyBorder="1" applyAlignment="1" applyProtection="1">
      <alignment horizontal="center"/>
    </xf>
    <xf numFmtId="183" fontId="17" fillId="0" borderId="2" xfId="0" applyFont="1" applyFill="1" applyBorder="1" applyAlignment="1" applyProtection="1">
      <alignment horizontal="center"/>
    </xf>
    <xf numFmtId="183" fontId="24" fillId="0" borderId="11" xfId="0" applyFont="1" applyFill="1" applyBorder="1" applyAlignment="1" applyProtection="1">
      <alignment horizontal="center"/>
    </xf>
    <xf numFmtId="183" fontId="17" fillId="0" borderId="7" xfId="0" applyFont="1" applyFill="1" applyBorder="1" applyAlignment="1" applyProtection="1">
      <alignment horizontal="center"/>
    </xf>
    <xf numFmtId="183" fontId="18" fillId="0" borderId="9" xfId="0" applyFont="1" applyBorder="1" applyProtection="1"/>
    <xf numFmtId="37" fontId="18" fillId="0" borderId="0" xfId="7" applyNumberFormat="1" applyFont="1" applyFill="1" applyBorder="1" applyAlignment="1" applyProtection="1">
      <alignment horizontal="right"/>
    </xf>
    <xf numFmtId="37" fontId="18" fillId="0" borderId="11" xfId="1" applyNumberFormat="1" applyFont="1" applyFill="1" applyBorder="1" applyProtection="1"/>
    <xf numFmtId="169" fontId="18" fillId="0" borderId="0" xfId="0" applyNumberFormat="1" applyFont="1" applyProtection="1"/>
    <xf numFmtId="169" fontId="18" fillId="0" borderId="11" xfId="0" applyNumberFormat="1" applyFont="1" applyBorder="1" applyProtection="1"/>
    <xf numFmtId="169" fontId="18" fillId="0" borderId="9" xfId="0" applyNumberFormat="1" applyFont="1" applyBorder="1" applyProtection="1"/>
    <xf numFmtId="37" fontId="18" fillId="0" borderId="0" xfId="0" applyNumberFormat="1" applyFont="1" applyBorder="1" applyProtection="1"/>
    <xf numFmtId="169" fontId="18" fillId="0" borderId="0" xfId="0" applyNumberFormat="1" applyFont="1" applyBorder="1" applyProtection="1"/>
    <xf numFmtId="37" fontId="18" fillId="0" borderId="9" xfId="1" applyNumberFormat="1" applyFont="1" applyFill="1" applyBorder="1" applyProtection="1"/>
    <xf numFmtId="37" fontId="18" fillId="0" borderId="13" xfId="7" applyNumberFormat="1" applyFont="1" applyFill="1" applyBorder="1" applyAlignment="1" applyProtection="1">
      <alignment horizontal="right"/>
    </xf>
    <xf numFmtId="37" fontId="18" fillId="0" borderId="14" xfId="7" applyNumberFormat="1" applyFont="1" applyFill="1" applyBorder="1" applyAlignment="1" applyProtection="1">
      <alignment horizontal="right"/>
    </xf>
    <xf numFmtId="37" fontId="18" fillId="0" borderId="14" xfId="1" applyNumberFormat="1" applyFont="1" applyFill="1" applyBorder="1" applyProtection="1"/>
    <xf numFmtId="169" fontId="18" fillId="0" borderId="13" xfId="0" applyNumberFormat="1" applyFont="1" applyBorder="1" applyProtection="1"/>
    <xf numFmtId="169" fontId="18" fillId="0" borderId="14" xfId="0" applyNumberFormat="1" applyFont="1" applyBorder="1" applyProtection="1"/>
    <xf numFmtId="37" fontId="18" fillId="0" borderId="15" xfId="1" applyNumberFormat="1" applyFont="1" applyFill="1" applyBorder="1" applyProtection="1"/>
    <xf numFmtId="169" fontId="18" fillId="0" borderId="15" xfId="1" applyNumberFormat="1" applyFont="1" applyFill="1" applyBorder="1" applyProtection="1"/>
    <xf numFmtId="181" fontId="18" fillId="0" borderId="11" xfId="1" applyNumberFormat="1" applyFont="1" applyFill="1" applyBorder="1" applyProtection="1"/>
    <xf numFmtId="181" fontId="18" fillId="0" borderId="0" xfId="1" applyNumberFormat="1" applyFont="1" applyBorder="1" applyProtection="1"/>
    <xf numFmtId="181" fontId="18" fillId="0" borderId="0" xfId="1" applyNumberFormat="1" applyFont="1" applyProtection="1"/>
    <xf numFmtId="181" fontId="18" fillId="0" borderId="11" xfId="1" applyNumberFormat="1" applyFont="1" applyBorder="1" applyProtection="1"/>
    <xf numFmtId="181" fontId="18" fillId="0" borderId="9" xfId="1" applyNumberFormat="1" applyFont="1" applyBorder="1" applyProtection="1"/>
    <xf numFmtId="37" fontId="18" fillId="0" borderId="6" xfId="7" applyNumberFormat="1" applyFont="1" applyFill="1" applyBorder="1" applyAlignment="1" applyProtection="1">
      <alignment horizontal="right"/>
    </xf>
    <xf numFmtId="37" fontId="18" fillId="0" borderId="1" xfId="1" applyNumberFormat="1" applyFont="1" applyFill="1" applyBorder="1" applyProtection="1"/>
    <xf numFmtId="181" fontId="18" fillId="0" borderId="6" xfId="1" applyNumberFormat="1" applyFont="1" applyFill="1" applyBorder="1" applyAlignment="1" applyProtection="1">
      <alignment horizontal="right"/>
    </xf>
    <xf numFmtId="181" fontId="18" fillId="0" borderId="1" xfId="1" applyNumberFormat="1" applyFont="1" applyFill="1" applyBorder="1" applyProtection="1"/>
    <xf numFmtId="181" fontId="18" fillId="0" borderId="6" xfId="1" applyNumberFormat="1" applyFont="1" applyBorder="1" applyProtection="1"/>
    <xf numFmtId="37" fontId="18" fillId="0" borderId="6" xfId="0" applyNumberFormat="1" applyFont="1" applyBorder="1" applyProtection="1"/>
    <xf numFmtId="169" fontId="18" fillId="0" borderId="6" xfId="0" applyNumberFormat="1" applyFont="1" applyBorder="1" applyProtection="1"/>
    <xf numFmtId="37" fontId="18" fillId="0" borderId="8" xfId="1" applyNumberFormat="1" applyFont="1" applyFill="1" applyBorder="1" applyProtection="1"/>
    <xf numFmtId="37" fontId="18" fillId="0" borderId="11" xfId="7" applyNumberFormat="1" applyFont="1" applyFill="1" applyBorder="1" applyAlignment="1" applyProtection="1">
      <alignment horizontal="right"/>
    </xf>
    <xf numFmtId="169" fontId="18" fillId="0" borderId="0" xfId="0" applyNumberFormat="1" applyFont="1" applyFill="1" applyProtection="1"/>
    <xf numFmtId="169" fontId="18" fillId="0" borderId="11" xfId="0" applyNumberFormat="1" applyFont="1" applyFill="1" applyBorder="1" applyProtection="1"/>
    <xf numFmtId="169" fontId="18" fillId="0" borderId="9" xfId="0" applyNumberFormat="1" applyFont="1" applyFill="1" applyBorder="1" applyProtection="1"/>
    <xf numFmtId="37" fontId="18" fillId="0" borderId="0" xfId="0" applyNumberFormat="1" applyFont="1" applyFill="1" applyBorder="1" applyProtection="1"/>
    <xf numFmtId="43" fontId="18" fillId="0" borderId="9" xfId="1" applyFont="1" applyFill="1" applyBorder="1" applyProtection="1"/>
    <xf numFmtId="37" fontId="18" fillId="0" borderId="9" xfId="0" applyNumberFormat="1" applyFont="1" applyFill="1" applyBorder="1" applyProtection="1"/>
    <xf numFmtId="181" fontId="18" fillId="0" borderId="9" xfId="1" applyNumberFormat="1" applyFont="1" applyFill="1" applyBorder="1" applyProtection="1"/>
    <xf numFmtId="37" fontId="18" fillId="0" borderId="13" xfId="1" applyNumberFormat="1" applyFont="1" applyFill="1" applyBorder="1" applyProtection="1"/>
    <xf numFmtId="169" fontId="18" fillId="0" borderId="15" xfId="0" applyNumberFormat="1" applyFont="1" applyFill="1" applyBorder="1" applyProtection="1"/>
    <xf numFmtId="181" fontId="18" fillId="0" borderId="15" xfId="1" applyNumberFormat="1" applyFont="1" applyFill="1" applyBorder="1" applyProtection="1"/>
    <xf numFmtId="181" fontId="18" fillId="0" borderId="0" xfId="1" applyNumberFormat="1" applyFont="1" applyFill="1" applyBorder="1" applyProtection="1"/>
    <xf numFmtId="37" fontId="18" fillId="0" borderId="0" xfId="1" applyNumberFormat="1" applyFont="1" applyFill="1" applyBorder="1" applyProtection="1"/>
    <xf numFmtId="181" fontId="18" fillId="0" borderId="0" xfId="1" applyNumberFormat="1" applyFont="1" applyFill="1" applyProtection="1"/>
    <xf numFmtId="37" fontId="18" fillId="0" borderId="11" xfId="0" applyNumberFormat="1" applyFont="1" applyFill="1" applyBorder="1" applyProtection="1"/>
    <xf numFmtId="37" fontId="18" fillId="0" borderId="9" xfId="0" applyNumberFormat="1" applyFont="1" applyBorder="1" applyProtection="1"/>
    <xf numFmtId="181" fontId="18" fillId="0" borderId="8" xfId="1" applyNumberFormat="1" applyFont="1" applyFill="1" applyBorder="1" applyProtection="1"/>
    <xf numFmtId="169" fontId="18" fillId="0" borderId="8" xfId="1" applyNumberFormat="1" applyFont="1" applyFill="1" applyBorder="1" applyProtection="1"/>
    <xf numFmtId="181" fontId="18" fillId="0" borderId="13" xfId="1" applyNumberFormat="1" applyFont="1" applyFill="1" applyBorder="1" applyProtection="1"/>
    <xf numFmtId="181" fontId="18" fillId="0" borderId="14" xfId="1" applyNumberFormat="1" applyFont="1" applyFill="1" applyBorder="1" applyProtection="1"/>
    <xf numFmtId="181" fontId="18" fillId="0" borderId="17" xfId="1" applyNumberFormat="1" applyFont="1" applyFill="1" applyBorder="1" applyProtection="1"/>
    <xf numFmtId="181" fontId="18" fillId="0" borderId="19" xfId="1" applyNumberFormat="1" applyFont="1" applyFill="1" applyBorder="1" applyProtection="1"/>
    <xf numFmtId="181" fontId="18" fillId="0" borderId="18" xfId="1" applyNumberFormat="1" applyFont="1" applyFill="1" applyBorder="1" applyProtection="1"/>
    <xf numFmtId="181" fontId="18" fillId="0" borderId="13" xfId="1" applyNumberFormat="1" applyFont="1" applyBorder="1" applyProtection="1"/>
    <xf numFmtId="169" fontId="18" fillId="0" borderId="8" xfId="0" applyNumberFormat="1" applyFont="1" applyBorder="1" applyProtection="1"/>
    <xf numFmtId="170" fontId="18" fillId="0" borderId="0" xfId="0" applyNumberFormat="1" applyFont="1" applyBorder="1" applyProtection="1"/>
    <xf numFmtId="170" fontId="18" fillId="0" borderId="0" xfId="0" applyNumberFormat="1" applyFont="1" applyFill="1" applyProtection="1"/>
    <xf numFmtId="168" fontId="18" fillId="0" borderId="0" xfId="0" applyNumberFormat="1" applyFont="1" applyBorder="1" applyProtection="1"/>
    <xf numFmtId="168" fontId="18" fillId="0" borderId="0" xfId="7" applyNumberFormat="1" applyFont="1" applyFill="1" applyProtection="1"/>
    <xf numFmtId="171" fontId="18" fillId="0" borderId="0" xfId="7" applyNumberFormat="1" applyFont="1" applyFill="1" applyProtection="1"/>
    <xf numFmtId="185" fontId="18" fillId="0" borderId="0" xfId="7" applyNumberFormat="1" applyFont="1" applyFill="1" applyBorder="1" applyAlignment="1" applyProtection="1">
      <alignment horizontal="right"/>
    </xf>
    <xf numFmtId="43" fontId="18" fillId="0" borderId="0" xfId="1" applyFont="1" applyFill="1" applyProtection="1"/>
    <xf numFmtId="183" fontId="18" fillId="0" borderId="6" xfId="0" applyFont="1" applyFill="1" applyBorder="1" applyProtection="1"/>
    <xf numFmtId="183" fontId="18" fillId="0" borderId="4" xfId="0" applyFont="1" applyFill="1" applyBorder="1" applyProtection="1"/>
    <xf numFmtId="183" fontId="18" fillId="0" borderId="3" xfId="0" applyFont="1" applyFill="1" applyBorder="1" applyProtection="1"/>
    <xf numFmtId="183" fontId="18" fillId="0" borderId="0" xfId="0" applyFont="1" applyFill="1" applyBorder="1" applyAlignment="1" applyProtection="1">
      <alignment horizontal="center"/>
    </xf>
    <xf numFmtId="37" fontId="18" fillId="0" borderId="4" xfId="0" applyNumberFormat="1" applyFont="1" applyFill="1" applyBorder="1" applyProtection="1"/>
    <xf numFmtId="37" fontId="18" fillId="0" borderId="3" xfId="0" applyNumberFormat="1" applyFont="1" applyFill="1" applyBorder="1" applyProtection="1"/>
    <xf numFmtId="168" fontId="18" fillId="0" borderId="4" xfId="0" applyNumberFormat="1" applyFont="1" applyFill="1" applyBorder="1" applyProtection="1"/>
    <xf numFmtId="169" fontId="18" fillId="0" borderId="7" xfId="1" applyNumberFormat="1" applyFont="1" applyFill="1" applyBorder="1" applyProtection="1"/>
    <xf numFmtId="37" fontId="18" fillId="0" borderId="10" xfId="0" applyNumberFormat="1" applyFont="1" applyFill="1" applyBorder="1" applyProtection="1"/>
    <xf numFmtId="168" fontId="18" fillId="0" borderId="11" xfId="0" applyNumberFormat="1" applyFont="1" applyFill="1" applyBorder="1" applyProtection="1"/>
    <xf numFmtId="168" fontId="18" fillId="0" borderId="11" xfId="0" applyNumberFormat="1" applyFont="1" applyFill="1" applyBorder="1" applyAlignment="1" applyProtection="1">
      <alignment horizontal="right"/>
    </xf>
    <xf numFmtId="37" fontId="18" fillId="0" borderId="1" xfId="0" applyNumberFormat="1" applyFont="1" applyFill="1" applyBorder="1" applyProtection="1"/>
    <xf numFmtId="37" fontId="18" fillId="0" borderId="6" xfId="0" applyNumberFormat="1" applyFont="1" applyFill="1" applyBorder="1" applyProtection="1"/>
    <xf numFmtId="169" fontId="18" fillId="0" borderId="6" xfId="1" applyNumberFormat="1" applyFont="1" applyFill="1" applyBorder="1" applyProtection="1"/>
    <xf numFmtId="181" fontId="18" fillId="0" borderId="6" xfId="1" applyNumberFormat="1" applyFont="1" applyFill="1" applyBorder="1" applyProtection="1"/>
    <xf numFmtId="37" fontId="18" fillId="0" borderId="5" xfId="0" applyNumberFormat="1" applyFont="1" applyFill="1" applyBorder="1" applyProtection="1"/>
    <xf numFmtId="37" fontId="18" fillId="0" borderId="8" xfId="0" applyNumberFormat="1" applyFont="1" applyFill="1" applyBorder="1" applyProtection="1"/>
    <xf numFmtId="181" fontId="18" fillId="0" borderId="5" xfId="1" applyNumberFormat="1" applyFont="1" applyFill="1" applyBorder="1" applyProtection="1"/>
    <xf numFmtId="169" fontId="18" fillId="0" borderId="6" xfId="0" applyNumberFormat="1" applyFont="1" applyFill="1" applyBorder="1" applyProtection="1"/>
    <xf numFmtId="168" fontId="18" fillId="0" borderId="1" xfId="0" applyNumberFormat="1" applyFont="1" applyFill="1" applyBorder="1" applyAlignment="1" applyProtection="1">
      <alignment horizontal="right"/>
    </xf>
    <xf numFmtId="185" fontId="18" fillId="0" borderId="0" xfId="1" applyNumberFormat="1" applyFont="1" applyFill="1" applyBorder="1" applyAlignment="1" applyProtection="1">
      <alignment horizontal="right"/>
    </xf>
    <xf numFmtId="43" fontId="0" fillId="0" borderId="0" xfId="1" applyFont="1" applyFill="1" applyBorder="1" applyProtection="1"/>
    <xf numFmtId="181" fontId="0" fillId="0" borderId="0" xfId="1" applyNumberFormat="1" applyFont="1" applyProtection="1"/>
    <xf numFmtId="171" fontId="0" fillId="0" borderId="0" xfId="7" applyNumberFormat="1" applyFont="1" applyProtection="1"/>
    <xf numFmtId="170" fontId="0" fillId="0" borderId="0" xfId="0" applyNumberFormat="1" applyFill="1" applyBorder="1" applyProtection="1"/>
    <xf numFmtId="43" fontId="0" fillId="0" borderId="0" xfId="1" applyFont="1" applyBorder="1" applyProtection="1">
      <protection locked="0"/>
    </xf>
    <xf numFmtId="171" fontId="18" fillId="0" borderId="0" xfId="7" applyNumberFormat="1" applyFont="1" applyBorder="1" applyProtection="1">
      <protection locked="0"/>
    </xf>
    <xf numFmtId="37" fontId="18" fillId="0" borderId="9" xfId="1" applyNumberFormat="1" applyFont="1" applyFill="1" applyBorder="1" applyAlignment="1" applyProtection="1">
      <alignment horizontal="right"/>
      <protection locked="0"/>
    </xf>
    <xf numFmtId="180" fontId="18" fillId="0" borderId="0" xfId="7" applyNumberFormat="1" applyFont="1" applyFill="1" applyBorder="1" applyAlignment="1" applyProtection="1">
      <alignment horizontal="right"/>
      <protection locked="0"/>
    </xf>
    <xf numFmtId="181" fontId="18" fillId="0" borderId="7" xfId="1" applyNumberFormat="1" applyFont="1" applyFill="1" applyBorder="1" applyAlignment="1" applyProtection="1">
      <alignment horizontal="right"/>
      <protection locked="0"/>
    </xf>
    <xf numFmtId="181" fontId="18" fillId="0" borderId="13" xfId="1" applyNumberFormat="1" applyFont="1" applyFill="1" applyBorder="1" applyAlignment="1" applyProtection="1">
      <alignment horizontal="right"/>
      <protection locked="0"/>
    </xf>
    <xf numFmtId="37" fontId="18" fillId="0" borderId="0" xfId="1" applyNumberFormat="1" applyFont="1" applyFill="1" applyBorder="1" applyAlignment="1" applyProtection="1">
      <alignment horizontal="right"/>
      <protection locked="0"/>
    </xf>
    <xf numFmtId="37" fontId="18" fillId="0" borderId="10" xfId="1" applyNumberFormat="1" applyFont="1" applyFill="1" applyBorder="1" applyAlignment="1" applyProtection="1">
      <alignment horizontal="right"/>
      <protection locked="0"/>
    </xf>
    <xf numFmtId="183" fontId="27" fillId="0" borderId="0" xfId="0" applyFont="1" applyBorder="1" applyAlignment="1" applyProtection="1">
      <alignment horizontal="right"/>
      <protection locked="0"/>
    </xf>
    <xf numFmtId="183" fontId="27" fillId="0" borderId="0" xfId="0" applyFont="1" applyBorder="1" applyProtection="1">
      <protection locked="0"/>
    </xf>
    <xf numFmtId="181" fontId="18" fillId="0" borderId="3" xfId="1" applyNumberFormat="1" applyFont="1" applyFill="1" applyBorder="1" applyAlignment="1" applyProtection="1">
      <alignment horizontal="right"/>
      <protection locked="0"/>
    </xf>
    <xf numFmtId="37" fontId="18" fillId="0" borderId="3" xfId="1" applyNumberFormat="1" applyFont="1" applyFill="1" applyBorder="1" applyAlignment="1" applyProtection="1">
      <alignment horizontal="right"/>
      <protection locked="0"/>
    </xf>
    <xf numFmtId="183" fontId="18" fillId="0" borderId="9" xfId="0" applyFont="1" applyFill="1" applyBorder="1" applyAlignment="1" applyProtection="1">
      <alignment horizontal="right"/>
      <protection locked="0"/>
    </xf>
    <xf numFmtId="37" fontId="18" fillId="0" borderId="6" xfId="1" applyNumberFormat="1" applyFont="1" applyFill="1" applyBorder="1" applyAlignment="1" applyProtection="1">
      <alignment horizontal="right"/>
      <protection locked="0"/>
    </xf>
    <xf numFmtId="37" fontId="18" fillId="0" borderId="7" xfId="1" applyNumberFormat="1" applyFont="1" applyFill="1" applyBorder="1" applyAlignment="1" applyProtection="1">
      <alignment horizontal="right"/>
      <protection locked="0"/>
    </xf>
    <xf numFmtId="183" fontId="27" fillId="0" borderId="0" xfId="0" applyFont="1" applyFill="1" applyBorder="1" applyProtection="1">
      <protection locked="0"/>
    </xf>
    <xf numFmtId="183" fontId="18" fillId="0" borderId="9" xfId="0" applyFont="1" applyBorder="1" applyAlignment="1" applyProtection="1">
      <alignment horizontal="right"/>
      <protection locked="0"/>
    </xf>
    <xf numFmtId="181" fontId="18" fillId="0" borderId="19" xfId="1" applyNumberFormat="1" applyFont="1" applyFill="1" applyBorder="1" applyAlignment="1" applyProtection="1">
      <alignment horizontal="right"/>
      <protection locked="0"/>
    </xf>
    <xf numFmtId="37" fontId="18" fillId="0" borderId="19" xfId="1" applyNumberFormat="1" applyFont="1" applyFill="1" applyBorder="1" applyAlignment="1" applyProtection="1">
      <alignment horizontal="right"/>
      <protection locked="0"/>
    </xf>
    <xf numFmtId="183" fontId="18" fillId="0" borderId="0" xfId="0" applyFont="1" applyBorder="1" applyAlignment="1" applyProtection="1">
      <alignment horizontal="right"/>
      <protection locked="0"/>
    </xf>
    <xf numFmtId="183" fontId="18" fillId="0" borderId="6" xfId="0" applyFont="1" applyBorder="1" applyProtection="1">
      <protection locked="0"/>
    </xf>
    <xf numFmtId="37" fontId="18" fillId="0" borderId="13" xfId="0" applyNumberFormat="1" applyFont="1" applyBorder="1" applyProtection="1">
      <protection locked="0"/>
    </xf>
    <xf numFmtId="37" fontId="18" fillId="0" borderId="3" xfId="0" applyNumberFormat="1" applyFont="1" applyBorder="1" applyProtection="1">
      <protection locked="0"/>
    </xf>
    <xf numFmtId="183" fontId="18" fillId="0" borderId="4" xfId="0" applyFont="1" applyBorder="1" applyProtection="1"/>
    <xf numFmtId="183" fontId="18" fillId="0" borderId="11" xfId="0" applyFont="1" applyBorder="1" applyAlignment="1" applyProtection="1">
      <alignment horizontal="left" indent="1"/>
    </xf>
    <xf numFmtId="183" fontId="24" fillId="0" borderId="0" xfId="0" applyFont="1" applyBorder="1" applyAlignment="1" applyProtection="1">
      <alignment wrapText="1"/>
    </xf>
    <xf numFmtId="169" fontId="18" fillId="0" borderId="2" xfId="1" applyNumberFormat="1" applyFont="1" applyFill="1" applyBorder="1" applyProtection="1"/>
    <xf numFmtId="168" fontId="18" fillId="0" borderId="11" xfId="7" applyNumberFormat="1" applyFont="1" applyFill="1" applyBorder="1" applyAlignment="1" applyProtection="1"/>
    <xf numFmtId="183" fontId="18" fillId="0" borderId="0" xfId="0" applyFont="1" applyBorder="1" applyAlignment="1" applyProtection="1">
      <alignment wrapText="1"/>
    </xf>
    <xf numFmtId="168" fontId="18" fillId="0" borderId="4" xfId="7" applyNumberFormat="1" applyFont="1" applyFill="1" applyBorder="1" applyAlignment="1" applyProtection="1"/>
    <xf numFmtId="169" fontId="18" fillId="0" borderId="16" xfId="1" applyNumberFormat="1" applyFont="1" applyFill="1" applyBorder="1" applyProtection="1"/>
    <xf numFmtId="168" fontId="18" fillId="0" borderId="11" xfId="7" applyNumberFormat="1" applyFont="1" applyFill="1" applyBorder="1" applyAlignment="1" applyProtection="1">
      <alignment horizontal="center"/>
    </xf>
    <xf numFmtId="168" fontId="18" fillId="0" borderId="17" xfId="7" applyNumberFormat="1" applyFont="1" applyFill="1" applyBorder="1" applyAlignment="1" applyProtection="1">
      <alignment horizontal="center"/>
    </xf>
    <xf numFmtId="177" fontId="18" fillId="0" borderId="0" xfId="0" applyNumberFormat="1" applyFont="1" applyProtection="1"/>
    <xf numFmtId="168" fontId="15" fillId="0" borderId="0" xfId="0" applyNumberFormat="1" applyFont="1" applyBorder="1" applyProtection="1"/>
    <xf numFmtId="168" fontId="20" fillId="0" borderId="0" xfId="0" applyNumberFormat="1" applyFont="1" applyBorder="1" applyProtection="1"/>
    <xf numFmtId="169" fontId="18" fillId="0" borderId="12" xfId="0" applyNumberFormat="1" applyFont="1" applyFill="1" applyBorder="1" applyProtection="1"/>
    <xf numFmtId="168" fontId="18" fillId="0" borderId="14" xfId="0" applyNumberFormat="1" applyFont="1" applyFill="1" applyBorder="1" applyProtection="1"/>
    <xf numFmtId="169" fontId="18" fillId="0" borderId="2" xfId="0" applyNumberFormat="1" applyFont="1" applyFill="1" applyBorder="1" applyProtection="1"/>
    <xf numFmtId="168" fontId="18" fillId="0" borderId="1" xfId="0" applyNumberFormat="1" applyFont="1" applyFill="1" applyBorder="1" applyProtection="1"/>
    <xf numFmtId="183" fontId="18" fillId="0" borderId="0" xfId="0" applyFont="1" applyBorder="1" applyAlignment="1" applyProtection="1">
      <alignment horizontal="left" indent="1"/>
    </xf>
    <xf numFmtId="43" fontId="13" fillId="0" borderId="0" xfId="1" applyFont="1" applyBorder="1" applyProtection="1"/>
    <xf numFmtId="43" fontId="0" fillId="0" borderId="0" xfId="1" applyFont="1" applyBorder="1" applyProtection="1"/>
    <xf numFmtId="0" fontId="16" fillId="0" borderId="0" xfId="1" applyNumberFormat="1" applyFont="1" applyFill="1" applyBorder="1" applyAlignment="1" applyProtection="1">
      <alignment horizontal="left"/>
    </xf>
    <xf numFmtId="2" fontId="0" fillId="0" borderId="0" xfId="7" applyNumberFormat="1" applyFont="1" applyBorder="1" applyProtection="1"/>
    <xf numFmtId="43" fontId="16" fillId="0" borderId="0" xfId="1" applyFont="1" applyFill="1" applyBorder="1" applyAlignment="1" applyProtection="1">
      <alignment horizontal="left"/>
    </xf>
    <xf numFmtId="171" fontId="18" fillId="0" borderId="0" xfId="7" applyNumberFormat="1" applyFont="1" applyBorder="1" applyProtection="1"/>
    <xf numFmtId="171" fontId="0" fillId="0" borderId="6" xfId="7" applyNumberFormat="1" applyFont="1" applyFill="1" applyBorder="1" applyProtection="1"/>
    <xf numFmtId="183" fontId="17" fillId="0" borderId="12" xfId="0" applyFont="1" applyFill="1" applyBorder="1" applyAlignment="1" applyProtection="1">
      <alignment horizontal="center"/>
    </xf>
    <xf numFmtId="183" fontId="17" fillId="0" borderId="15" xfId="0" applyFont="1" applyFill="1" applyBorder="1" applyAlignment="1" applyProtection="1">
      <alignment horizontal="center"/>
    </xf>
    <xf numFmtId="176" fontId="18" fillId="0" borderId="7" xfId="1" applyNumberFormat="1" applyFont="1" applyFill="1" applyBorder="1" applyProtection="1"/>
    <xf numFmtId="176" fontId="18" fillId="0" borderId="2" xfId="1" applyNumberFormat="1" applyFont="1" applyFill="1" applyBorder="1" applyProtection="1"/>
    <xf numFmtId="37" fontId="18" fillId="0" borderId="9" xfId="1" applyNumberFormat="1" applyFont="1" applyFill="1" applyBorder="1" applyAlignment="1" applyProtection="1">
      <alignment horizontal="right"/>
    </xf>
    <xf numFmtId="176" fontId="18" fillId="0" borderId="9" xfId="1" applyNumberFormat="1" applyFont="1" applyFill="1" applyBorder="1" applyProtection="1"/>
    <xf numFmtId="176" fontId="18" fillId="0" borderId="10" xfId="1" applyNumberFormat="1" applyFont="1" applyFill="1" applyBorder="1" applyProtection="1"/>
    <xf numFmtId="37" fontId="18" fillId="0" borderId="10" xfId="7" applyNumberFormat="1" applyFont="1" applyFill="1" applyBorder="1" applyAlignment="1" applyProtection="1">
      <alignment horizontal="right"/>
    </xf>
    <xf numFmtId="180" fontId="18" fillId="0" borderId="0" xfId="7" applyNumberFormat="1" applyFont="1" applyFill="1" applyBorder="1" applyAlignment="1" applyProtection="1">
      <alignment horizontal="right"/>
    </xf>
    <xf numFmtId="167" fontId="18" fillId="0" borderId="11" xfId="1" applyNumberFormat="1" applyFont="1" applyFill="1" applyBorder="1" applyProtection="1"/>
    <xf numFmtId="167" fontId="18" fillId="0" borderId="0" xfId="7" applyNumberFormat="1" applyFont="1" applyFill="1" applyBorder="1" applyAlignment="1" applyProtection="1">
      <alignment horizontal="right"/>
    </xf>
    <xf numFmtId="167" fontId="18" fillId="0" borderId="1" xfId="1" applyNumberFormat="1" applyFont="1" applyFill="1" applyBorder="1" applyProtection="1"/>
    <xf numFmtId="167" fontId="18" fillId="0" borderId="6" xfId="7" applyNumberFormat="1" applyFont="1" applyFill="1" applyBorder="1" applyAlignment="1" applyProtection="1">
      <alignment horizontal="right"/>
    </xf>
    <xf numFmtId="167" fontId="18" fillId="0" borderId="6" xfId="1" applyNumberFormat="1" applyFont="1" applyFill="1" applyBorder="1" applyProtection="1"/>
    <xf numFmtId="167" fontId="18" fillId="0" borderId="5" xfId="1" applyNumberFormat="1" applyFont="1" applyFill="1" applyBorder="1" applyProtection="1"/>
    <xf numFmtId="167" fontId="18" fillId="0" borderId="0" xfId="0" applyNumberFormat="1" applyFont="1" applyProtection="1"/>
    <xf numFmtId="167" fontId="18" fillId="0" borderId="8" xfId="1" applyNumberFormat="1" applyFont="1" applyFill="1" applyBorder="1" applyAlignment="1" applyProtection="1">
      <alignment horizontal="right"/>
    </xf>
    <xf numFmtId="37" fontId="18" fillId="0" borderId="8" xfId="1" applyNumberFormat="1" applyFont="1" applyFill="1" applyBorder="1" applyAlignment="1" applyProtection="1">
      <alignment horizontal="right"/>
    </xf>
    <xf numFmtId="37" fontId="18" fillId="0" borderId="3" xfId="1" applyNumberFormat="1" applyFont="1" applyFill="1" applyBorder="1" applyProtection="1"/>
    <xf numFmtId="37" fontId="18" fillId="0" borderId="4" xfId="1" applyNumberFormat="1" applyFont="1" applyFill="1" applyBorder="1" applyProtection="1"/>
    <xf numFmtId="37" fontId="18" fillId="0" borderId="5" xfId="7" applyNumberFormat="1" applyFont="1" applyFill="1" applyBorder="1" applyAlignment="1" applyProtection="1">
      <alignment horizontal="right"/>
    </xf>
    <xf numFmtId="37" fontId="18" fillId="0" borderId="12" xfId="1" applyNumberFormat="1" applyFont="1" applyFill="1" applyBorder="1" applyProtection="1"/>
    <xf numFmtId="169" fontId="18" fillId="0" borderId="13" xfId="1" applyNumberFormat="1" applyFont="1" applyFill="1" applyBorder="1" applyProtection="1"/>
    <xf numFmtId="37" fontId="18" fillId="0" borderId="15" xfId="1" applyNumberFormat="1" applyFont="1" applyFill="1" applyBorder="1" applyAlignment="1" applyProtection="1">
      <alignment horizontal="right"/>
    </xf>
    <xf numFmtId="37" fontId="18" fillId="0" borderId="9" xfId="0" applyNumberFormat="1" applyFont="1" applyBorder="1" applyAlignment="1" applyProtection="1">
      <alignment horizontal="right"/>
    </xf>
    <xf numFmtId="169" fontId="18" fillId="0" borderId="10" xfId="0" applyNumberFormat="1" applyFont="1" applyFill="1" applyBorder="1" applyAlignment="1" applyProtection="1">
      <alignment horizontal="right"/>
    </xf>
    <xf numFmtId="169" fontId="18" fillId="0" borderId="9" xfId="0" applyNumberFormat="1" applyFont="1" applyBorder="1" applyAlignment="1" applyProtection="1">
      <alignment horizontal="right"/>
    </xf>
    <xf numFmtId="37" fontId="18" fillId="0" borderId="9" xfId="0" applyNumberFormat="1" applyFont="1" applyFill="1" applyBorder="1" applyAlignment="1" applyProtection="1">
      <alignment horizontal="right"/>
    </xf>
    <xf numFmtId="169" fontId="18" fillId="0" borderId="0" xfId="0" applyNumberFormat="1" applyFont="1" applyBorder="1" applyAlignment="1" applyProtection="1">
      <alignment horizontal="right"/>
    </xf>
    <xf numFmtId="37" fontId="18" fillId="0" borderId="2" xfId="1" applyNumberFormat="1" applyFont="1" applyFill="1" applyBorder="1" applyProtection="1"/>
    <xf numFmtId="181" fontId="18" fillId="0" borderId="7" xfId="1" applyNumberFormat="1" applyFont="1" applyFill="1" applyBorder="1" applyAlignment="1" applyProtection="1">
      <alignment horizontal="right"/>
    </xf>
    <xf numFmtId="37" fontId="18" fillId="0" borderId="14" xfId="1" applyNumberFormat="1" applyFont="1" applyFill="1" applyBorder="1" applyAlignment="1" applyProtection="1">
      <alignment horizontal="right"/>
    </xf>
    <xf numFmtId="181" fontId="18" fillId="0" borderId="13" xfId="1" applyNumberFormat="1" applyFont="1" applyFill="1" applyBorder="1" applyAlignment="1" applyProtection="1">
      <alignment horizontal="right"/>
    </xf>
    <xf numFmtId="181" fontId="18" fillId="0" borderId="10" xfId="1" applyNumberFormat="1" applyFont="1" applyFill="1" applyBorder="1" applyAlignment="1" applyProtection="1">
      <alignment horizontal="right"/>
    </xf>
    <xf numFmtId="37" fontId="18" fillId="0" borderId="11" xfId="1" applyNumberFormat="1" applyFont="1" applyFill="1" applyBorder="1" applyAlignment="1" applyProtection="1">
      <alignment horizontal="right"/>
    </xf>
    <xf numFmtId="37" fontId="18" fillId="0" borderId="0" xfId="1" applyNumberFormat="1" applyFont="1" applyFill="1" applyBorder="1" applyAlignment="1" applyProtection="1">
      <alignment horizontal="right"/>
    </xf>
    <xf numFmtId="37" fontId="18" fillId="0" borderId="4" xfId="1" applyNumberFormat="1" applyFont="1" applyFill="1" applyBorder="1" applyAlignment="1" applyProtection="1">
      <alignment horizontal="right"/>
    </xf>
    <xf numFmtId="181" fontId="18" fillId="0" borderId="14" xfId="1" applyNumberFormat="1" applyFont="1" applyFill="1" applyBorder="1" applyAlignment="1" applyProtection="1">
      <alignment horizontal="right"/>
    </xf>
    <xf numFmtId="181" fontId="18" fillId="0" borderId="12" xfId="1" applyNumberFormat="1" applyFont="1" applyFill="1" applyBorder="1" applyAlignment="1" applyProtection="1">
      <alignment horizontal="right"/>
    </xf>
    <xf numFmtId="37" fontId="18" fillId="0" borderId="10" xfId="1" applyNumberFormat="1" applyFont="1" applyFill="1" applyBorder="1" applyAlignment="1" applyProtection="1">
      <alignment horizontal="right"/>
    </xf>
    <xf numFmtId="181" fontId="18" fillId="0" borderId="15" xfId="1" applyNumberFormat="1" applyFont="1" applyFill="1" applyBorder="1" applyAlignment="1" applyProtection="1">
      <alignment horizontal="right"/>
    </xf>
    <xf numFmtId="169" fontId="18" fillId="0" borderId="19" xfId="1" applyNumberFormat="1" applyFont="1" applyFill="1" applyBorder="1" applyAlignment="1" applyProtection="1">
      <alignment horizontal="right"/>
    </xf>
    <xf numFmtId="183" fontId="27" fillId="0" borderId="10" xfId="0" applyFont="1" applyBorder="1" applyAlignment="1" applyProtection="1">
      <alignment horizontal="right"/>
    </xf>
    <xf numFmtId="37" fontId="18" fillId="0" borderId="3" xfId="1" applyNumberFormat="1" applyFont="1" applyFill="1" applyBorder="1" applyAlignment="1" applyProtection="1">
      <alignment horizontal="right"/>
    </xf>
    <xf numFmtId="181" fontId="18" fillId="0" borderId="3" xfId="1" applyNumberFormat="1" applyFont="1" applyFill="1" applyBorder="1" applyAlignment="1" applyProtection="1">
      <alignment horizontal="right"/>
    </xf>
    <xf numFmtId="181" fontId="18" fillId="0" borderId="2" xfId="1" applyNumberFormat="1" applyFont="1" applyFill="1" applyBorder="1" applyAlignment="1" applyProtection="1">
      <alignment horizontal="right"/>
    </xf>
    <xf numFmtId="181" fontId="18" fillId="0" borderId="11" xfId="1" applyNumberFormat="1" applyFont="1" applyFill="1" applyBorder="1" applyAlignment="1" applyProtection="1">
      <alignment horizontal="right"/>
    </xf>
    <xf numFmtId="37" fontId="18" fillId="0" borderId="0" xfId="1" applyNumberFormat="1" applyFont="1" applyFill="1" applyBorder="1" applyAlignment="1" applyProtection="1">
      <alignment horizontal="center"/>
    </xf>
    <xf numFmtId="37" fontId="18" fillId="0" borderId="11" xfId="1" applyNumberFormat="1" applyFont="1" applyFill="1" applyBorder="1" applyAlignment="1" applyProtection="1">
      <alignment horizontal="center"/>
    </xf>
    <xf numFmtId="183" fontId="18" fillId="0" borderId="9" xfId="0" applyFont="1" applyFill="1" applyBorder="1" applyAlignment="1" applyProtection="1">
      <alignment horizontal="right"/>
    </xf>
    <xf numFmtId="181" fontId="18" fillId="0" borderId="9" xfId="1" applyNumberFormat="1" applyFont="1" applyFill="1" applyBorder="1" applyAlignment="1" applyProtection="1">
      <alignment horizontal="right"/>
    </xf>
    <xf numFmtId="37" fontId="18" fillId="0" borderId="4" xfId="1" applyNumberFormat="1" applyFont="1" applyFill="1" applyBorder="1" applyAlignment="1" applyProtection="1">
      <alignment horizontal="center"/>
    </xf>
    <xf numFmtId="169" fontId="18" fillId="0" borderId="7" xfId="1" applyNumberFormat="1" applyFont="1" applyFill="1" applyBorder="1" applyAlignment="1" applyProtection="1">
      <alignment horizontal="center"/>
    </xf>
    <xf numFmtId="183" fontId="27" fillId="0" borderId="0" xfId="0" applyFont="1" applyBorder="1" applyAlignment="1" applyProtection="1">
      <alignment horizontal="right"/>
    </xf>
    <xf numFmtId="167" fontId="18" fillId="0" borderId="0" xfId="1" applyNumberFormat="1" applyFont="1" applyFill="1" applyBorder="1" applyAlignment="1" applyProtection="1">
      <alignment horizontal="right"/>
    </xf>
    <xf numFmtId="167" fontId="18" fillId="0" borderId="11" xfId="1" applyNumberFormat="1" applyFont="1" applyFill="1" applyBorder="1" applyAlignment="1" applyProtection="1">
      <alignment horizontal="right"/>
    </xf>
    <xf numFmtId="169" fontId="18" fillId="0" borderId="9" xfId="1" applyNumberFormat="1" applyFont="1" applyFill="1" applyBorder="1" applyAlignment="1" applyProtection="1">
      <alignment horizontal="center"/>
    </xf>
    <xf numFmtId="37" fontId="18" fillId="0" borderId="6" xfId="1" applyNumberFormat="1" applyFont="1" applyFill="1" applyBorder="1" applyAlignment="1" applyProtection="1">
      <alignment horizontal="right"/>
    </xf>
    <xf numFmtId="37" fontId="18" fillId="0" borderId="1" xfId="1" applyNumberFormat="1" applyFont="1" applyFill="1" applyBorder="1" applyAlignment="1" applyProtection="1">
      <alignment horizontal="right"/>
    </xf>
    <xf numFmtId="37" fontId="18" fillId="0" borderId="1" xfId="1" applyNumberFormat="1" applyFont="1" applyFill="1" applyBorder="1" applyAlignment="1" applyProtection="1">
      <alignment horizontal="center"/>
    </xf>
    <xf numFmtId="169" fontId="18" fillId="0" borderId="8" xfId="1" applyNumberFormat="1" applyFont="1" applyFill="1" applyBorder="1" applyAlignment="1" applyProtection="1">
      <alignment horizontal="center"/>
    </xf>
    <xf numFmtId="181" fontId="18" fillId="0" borderId="4" xfId="1" applyNumberFormat="1" applyFont="1" applyFill="1" applyBorder="1" applyAlignment="1" applyProtection="1">
      <alignment horizontal="right"/>
    </xf>
    <xf numFmtId="37" fontId="18" fillId="0" borderId="3" xfId="1" applyNumberFormat="1" applyFont="1" applyFill="1" applyBorder="1" applyAlignment="1" applyProtection="1">
      <alignment horizontal="center"/>
    </xf>
    <xf numFmtId="37" fontId="18" fillId="0" borderId="7" xfId="1" applyNumberFormat="1" applyFont="1" applyFill="1" applyBorder="1" applyAlignment="1" applyProtection="1">
      <alignment horizontal="right"/>
    </xf>
    <xf numFmtId="37" fontId="18" fillId="0" borderId="14" xfId="1" applyNumberFormat="1" applyFont="1" applyFill="1" applyBorder="1" applyAlignment="1" applyProtection="1">
      <alignment horizontal="center"/>
    </xf>
    <xf numFmtId="169" fontId="18" fillId="0" borderId="15" xfId="1" applyNumberFormat="1" applyFont="1" applyFill="1" applyBorder="1" applyAlignment="1" applyProtection="1">
      <alignment horizontal="center"/>
    </xf>
    <xf numFmtId="181" fontId="18" fillId="0" borderId="5" xfId="1" applyNumberFormat="1" applyFont="1" applyFill="1" applyBorder="1" applyAlignment="1" applyProtection="1">
      <alignment horizontal="right"/>
    </xf>
    <xf numFmtId="181" fontId="18" fillId="0" borderId="1" xfId="1" applyNumberFormat="1" applyFont="1" applyFill="1" applyBorder="1" applyAlignment="1" applyProtection="1">
      <alignment horizontal="right"/>
    </xf>
    <xf numFmtId="169" fontId="18" fillId="0" borderId="6" xfId="1" applyNumberFormat="1" applyFont="1" applyFill="1" applyBorder="1" applyAlignment="1" applyProtection="1">
      <alignment horizontal="right"/>
    </xf>
    <xf numFmtId="37" fontId="18" fillId="0" borderId="8" xfId="1" applyNumberFormat="1" applyFont="1" applyFill="1" applyBorder="1" applyAlignment="1" applyProtection="1">
      <alignment horizontal="center"/>
    </xf>
    <xf numFmtId="37" fontId="18" fillId="0" borderId="9" xfId="1" applyNumberFormat="1" applyFont="1" applyFill="1" applyBorder="1" applyAlignment="1" applyProtection="1">
      <alignment horizontal="center"/>
    </xf>
    <xf numFmtId="183" fontId="18" fillId="0" borderId="9" xfId="0" applyFont="1" applyBorder="1" applyAlignment="1" applyProtection="1">
      <alignment horizontal="right"/>
    </xf>
    <xf numFmtId="181" fontId="18" fillId="0" borderId="19" xfId="1" applyNumberFormat="1" applyFont="1" applyFill="1" applyBorder="1" applyAlignment="1" applyProtection="1">
      <alignment horizontal="right"/>
    </xf>
    <xf numFmtId="181" fontId="18" fillId="0" borderId="16" xfId="1" applyNumberFormat="1" applyFont="1" applyFill="1" applyBorder="1" applyAlignment="1" applyProtection="1">
      <alignment horizontal="right"/>
    </xf>
    <xf numFmtId="37" fontId="18" fillId="0" borderId="19" xfId="1" applyNumberFormat="1" applyFont="1" applyFill="1" applyBorder="1" applyAlignment="1" applyProtection="1">
      <alignment horizontal="right"/>
    </xf>
    <xf numFmtId="37" fontId="18" fillId="0" borderId="17" xfId="1" applyNumberFormat="1" applyFont="1" applyFill="1" applyBorder="1" applyAlignment="1" applyProtection="1">
      <alignment horizontal="right"/>
    </xf>
    <xf numFmtId="181" fontId="18" fillId="0" borderId="17" xfId="1" applyNumberFormat="1" applyFont="1" applyFill="1" applyBorder="1" applyAlignment="1" applyProtection="1">
      <alignment horizontal="right"/>
    </xf>
    <xf numFmtId="37" fontId="18" fillId="0" borderId="19" xfId="1" applyNumberFormat="1" applyFont="1" applyFill="1" applyBorder="1" applyAlignment="1" applyProtection="1">
      <alignment horizontal="center"/>
    </xf>
    <xf numFmtId="37" fontId="18" fillId="0" borderId="17" xfId="1" applyNumberFormat="1" applyFont="1" applyFill="1" applyBorder="1" applyAlignment="1" applyProtection="1">
      <alignment horizontal="center"/>
    </xf>
    <xf numFmtId="183" fontId="18" fillId="0" borderId="0" xfId="0" applyFont="1" applyBorder="1" applyAlignment="1" applyProtection="1">
      <alignment horizontal="right"/>
    </xf>
    <xf numFmtId="181" fontId="18" fillId="0" borderId="18" xfId="1" applyNumberFormat="1" applyFont="1" applyFill="1" applyBorder="1" applyAlignment="1" applyProtection="1">
      <alignment horizontal="right"/>
    </xf>
    <xf numFmtId="37" fontId="18" fillId="0" borderId="18" xfId="1" applyNumberFormat="1" applyFont="1" applyFill="1" applyBorder="1" applyAlignment="1" applyProtection="1">
      <alignment horizontal="right"/>
    </xf>
    <xf numFmtId="169" fontId="18" fillId="0" borderId="18" xfId="1" applyNumberFormat="1" applyFont="1" applyFill="1" applyBorder="1" applyAlignment="1" applyProtection="1">
      <alignment horizontal="center"/>
    </xf>
    <xf numFmtId="183" fontId="18" fillId="0" borderId="10" xfId="0" applyFont="1" applyBorder="1" applyAlignment="1" applyProtection="1">
      <alignment horizontal="right"/>
    </xf>
    <xf numFmtId="169" fontId="18" fillId="0" borderId="18" xfId="1" applyNumberFormat="1" applyFont="1" applyFill="1" applyBorder="1" applyAlignment="1" applyProtection="1">
      <alignment horizontal="right"/>
    </xf>
    <xf numFmtId="168" fontId="18" fillId="0" borderId="0" xfId="0" applyNumberFormat="1" applyFont="1" applyBorder="1" applyAlignment="1" applyProtection="1">
      <alignment horizontal="right"/>
    </xf>
    <xf numFmtId="180" fontId="18" fillId="0" borderId="0" xfId="0" applyNumberFormat="1" applyFont="1" applyFill="1" applyProtection="1"/>
    <xf numFmtId="43" fontId="18" fillId="0" borderId="0" xfId="1" applyFont="1" applyProtection="1"/>
    <xf numFmtId="183" fontId="18" fillId="0" borderId="6" xfId="0" applyFont="1" applyBorder="1" applyProtection="1"/>
    <xf numFmtId="183" fontId="18" fillId="0" borderId="2" xfId="0" applyFont="1" applyBorder="1" applyProtection="1"/>
    <xf numFmtId="183" fontId="18" fillId="0" borderId="7" xfId="0" applyFont="1" applyBorder="1" applyProtection="1"/>
    <xf numFmtId="37" fontId="18" fillId="0" borderId="11" xfId="0" applyNumberFormat="1" applyFont="1" applyBorder="1" applyProtection="1"/>
    <xf numFmtId="181" fontId="18" fillId="0" borderId="3" xfId="1" applyNumberFormat="1" applyFont="1" applyFill="1" applyBorder="1" applyProtection="1"/>
    <xf numFmtId="37" fontId="18" fillId="0" borderId="7" xfId="1" applyNumberFormat="1" applyFont="1" applyFill="1" applyBorder="1" applyProtection="1"/>
    <xf numFmtId="37" fontId="18" fillId="0" borderId="1" xfId="0" applyNumberFormat="1" applyFont="1" applyBorder="1" applyProtection="1"/>
    <xf numFmtId="181" fontId="18" fillId="0" borderId="1" xfId="1" applyNumberFormat="1" applyFont="1" applyBorder="1" applyProtection="1"/>
    <xf numFmtId="37" fontId="18" fillId="0" borderId="6" xfId="1" applyNumberFormat="1" applyFont="1" applyFill="1" applyBorder="1" applyProtection="1"/>
    <xf numFmtId="37" fontId="18" fillId="0" borderId="5" xfId="1" applyNumberFormat="1" applyFont="1" applyFill="1" applyBorder="1" applyProtection="1"/>
    <xf numFmtId="37" fontId="18" fillId="0" borderId="8" xfId="0" applyNumberFormat="1" applyFont="1" applyBorder="1" applyProtection="1"/>
    <xf numFmtId="37" fontId="18" fillId="0" borderId="10" xfId="0" applyNumberFormat="1" applyFont="1" applyBorder="1" applyProtection="1"/>
    <xf numFmtId="181" fontId="18" fillId="0" borderId="3" xfId="1" applyNumberFormat="1" applyFont="1" applyBorder="1" applyProtection="1"/>
    <xf numFmtId="181" fontId="18" fillId="0" borderId="5" xfId="1" applyNumberFormat="1" applyFont="1" applyBorder="1" applyProtection="1"/>
    <xf numFmtId="37" fontId="18" fillId="0" borderId="13" xfId="0" applyNumberFormat="1" applyFont="1" applyBorder="1" applyProtection="1"/>
    <xf numFmtId="37" fontId="18" fillId="0" borderId="14" xfId="0" applyNumberFormat="1" applyFont="1" applyBorder="1" applyProtection="1"/>
    <xf numFmtId="37" fontId="18" fillId="0" borderId="12" xfId="0" applyNumberFormat="1" applyFont="1" applyBorder="1" applyProtection="1"/>
    <xf numFmtId="181" fontId="18" fillId="0" borderId="13" xfId="0" applyNumberFormat="1" applyFont="1" applyBorder="1" applyProtection="1"/>
    <xf numFmtId="181" fontId="18" fillId="0" borderId="15" xfId="1" applyNumberFormat="1" applyFont="1" applyBorder="1" applyProtection="1"/>
    <xf numFmtId="37" fontId="18" fillId="0" borderId="15" xfId="0" applyNumberFormat="1" applyFont="1" applyBorder="1" applyProtection="1"/>
    <xf numFmtId="37" fontId="18" fillId="0" borderId="3" xfId="0" applyNumberFormat="1" applyFont="1" applyBorder="1" applyProtection="1"/>
    <xf numFmtId="37" fontId="18" fillId="0" borderId="4" xfId="0" applyNumberFormat="1" applyFont="1" applyBorder="1" applyProtection="1"/>
    <xf numFmtId="37" fontId="18" fillId="0" borderId="2" xfId="0" applyNumberFormat="1" applyFont="1" applyBorder="1" applyProtection="1"/>
    <xf numFmtId="181" fontId="18" fillId="0" borderId="7" xfId="1" applyNumberFormat="1" applyFont="1" applyBorder="1" applyProtection="1"/>
    <xf numFmtId="37" fontId="18" fillId="0" borderId="7" xfId="0" applyNumberFormat="1" applyFont="1" applyBorder="1" applyProtection="1"/>
    <xf numFmtId="181" fontId="18" fillId="0" borderId="10" xfId="1" applyNumberFormat="1" applyFont="1" applyBorder="1" applyProtection="1"/>
    <xf numFmtId="181" fontId="18" fillId="0" borderId="8" xfId="1" applyNumberFormat="1" applyFont="1" applyFill="1" applyBorder="1" applyAlignment="1" applyProtection="1">
      <alignment horizontal="right"/>
    </xf>
    <xf numFmtId="181" fontId="18" fillId="0" borderId="8" xfId="1" applyNumberFormat="1" applyFont="1" applyBorder="1" applyProtection="1"/>
    <xf numFmtId="37" fontId="18" fillId="0" borderId="8" xfId="0" applyNumberFormat="1" applyFont="1" applyBorder="1" applyAlignment="1" applyProtection="1">
      <alignment horizontal="right"/>
    </xf>
    <xf numFmtId="37" fontId="18" fillId="0" borderId="5" xfId="1" applyNumberFormat="1" applyFont="1" applyFill="1" applyBorder="1" applyAlignment="1" applyProtection="1">
      <alignment horizontal="right"/>
    </xf>
    <xf numFmtId="181" fontId="18" fillId="0" borderId="0" xfId="0" applyNumberFormat="1" applyFont="1" applyBorder="1" applyProtection="1"/>
    <xf numFmtId="43" fontId="0" fillId="0" borderId="0" xfId="1" applyFont="1" applyFill="1" applyBorder="1" applyAlignment="1" applyProtection="1"/>
    <xf numFmtId="0" fontId="13" fillId="0" borderId="0" xfId="75" applyProtection="1">
      <protection locked="0"/>
    </xf>
    <xf numFmtId="0" fontId="13" fillId="0" borderId="0" xfId="75" applyBorder="1" applyProtection="1">
      <protection locked="0"/>
    </xf>
    <xf numFmtId="0" fontId="16" fillId="0" borderId="0" xfId="75" applyFont="1" applyFill="1" applyBorder="1" applyAlignment="1" applyProtection="1">
      <alignment horizontal="left"/>
      <protection locked="0"/>
    </xf>
    <xf numFmtId="0" fontId="13" fillId="0" borderId="0" xfId="75" applyFill="1" applyBorder="1" applyProtection="1">
      <protection locked="0"/>
    </xf>
    <xf numFmtId="0" fontId="18" fillId="0" borderId="0" xfId="75" applyFont="1" applyFill="1" applyBorder="1" applyProtection="1">
      <protection locked="0"/>
    </xf>
    <xf numFmtId="0" fontId="24" fillId="0" borderId="9" xfId="75" applyFont="1" applyFill="1" applyBorder="1" applyAlignment="1" applyProtection="1">
      <alignment horizontal="center"/>
      <protection locked="0"/>
    </xf>
    <xf numFmtId="0" fontId="13" fillId="0" borderId="3" xfId="75" applyBorder="1" applyProtection="1">
      <protection locked="0"/>
    </xf>
    <xf numFmtId="0" fontId="13" fillId="0" borderId="2" xfId="75" applyBorder="1" applyProtection="1">
      <protection locked="0"/>
    </xf>
    <xf numFmtId="0" fontId="14" fillId="0" borderId="9" xfId="75" applyFont="1" applyFill="1" applyBorder="1" applyAlignment="1" applyProtection="1">
      <alignment horizontal="center"/>
      <protection locked="0"/>
    </xf>
    <xf numFmtId="0" fontId="79" fillId="0" borderId="9" xfId="75" applyFont="1" applyFill="1" applyBorder="1" applyAlignment="1" applyProtection="1">
      <alignment horizontal="center"/>
      <protection locked="0"/>
    </xf>
    <xf numFmtId="183" fontId="17" fillId="0" borderId="13" xfId="0" applyFont="1" applyFill="1" applyBorder="1" applyAlignment="1" applyProtection="1">
      <alignment horizontal="center"/>
      <protection locked="0"/>
    </xf>
    <xf numFmtId="0" fontId="44" fillId="0" borderId="0" xfId="75" applyFont="1" applyBorder="1" applyProtection="1">
      <protection locked="0"/>
    </xf>
    <xf numFmtId="0" fontId="44" fillId="0" borderId="0" xfId="75" applyFont="1" applyProtection="1">
      <protection locked="0"/>
    </xf>
    <xf numFmtId="0" fontId="18" fillId="0" borderId="9" xfId="75" applyFont="1" applyBorder="1" applyProtection="1">
      <protection locked="0"/>
    </xf>
    <xf numFmtId="0" fontId="18" fillId="0" borderId="0" xfId="75" applyFont="1" applyBorder="1" applyProtection="1">
      <protection locked="0"/>
    </xf>
    <xf numFmtId="168" fontId="18" fillId="0" borderId="9" xfId="16" applyNumberFormat="1" applyFont="1" applyFill="1" applyBorder="1" applyAlignment="1" applyProtection="1">
      <alignment horizontal="right"/>
      <protection locked="0"/>
    </xf>
    <xf numFmtId="37" fontId="18" fillId="0" borderId="6" xfId="13" applyNumberFormat="1" applyFont="1" applyFill="1" applyBorder="1" applyProtection="1">
      <protection locked="0"/>
    </xf>
    <xf numFmtId="167" fontId="18" fillId="0" borderId="0" xfId="16" applyNumberFormat="1" applyFont="1" applyFill="1" applyBorder="1" applyAlignment="1" applyProtection="1">
      <alignment horizontal="right"/>
      <protection locked="0"/>
    </xf>
    <xf numFmtId="167" fontId="18" fillId="0" borderId="13" xfId="13" applyNumberFormat="1" applyFont="1" applyFill="1" applyBorder="1" applyProtection="1">
      <protection locked="0"/>
    </xf>
    <xf numFmtId="37" fontId="18" fillId="0" borderId="0" xfId="16" applyNumberFormat="1" applyFont="1" applyFill="1" applyBorder="1" applyAlignment="1" applyProtection="1">
      <alignment horizontal="right"/>
      <protection locked="0"/>
    </xf>
    <xf numFmtId="167" fontId="18" fillId="0" borderId="9" xfId="13" applyNumberFormat="1" applyFont="1" applyFill="1" applyBorder="1" applyAlignment="1" applyProtection="1">
      <alignment horizontal="right"/>
      <protection locked="0"/>
    </xf>
    <xf numFmtId="169" fontId="18" fillId="0" borderId="0" xfId="13" applyNumberFormat="1" applyFont="1" applyFill="1" applyBorder="1" applyProtection="1">
      <protection locked="0"/>
    </xf>
    <xf numFmtId="168" fontId="18" fillId="0" borderId="9" xfId="16" applyNumberFormat="1" applyFont="1" applyFill="1" applyBorder="1" applyAlignment="1" applyProtection="1">
      <alignment horizontal="left"/>
      <protection locked="0"/>
    </xf>
    <xf numFmtId="169" fontId="18" fillId="0" borderId="0" xfId="75" applyNumberFormat="1" applyFont="1" applyFill="1" applyBorder="1" applyAlignment="1" applyProtection="1">
      <alignment horizontal="right"/>
      <protection locked="0"/>
    </xf>
    <xf numFmtId="167" fontId="18" fillId="0" borderId="6" xfId="13" applyNumberFormat="1" applyFont="1" applyFill="1" applyBorder="1" applyAlignment="1" applyProtection="1">
      <alignment horizontal="right"/>
      <protection locked="0"/>
    </xf>
    <xf numFmtId="167" fontId="18" fillId="0" borderId="13" xfId="13" applyNumberFormat="1" applyFont="1" applyFill="1" applyBorder="1" applyAlignment="1" applyProtection="1">
      <alignment horizontal="right"/>
      <protection locked="0"/>
    </xf>
    <xf numFmtId="0" fontId="27" fillId="0" borderId="0" xfId="75" applyFont="1" applyBorder="1" applyProtection="1">
      <protection locked="0"/>
    </xf>
    <xf numFmtId="0" fontId="27" fillId="0" borderId="0" xfId="75" applyFont="1" applyProtection="1">
      <protection locked="0"/>
    </xf>
    <xf numFmtId="0" fontId="18" fillId="0" borderId="9" xfId="75" applyFont="1" applyFill="1" applyBorder="1" applyAlignment="1" applyProtection="1">
      <alignment horizontal="center"/>
      <protection locked="0"/>
    </xf>
    <xf numFmtId="167" fontId="18" fillId="0" borderId="19" xfId="13" applyNumberFormat="1" applyFont="1" applyFill="1" applyBorder="1" applyAlignment="1" applyProtection="1">
      <alignment horizontal="right"/>
      <protection locked="0"/>
    </xf>
    <xf numFmtId="168" fontId="18" fillId="0" borderId="0" xfId="16" applyNumberFormat="1" applyFont="1" applyFill="1" applyBorder="1" applyAlignment="1" applyProtection="1">
      <alignment horizontal="right"/>
      <protection locked="0"/>
    </xf>
    <xf numFmtId="168" fontId="18" fillId="0" borderId="0" xfId="75" applyNumberFormat="1" applyFont="1" applyFill="1" applyBorder="1" applyProtection="1">
      <protection locked="0"/>
    </xf>
    <xf numFmtId="37" fontId="18" fillId="0" borderId="0" xfId="75" applyNumberFormat="1" applyFont="1" applyFill="1" applyBorder="1" applyProtection="1">
      <protection locked="0"/>
    </xf>
    <xf numFmtId="37" fontId="18" fillId="0" borderId="0" xfId="13" applyNumberFormat="1" applyFont="1" applyFill="1" applyBorder="1" applyProtection="1">
      <protection locked="0"/>
    </xf>
    <xf numFmtId="168" fontId="18" fillId="0" borderId="9" xfId="75" applyNumberFormat="1" applyFont="1" applyFill="1" applyBorder="1" applyProtection="1">
      <protection locked="0"/>
    </xf>
    <xf numFmtId="0" fontId="18" fillId="0" borderId="9" xfId="75" applyFont="1" applyFill="1" applyBorder="1" applyAlignment="1" applyProtection="1">
      <protection locked="0"/>
    </xf>
    <xf numFmtId="0" fontId="13" fillId="0" borderId="9" xfId="75" applyBorder="1" applyProtection="1">
      <protection locked="0"/>
    </xf>
    <xf numFmtId="37" fontId="18" fillId="0" borderId="13" xfId="75" applyNumberFormat="1" applyFont="1" applyBorder="1" applyProtection="1">
      <protection locked="0"/>
    </xf>
    <xf numFmtId="37" fontId="18" fillId="0" borderId="0" xfId="75" applyNumberFormat="1" applyFont="1" applyBorder="1" applyProtection="1">
      <protection locked="0"/>
    </xf>
    <xf numFmtId="0" fontId="13" fillId="0" borderId="0" xfId="75" applyProtection="1"/>
    <xf numFmtId="0" fontId="13" fillId="0" borderId="0" xfId="75" applyBorder="1" applyProtection="1"/>
    <xf numFmtId="0" fontId="15" fillId="0" borderId="0" xfId="75" applyFont="1" applyProtection="1"/>
    <xf numFmtId="0" fontId="16" fillId="0" borderId="0" xfId="75" applyFont="1" applyFill="1" applyBorder="1" applyAlignment="1" applyProtection="1">
      <alignment horizontal="left"/>
    </xf>
    <xf numFmtId="0" fontId="13" fillId="0" borderId="0" xfId="75" applyFill="1" applyBorder="1" applyProtection="1"/>
    <xf numFmtId="0" fontId="17" fillId="0" borderId="0" xfId="75" applyFont="1" applyFill="1" applyBorder="1" applyProtection="1"/>
    <xf numFmtId="0" fontId="18" fillId="0" borderId="0" xfId="75" applyFont="1" applyFill="1" applyBorder="1" applyProtection="1"/>
    <xf numFmtId="0" fontId="79" fillId="0" borderId="10" xfId="75" applyFont="1" applyFill="1" applyBorder="1" applyAlignment="1" applyProtection="1">
      <alignment horizontal="center"/>
    </xf>
    <xf numFmtId="0" fontId="79" fillId="0" borderId="4" xfId="75" applyFont="1" applyFill="1" applyBorder="1" applyAlignment="1" applyProtection="1">
      <alignment horizontal="center"/>
    </xf>
    <xf numFmtId="0" fontId="24" fillId="0" borderId="0" xfId="75" applyFont="1" applyFill="1" applyBorder="1" applyProtection="1"/>
    <xf numFmtId="0" fontId="20" fillId="0" borderId="0" xfId="75" applyFont="1" applyFill="1" applyBorder="1" applyProtection="1"/>
    <xf numFmtId="169" fontId="18" fillId="0" borderId="10" xfId="13" applyNumberFormat="1" applyFont="1" applyFill="1" applyBorder="1" applyProtection="1"/>
    <xf numFmtId="169" fontId="18" fillId="0" borderId="12" xfId="13" applyNumberFormat="1" applyFont="1" applyFill="1" applyBorder="1" applyProtection="1"/>
    <xf numFmtId="168" fontId="18" fillId="0" borderId="14" xfId="16" applyNumberFormat="1" applyFont="1" applyFill="1" applyBorder="1" applyAlignment="1" applyProtection="1">
      <alignment horizontal="right"/>
    </xf>
    <xf numFmtId="168" fontId="18" fillId="0" borderId="11" xfId="16" applyNumberFormat="1" applyFont="1" applyFill="1" applyBorder="1" applyAlignment="1" applyProtection="1">
      <alignment horizontal="right"/>
    </xf>
    <xf numFmtId="169" fontId="18" fillId="0" borderId="5" xfId="13" applyNumberFormat="1" applyFont="1" applyFill="1" applyBorder="1" applyProtection="1"/>
    <xf numFmtId="168" fontId="18" fillId="0" borderId="1" xfId="16" applyNumberFormat="1" applyFont="1" applyFill="1" applyBorder="1" applyAlignment="1" applyProtection="1">
      <alignment horizontal="right"/>
    </xf>
    <xf numFmtId="0" fontId="18" fillId="0" borderId="0" xfId="75" applyFont="1" applyFill="1" applyProtection="1"/>
    <xf numFmtId="168" fontId="18" fillId="0" borderId="4" xfId="16" applyNumberFormat="1" applyFont="1" applyFill="1" applyBorder="1" applyAlignment="1" applyProtection="1"/>
    <xf numFmtId="0" fontId="18" fillId="0" borderId="0" xfId="75" applyFont="1" applyBorder="1" applyAlignment="1" applyProtection="1">
      <alignment wrapText="1"/>
    </xf>
    <xf numFmtId="168" fontId="18" fillId="0" borderId="17" xfId="16" applyNumberFormat="1" applyFont="1" applyFill="1" applyBorder="1" applyAlignment="1" applyProtection="1">
      <alignment horizontal="right"/>
    </xf>
    <xf numFmtId="169" fontId="18" fillId="0" borderId="0" xfId="13" applyNumberFormat="1" applyFont="1" applyFill="1" applyBorder="1" applyProtection="1"/>
    <xf numFmtId="168" fontId="18" fillId="0" borderId="0" xfId="16" applyNumberFormat="1" applyFont="1" applyFill="1" applyBorder="1" applyAlignment="1" applyProtection="1">
      <alignment horizontal="right"/>
    </xf>
    <xf numFmtId="177" fontId="18" fillId="0" borderId="0" xfId="75" applyNumberFormat="1" applyFont="1" applyFill="1" applyBorder="1" applyAlignment="1" applyProtection="1">
      <alignment horizontal="right"/>
    </xf>
    <xf numFmtId="168" fontId="18" fillId="0" borderId="0" xfId="75" applyNumberFormat="1" applyFont="1" applyProtection="1"/>
    <xf numFmtId="168" fontId="18" fillId="0" borderId="0" xfId="75" applyNumberFormat="1" applyFont="1" applyFill="1" applyProtection="1"/>
    <xf numFmtId="169" fontId="18" fillId="0" borderId="0" xfId="75" applyNumberFormat="1" applyFont="1" applyFill="1" applyBorder="1" applyAlignment="1" applyProtection="1">
      <alignment horizontal="right"/>
    </xf>
    <xf numFmtId="0" fontId="18" fillId="0" borderId="0" xfId="75" applyFont="1" applyBorder="1" applyProtection="1"/>
    <xf numFmtId="168" fontId="15" fillId="0" borderId="0" xfId="77" applyNumberFormat="1" applyFont="1" applyBorder="1" applyProtection="1"/>
    <xf numFmtId="0" fontId="18" fillId="0" borderId="0" xfId="75" applyFont="1" applyProtection="1"/>
    <xf numFmtId="168" fontId="20" fillId="0" borderId="0" xfId="75" applyNumberFormat="1" applyFont="1" applyBorder="1" applyProtection="1"/>
    <xf numFmtId="0" fontId="17" fillId="0" borderId="0" xfId="75" applyFont="1" applyProtection="1"/>
    <xf numFmtId="169" fontId="18" fillId="0" borderId="10" xfId="75" applyNumberFormat="1" applyFont="1" applyFill="1" applyBorder="1" applyProtection="1"/>
    <xf numFmtId="168" fontId="18" fillId="0" borderId="11" xfId="75" applyNumberFormat="1" applyFont="1" applyFill="1" applyBorder="1" applyAlignment="1" applyProtection="1">
      <alignment horizontal="right"/>
    </xf>
    <xf numFmtId="169" fontId="18" fillId="0" borderId="5" xfId="75" applyNumberFormat="1" applyFont="1" applyFill="1" applyBorder="1" applyProtection="1"/>
    <xf numFmtId="168" fontId="18" fillId="0" borderId="1" xfId="75" applyNumberFormat="1" applyFont="1" applyFill="1" applyBorder="1" applyAlignment="1" applyProtection="1">
      <alignment horizontal="right"/>
    </xf>
    <xf numFmtId="169" fontId="18" fillId="0" borderId="0" xfId="75" applyNumberFormat="1" applyFont="1" applyFill="1" applyBorder="1" applyProtection="1"/>
    <xf numFmtId="168" fontId="18" fillId="0" borderId="0" xfId="75" applyNumberFormat="1" applyFont="1" applyFill="1" applyBorder="1" applyProtection="1"/>
    <xf numFmtId="177" fontId="18" fillId="0" borderId="0" xfId="75" applyNumberFormat="1" applyFont="1" applyProtection="1"/>
    <xf numFmtId="168" fontId="15" fillId="0" borderId="0" xfId="75" applyNumberFormat="1" applyFont="1" applyBorder="1" applyProtection="1"/>
    <xf numFmtId="169" fontId="18" fillId="0" borderId="12" xfId="75" applyNumberFormat="1" applyFont="1" applyFill="1" applyBorder="1" applyProtection="1"/>
    <xf numFmtId="37" fontId="13" fillId="0" borderId="0" xfId="75" applyNumberFormat="1" applyBorder="1" applyProtection="1"/>
    <xf numFmtId="0" fontId="13" fillId="0" borderId="0" xfId="75" applyAlignment="1" applyProtection="1"/>
    <xf numFmtId="167" fontId="13" fillId="0" borderId="0" xfId="75" applyNumberFormat="1" applyBorder="1" applyProtection="1"/>
    <xf numFmtId="171" fontId="13" fillId="0" borderId="0" xfId="7" applyNumberFormat="1" applyBorder="1" applyProtection="1"/>
    <xf numFmtId="0" fontId="13" fillId="0" borderId="6" xfId="75" applyFill="1" applyBorder="1" applyProtection="1"/>
    <xf numFmtId="0" fontId="13" fillId="0" borderId="3" xfId="75" applyBorder="1" applyProtection="1"/>
    <xf numFmtId="0" fontId="24" fillId="0" borderId="9" xfId="75" applyFont="1" applyFill="1" applyBorder="1" applyAlignment="1" applyProtection="1">
      <alignment horizontal="center"/>
    </xf>
    <xf numFmtId="0" fontId="24" fillId="0" borderId="0" xfId="75" applyFont="1" applyFill="1" applyBorder="1" applyAlignment="1" applyProtection="1">
      <alignment horizontal="center"/>
    </xf>
    <xf numFmtId="0" fontId="24" fillId="0" borderId="7" xfId="75" applyFont="1" applyFill="1" applyBorder="1" applyAlignment="1" applyProtection="1">
      <alignment horizontal="center"/>
    </xf>
    <xf numFmtId="0" fontId="24" fillId="0" borderId="6" xfId="75" applyFont="1" applyFill="1" applyBorder="1" applyAlignment="1" applyProtection="1">
      <alignment horizontal="center"/>
    </xf>
    <xf numFmtId="0" fontId="24" fillId="0" borderId="1" xfId="75" applyFont="1" applyFill="1" applyBorder="1" applyAlignment="1" applyProtection="1">
      <alignment horizontal="center"/>
    </xf>
    <xf numFmtId="0" fontId="24" fillId="0" borderId="5" xfId="75" applyFont="1" applyFill="1" applyBorder="1" applyAlignment="1" applyProtection="1">
      <alignment horizontal="center"/>
    </xf>
    <xf numFmtId="0" fontId="14" fillId="0" borderId="9" xfId="75" applyFont="1" applyFill="1" applyBorder="1" applyAlignment="1" applyProtection="1">
      <alignment horizontal="center"/>
    </xf>
    <xf numFmtId="0" fontId="14" fillId="0" borderId="0" xfId="75" applyFont="1" applyFill="1" applyBorder="1" applyAlignment="1" applyProtection="1">
      <alignment horizontal="center"/>
    </xf>
    <xf numFmtId="0" fontId="24" fillId="0" borderId="8" xfId="75" applyFont="1" applyFill="1" applyBorder="1" applyAlignment="1" applyProtection="1">
      <alignment horizontal="center"/>
    </xf>
    <xf numFmtId="0" fontId="17" fillId="0" borderId="3" xfId="75" applyFont="1" applyFill="1" applyBorder="1" applyAlignment="1" applyProtection="1">
      <alignment horizontal="center"/>
    </xf>
    <xf numFmtId="0" fontId="17" fillId="0" borderId="4" xfId="75" applyFont="1" applyFill="1" applyBorder="1" applyAlignment="1" applyProtection="1">
      <alignment horizontal="center"/>
    </xf>
    <xf numFmtId="0" fontId="17" fillId="0" borderId="0" xfId="75" applyFont="1" applyFill="1" applyBorder="1" applyAlignment="1" applyProtection="1">
      <alignment horizontal="center"/>
    </xf>
    <xf numFmtId="0" fontId="17" fillId="0" borderId="11" xfId="75" applyFont="1" applyFill="1" applyBorder="1" applyAlignment="1" applyProtection="1">
      <alignment horizontal="center"/>
    </xf>
    <xf numFmtId="0" fontId="17" fillId="0" borderId="10" xfId="75" applyFont="1" applyFill="1" applyBorder="1" applyAlignment="1" applyProtection="1">
      <alignment horizontal="center"/>
    </xf>
    <xf numFmtId="0" fontId="79" fillId="0" borderId="9" xfId="75" applyFont="1" applyFill="1" applyBorder="1" applyAlignment="1" applyProtection="1">
      <alignment horizontal="center"/>
    </xf>
    <xf numFmtId="183" fontId="17" fillId="0" borderId="3" xfId="29" applyFont="1" applyFill="1" applyBorder="1" applyAlignment="1" applyProtection="1">
      <alignment horizontal="center"/>
    </xf>
    <xf numFmtId="0" fontId="79" fillId="0" borderId="0" xfId="75" applyFont="1" applyFill="1" applyBorder="1" applyAlignment="1" applyProtection="1">
      <alignment horizontal="center"/>
    </xf>
    <xf numFmtId="0" fontId="17" fillId="0" borderId="7" xfId="75" applyFont="1" applyFill="1" applyBorder="1" applyAlignment="1" applyProtection="1">
      <alignment horizontal="center"/>
    </xf>
    <xf numFmtId="0" fontId="17" fillId="0" borderId="15" xfId="75" applyFont="1" applyFill="1" applyBorder="1" applyAlignment="1" applyProtection="1">
      <alignment horizontal="center"/>
    </xf>
    <xf numFmtId="0" fontId="17" fillId="0" borderId="9" xfId="75" applyFont="1" applyFill="1" applyBorder="1" applyAlignment="1" applyProtection="1">
      <alignment horizontal="center"/>
    </xf>
    <xf numFmtId="0" fontId="18" fillId="0" borderId="9" xfId="75" applyFont="1" applyBorder="1" applyProtection="1"/>
    <xf numFmtId="0" fontId="18" fillId="0" borderId="0" xfId="75" applyFont="1" applyBorder="1" applyAlignment="1" applyProtection="1"/>
    <xf numFmtId="167" fontId="18" fillId="0" borderId="6" xfId="13" applyNumberFormat="1" applyFont="1" applyFill="1" applyBorder="1" applyProtection="1"/>
    <xf numFmtId="167" fontId="18" fillId="0" borderId="11" xfId="13" applyNumberFormat="1" applyFont="1" applyFill="1" applyBorder="1" applyProtection="1"/>
    <xf numFmtId="37" fontId="18" fillId="0" borderId="6" xfId="13" applyNumberFormat="1" applyFont="1" applyFill="1" applyBorder="1" applyProtection="1"/>
    <xf numFmtId="167" fontId="18" fillId="0" borderId="6" xfId="75" applyNumberFormat="1" applyFont="1" applyFill="1" applyBorder="1" applyProtection="1"/>
    <xf numFmtId="167" fontId="18" fillId="0" borderId="0" xfId="16" applyNumberFormat="1" applyFont="1" applyFill="1" applyBorder="1" applyAlignment="1" applyProtection="1">
      <alignment horizontal="right"/>
    </xf>
    <xf numFmtId="169" fontId="18" fillId="0" borderId="0" xfId="13" applyNumberFormat="1" applyFont="1" applyFill="1" applyBorder="1" applyAlignment="1" applyProtection="1"/>
    <xf numFmtId="37" fontId="18" fillId="0" borderId="9" xfId="13" applyNumberFormat="1" applyFont="1" applyFill="1" applyBorder="1" applyAlignment="1" applyProtection="1">
      <alignment horizontal="right"/>
    </xf>
    <xf numFmtId="167" fontId="18" fillId="0" borderId="14" xfId="13" applyNumberFormat="1" applyFont="1" applyFill="1" applyBorder="1" applyProtection="1"/>
    <xf numFmtId="167" fontId="18" fillId="0" borderId="13" xfId="13" applyNumberFormat="1" applyFont="1" applyFill="1" applyBorder="1" applyProtection="1"/>
    <xf numFmtId="167" fontId="18" fillId="0" borderId="12" xfId="13" applyNumberFormat="1" applyFont="1" applyFill="1" applyBorder="1" applyProtection="1"/>
    <xf numFmtId="169" fontId="18" fillId="0" borderId="13" xfId="13" applyNumberFormat="1" applyFont="1" applyFill="1" applyBorder="1" applyAlignment="1" applyProtection="1"/>
    <xf numFmtId="37" fontId="18" fillId="0" borderId="15" xfId="13" applyNumberFormat="1" applyFont="1" applyFill="1" applyBorder="1" applyAlignment="1" applyProtection="1">
      <alignment horizontal="right"/>
    </xf>
    <xf numFmtId="37" fontId="18" fillId="0" borderId="0" xfId="16" applyNumberFormat="1" applyFont="1" applyFill="1" applyBorder="1" applyAlignment="1" applyProtection="1">
      <alignment horizontal="right"/>
    </xf>
    <xf numFmtId="167" fontId="18" fillId="0" borderId="3" xfId="16" applyNumberFormat="1" applyFont="1" applyFill="1" applyBorder="1" applyAlignment="1" applyProtection="1">
      <alignment horizontal="right"/>
    </xf>
    <xf numFmtId="167" fontId="18" fillId="0" borderId="4" xfId="13" applyNumberFormat="1" applyFont="1" applyFill="1" applyBorder="1" applyProtection="1"/>
    <xf numFmtId="167" fontId="18" fillId="0" borderId="0" xfId="13" applyNumberFormat="1" applyFont="1" applyFill="1" applyBorder="1" applyProtection="1"/>
    <xf numFmtId="167" fontId="18" fillId="0" borderId="10" xfId="13" applyNumberFormat="1" applyFont="1" applyFill="1" applyBorder="1" applyProtection="1"/>
    <xf numFmtId="0" fontId="18" fillId="0" borderId="9" xfId="75" applyFont="1" applyBorder="1" applyAlignment="1" applyProtection="1">
      <alignment horizontal="right"/>
    </xf>
    <xf numFmtId="37" fontId="18" fillId="0" borderId="11" xfId="13" applyNumberFormat="1" applyFont="1" applyFill="1" applyBorder="1" applyAlignment="1" applyProtection="1">
      <alignment horizontal="right"/>
    </xf>
    <xf numFmtId="167" fontId="18" fillId="0" borderId="6" xfId="16" applyNumberFormat="1" applyFont="1" applyFill="1" applyBorder="1" applyAlignment="1" applyProtection="1">
      <alignment horizontal="right"/>
    </xf>
    <xf numFmtId="167" fontId="18" fillId="0" borderId="1" xfId="13" applyNumberFormat="1" applyFont="1" applyFill="1" applyBorder="1" applyProtection="1"/>
    <xf numFmtId="37" fontId="18" fillId="0" borderId="6" xfId="16" applyNumberFormat="1" applyFont="1" applyFill="1" applyBorder="1" applyAlignment="1" applyProtection="1">
      <alignment horizontal="right"/>
    </xf>
    <xf numFmtId="169" fontId="18" fillId="0" borderId="6" xfId="13" applyNumberFormat="1" applyFont="1" applyFill="1" applyBorder="1" applyAlignment="1" applyProtection="1"/>
    <xf numFmtId="167" fontId="18" fillId="0" borderId="0" xfId="13" applyNumberFormat="1" applyFont="1" applyFill="1" applyBorder="1" applyAlignment="1" applyProtection="1"/>
    <xf numFmtId="167" fontId="18" fillId="0" borderId="0" xfId="13" applyNumberFormat="1" applyFont="1" applyFill="1" applyBorder="1" applyAlignment="1" applyProtection="1">
      <alignment horizontal="right"/>
    </xf>
    <xf numFmtId="167" fontId="18" fillId="0" borderId="11" xfId="13" applyNumberFormat="1" applyFont="1" applyFill="1" applyBorder="1" applyAlignment="1" applyProtection="1">
      <alignment horizontal="right"/>
    </xf>
    <xf numFmtId="167" fontId="18" fillId="0" borderId="9" xfId="13" applyNumberFormat="1" applyFont="1" applyFill="1" applyBorder="1" applyProtection="1"/>
    <xf numFmtId="167" fontId="18" fillId="0" borderId="9" xfId="75" applyNumberFormat="1" applyFont="1" applyFill="1" applyBorder="1" applyProtection="1"/>
    <xf numFmtId="181" fontId="18" fillId="0" borderId="9" xfId="1" applyNumberFormat="1" applyFont="1" applyBorder="1" applyAlignment="1" applyProtection="1">
      <alignment horizontal="right"/>
    </xf>
    <xf numFmtId="167" fontId="18" fillId="0" borderId="9" xfId="75" applyNumberFormat="1" applyFont="1" applyFill="1" applyBorder="1" applyAlignment="1" applyProtection="1">
      <alignment horizontal="right"/>
    </xf>
    <xf numFmtId="43" fontId="18" fillId="0" borderId="9" xfId="13" applyFont="1" applyFill="1" applyBorder="1" applyProtection="1"/>
    <xf numFmtId="167" fontId="18" fillId="0" borderId="0" xfId="75" applyNumberFormat="1" applyFont="1" applyFill="1" applyBorder="1" applyAlignment="1" applyProtection="1">
      <alignment horizontal="right"/>
    </xf>
    <xf numFmtId="167" fontId="18" fillId="0" borderId="11" xfId="75" applyNumberFormat="1" applyFont="1" applyFill="1" applyBorder="1" applyAlignment="1" applyProtection="1">
      <alignment horizontal="right"/>
    </xf>
    <xf numFmtId="167" fontId="18" fillId="0" borderId="10" xfId="75" applyNumberFormat="1" applyFont="1" applyFill="1" applyBorder="1" applyAlignment="1" applyProtection="1">
      <alignment horizontal="right"/>
    </xf>
    <xf numFmtId="169" fontId="18" fillId="0" borderId="0" xfId="13" applyNumberFormat="1" applyFont="1" applyFill="1" applyBorder="1" applyAlignment="1" applyProtection="1">
      <alignment horizontal="right"/>
    </xf>
    <xf numFmtId="167" fontId="18" fillId="0" borderId="6" xfId="13" applyNumberFormat="1" applyFont="1" applyFill="1" applyBorder="1" applyAlignment="1" applyProtection="1">
      <alignment horizontal="right"/>
    </xf>
    <xf numFmtId="167" fontId="18" fillId="0" borderId="3" xfId="13" applyNumberFormat="1" applyFont="1" applyFill="1" applyBorder="1" applyProtection="1"/>
    <xf numFmtId="167" fontId="18" fillId="0" borderId="2" xfId="13" applyNumberFormat="1" applyFont="1" applyFill="1" applyBorder="1" applyProtection="1"/>
    <xf numFmtId="0" fontId="18" fillId="0" borderId="9" xfId="75" applyFont="1" applyFill="1" applyBorder="1" applyProtection="1"/>
    <xf numFmtId="181" fontId="18" fillId="0" borderId="3" xfId="1" applyNumberFormat="1" applyFont="1" applyFill="1" applyBorder="1" applyAlignment="1" applyProtection="1"/>
    <xf numFmtId="168" fontId="18" fillId="0" borderId="4" xfId="16" applyNumberFormat="1" applyFont="1" applyFill="1" applyBorder="1" applyAlignment="1" applyProtection="1">
      <alignment horizontal="right"/>
    </xf>
    <xf numFmtId="37" fontId="18" fillId="0" borderId="7" xfId="13" applyNumberFormat="1" applyFont="1" applyFill="1" applyBorder="1" applyAlignment="1" applyProtection="1">
      <alignment horizontal="right"/>
    </xf>
    <xf numFmtId="167" fontId="18" fillId="0" borderId="13" xfId="13" applyNumberFormat="1" applyFont="1" applyFill="1" applyBorder="1" applyAlignment="1" applyProtection="1">
      <alignment horizontal="right"/>
    </xf>
    <xf numFmtId="167" fontId="18" fillId="0" borderId="14" xfId="13" applyNumberFormat="1" applyFont="1" applyFill="1" applyBorder="1" applyAlignment="1" applyProtection="1">
      <alignment horizontal="right"/>
    </xf>
    <xf numFmtId="167" fontId="18" fillId="0" borderId="0" xfId="13" applyNumberFormat="1" applyFont="1" applyFill="1" applyBorder="1" applyAlignment="1" applyProtection="1">
      <alignment horizontal="center"/>
    </xf>
    <xf numFmtId="167" fontId="18" fillId="0" borderId="11" xfId="13" applyNumberFormat="1" applyFont="1" applyFill="1" applyBorder="1" applyAlignment="1" applyProtection="1">
      <alignment horizontal="center"/>
    </xf>
    <xf numFmtId="0" fontId="18" fillId="0" borderId="9" xfId="75" applyFont="1" applyFill="1" applyBorder="1" applyAlignment="1" applyProtection="1">
      <alignment horizontal="center"/>
    </xf>
    <xf numFmtId="0" fontId="18" fillId="0" borderId="0" xfId="75" applyFont="1" applyBorder="1" applyAlignment="1" applyProtection="1">
      <alignment horizontal="center"/>
    </xf>
    <xf numFmtId="37" fontId="18" fillId="0" borderId="8" xfId="13" applyNumberFormat="1" applyFont="1" applyFill="1" applyBorder="1" applyAlignment="1" applyProtection="1">
      <alignment horizontal="right"/>
    </xf>
    <xf numFmtId="169" fontId="18" fillId="0" borderId="9" xfId="13" applyNumberFormat="1" applyFont="1" applyFill="1" applyBorder="1" applyAlignment="1" applyProtection="1">
      <alignment horizontal="right"/>
    </xf>
    <xf numFmtId="167" fontId="18" fillId="0" borderId="19" xfId="13" applyNumberFormat="1" applyFont="1" applyFill="1" applyBorder="1" applyAlignment="1" applyProtection="1">
      <alignment horizontal="right"/>
    </xf>
    <xf numFmtId="167" fontId="18" fillId="0" borderId="17" xfId="13" applyNumberFormat="1" applyFont="1" applyFill="1" applyBorder="1" applyAlignment="1" applyProtection="1">
      <alignment horizontal="right"/>
    </xf>
    <xf numFmtId="167" fontId="18" fillId="0" borderId="19" xfId="13" applyNumberFormat="1" applyFont="1" applyFill="1" applyBorder="1" applyAlignment="1" applyProtection="1">
      <alignment horizontal="center"/>
    </xf>
    <xf numFmtId="167" fontId="18" fillId="0" borderId="17" xfId="13" applyNumberFormat="1" applyFont="1" applyFill="1" applyBorder="1" applyAlignment="1" applyProtection="1">
      <alignment horizontal="center"/>
    </xf>
    <xf numFmtId="37" fontId="18" fillId="0" borderId="18" xfId="13" applyNumberFormat="1" applyFont="1" applyFill="1" applyBorder="1" applyAlignment="1" applyProtection="1">
      <alignment horizontal="right"/>
    </xf>
    <xf numFmtId="37" fontId="18" fillId="0" borderId="17" xfId="13" applyNumberFormat="1" applyFont="1" applyFill="1" applyBorder="1" applyAlignment="1" applyProtection="1">
      <alignment horizontal="right"/>
    </xf>
    <xf numFmtId="0" fontId="18" fillId="0" borderId="0" xfId="16" applyNumberFormat="1" applyFont="1" applyFill="1" applyBorder="1" applyAlignment="1" applyProtection="1">
      <alignment horizontal="right"/>
    </xf>
    <xf numFmtId="170" fontId="18" fillId="0" borderId="0" xfId="75" applyNumberFormat="1" applyFont="1" applyFill="1" applyBorder="1" applyProtection="1"/>
    <xf numFmtId="168" fontId="18" fillId="0" borderId="0" xfId="75" applyNumberFormat="1" applyFont="1" applyBorder="1" applyProtection="1"/>
    <xf numFmtId="168" fontId="18" fillId="0" borderId="0" xfId="16" applyNumberFormat="1" applyFont="1" applyFill="1" applyBorder="1" applyProtection="1"/>
    <xf numFmtId="177" fontId="18" fillId="0" borderId="0" xfId="75" applyNumberFormat="1" applyFont="1" applyFill="1" applyBorder="1" applyAlignment="1" applyProtection="1">
      <alignment horizontal="center"/>
    </xf>
    <xf numFmtId="0" fontId="18" fillId="0" borderId="0" xfId="75" applyFont="1" applyFill="1" applyBorder="1" applyAlignment="1" applyProtection="1">
      <alignment horizontal="right"/>
    </xf>
    <xf numFmtId="0" fontId="18" fillId="0" borderId="0" xfId="75" applyFont="1" applyBorder="1" applyAlignment="1" applyProtection="1">
      <alignment horizontal="right"/>
    </xf>
    <xf numFmtId="0" fontId="18" fillId="0" borderId="6" xfId="75" applyFont="1" applyBorder="1" applyProtection="1"/>
    <xf numFmtId="0" fontId="18" fillId="0" borderId="2" xfId="75" applyFont="1" applyBorder="1" applyProtection="1"/>
    <xf numFmtId="0" fontId="18" fillId="0" borderId="0" xfId="75" applyFont="1" applyFill="1" applyBorder="1" applyAlignment="1" applyProtection="1">
      <alignment horizontal="center"/>
    </xf>
    <xf numFmtId="37" fontId="18" fillId="0" borderId="0" xfId="75" applyNumberFormat="1" applyFont="1" applyFill="1" applyBorder="1" applyProtection="1"/>
    <xf numFmtId="37" fontId="18" fillId="0" borderId="11" xfId="75" applyNumberFormat="1" applyFont="1" applyBorder="1" applyProtection="1"/>
    <xf numFmtId="37" fontId="18" fillId="0" borderId="3" xfId="75" applyNumberFormat="1" applyFont="1" applyFill="1" applyBorder="1" applyProtection="1"/>
    <xf numFmtId="37" fontId="18" fillId="0" borderId="0" xfId="13" applyNumberFormat="1" applyFont="1" applyFill="1" applyBorder="1" applyProtection="1"/>
    <xf numFmtId="37" fontId="18" fillId="0" borderId="2" xfId="13" applyNumberFormat="1" applyFont="1" applyFill="1" applyBorder="1" applyProtection="1"/>
    <xf numFmtId="37" fontId="18" fillId="0" borderId="11" xfId="13" applyNumberFormat="1" applyFont="1" applyFill="1" applyBorder="1" applyProtection="1"/>
    <xf numFmtId="37" fontId="18" fillId="0" borderId="4" xfId="13" applyNumberFormat="1" applyFont="1" applyFill="1" applyBorder="1" applyProtection="1"/>
    <xf numFmtId="168" fontId="18" fillId="0" borderId="4" xfId="75" applyNumberFormat="1" applyFont="1" applyFill="1" applyBorder="1" applyAlignment="1" applyProtection="1"/>
    <xf numFmtId="37" fontId="18" fillId="0" borderId="9" xfId="75" applyNumberFormat="1" applyFont="1" applyBorder="1" applyProtection="1"/>
    <xf numFmtId="37" fontId="18" fillId="0" borderId="10" xfId="13" applyNumberFormat="1" applyFont="1" applyFill="1" applyBorder="1" applyProtection="1"/>
    <xf numFmtId="169" fontId="18" fillId="0" borderId="0" xfId="16" applyNumberFormat="1" applyFont="1" applyFill="1" applyBorder="1" applyAlignment="1" applyProtection="1">
      <alignment horizontal="right"/>
    </xf>
    <xf numFmtId="181" fontId="18" fillId="0" borderId="0" xfId="1" applyNumberFormat="1" applyFont="1" applyFill="1" applyBorder="1" applyAlignment="1" applyProtection="1"/>
    <xf numFmtId="168" fontId="18" fillId="0" borderId="11" xfId="75" applyNumberFormat="1" applyFont="1" applyFill="1" applyBorder="1" applyAlignment="1" applyProtection="1"/>
    <xf numFmtId="37" fontId="18" fillId="0" borderId="5" xfId="13" applyNumberFormat="1" applyFont="1" applyFill="1" applyBorder="1" applyProtection="1"/>
    <xf numFmtId="37" fontId="18" fillId="0" borderId="8" xfId="13" applyNumberFormat="1" applyFont="1" applyFill="1" applyBorder="1" applyProtection="1"/>
    <xf numFmtId="37" fontId="18" fillId="0" borderId="6" xfId="75" applyNumberFormat="1" applyFont="1" applyFill="1" applyBorder="1" applyProtection="1"/>
    <xf numFmtId="37" fontId="18" fillId="0" borderId="1" xfId="75" applyNumberFormat="1" applyFont="1" applyBorder="1" applyProtection="1"/>
    <xf numFmtId="37" fontId="18" fillId="0" borderId="1" xfId="13" applyNumberFormat="1" applyFont="1" applyFill="1" applyBorder="1" applyProtection="1"/>
    <xf numFmtId="37" fontId="18" fillId="0" borderId="8" xfId="75" applyNumberFormat="1" applyFont="1" applyBorder="1" applyProtection="1"/>
    <xf numFmtId="169" fontId="18" fillId="0" borderId="0" xfId="75" applyNumberFormat="1" applyFont="1" applyFill="1" applyBorder="1" applyAlignment="1" applyProtection="1"/>
    <xf numFmtId="168" fontId="18" fillId="0" borderId="0" xfId="75" applyNumberFormat="1" applyFont="1" applyFill="1" applyBorder="1" applyAlignment="1" applyProtection="1"/>
    <xf numFmtId="37" fontId="18" fillId="0" borderId="11" xfId="75" applyNumberFormat="1" applyFont="1" applyFill="1" applyBorder="1" applyProtection="1"/>
    <xf numFmtId="37" fontId="18" fillId="0" borderId="10" xfId="75" applyNumberFormat="1" applyFont="1" applyFill="1" applyBorder="1" applyProtection="1"/>
    <xf numFmtId="37" fontId="18" fillId="0" borderId="10" xfId="75" applyNumberFormat="1" applyFont="1" applyBorder="1" applyProtection="1"/>
    <xf numFmtId="37" fontId="18" fillId="0" borderId="4" xfId="75" applyNumberFormat="1" applyFont="1" applyFill="1" applyBorder="1" applyProtection="1"/>
    <xf numFmtId="181" fontId="18" fillId="0" borderId="3" xfId="13" applyNumberFormat="1" applyFont="1" applyFill="1" applyBorder="1" applyAlignment="1" applyProtection="1"/>
    <xf numFmtId="181" fontId="18" fillId="0" borderId="0" xfId="13" applyNumberFormat="1" applyFont="1" applyFill="1" applyBorder="1" applyAlignment="1" applyProtection="1"/>
    <xf numFmtId="37" fontId="18" fillId="0" borderId="9" xfId="75" applyNumberFormat="1" applyFont="1" applyFill="1" applyBorder="1" applyProtection="1"/>
    <xf numFmtId="181" fontId="18" fillId="0" borderId="0" xfId="13" applyNumberFormat="1" applyFont="1" applyBorder="1" applyAlignment="1" applyProtection="1"/>
    <xf numFmtId="181" fontId="18" fillId="0" borderId="0" xfId="13" applyNumberFormat="1" applyFont="1" applyFill="1" applyBorder="1" applyProtection="1"/>
    <xf numFmtId="43" fontId="18" fillId="0" borderId="0" xfId="13" applyFont="1" applyFill="1" applyBorder="1" applyProtection="1"/>
    <xf numFmtId="181" fontId="18" fillId="0" borderId="0" xfId="1" applyNumberFormat="1" applyFont="1" applyBorder="1" applyAlignment="1" applyProtection="1"/>
    <xf numFmtId="181" fontId="18" fillId="0" borderId="6" xfId="13" applyNumberFormat="1" applyFont="1" applyFill="1" applyBorder="1" applyProtection="1"/>
    <xf numFmtId="43" fontId="18" fillId="0" borderId="6" xfId="13" applyFont="1" applyFill="1" applyBorder="1" applyProtection="1"/>
    <xf numFmtId="43" fontId="18" fillId="0" borderId="10" xfId="13" applyFont="1" applyBorder="1" applyProtection="1"/>
    <xf numFmtId="43" fontId="18" fillId="0" borderId="1" xfId="13" applyFont="1" applyFill="1" applyBorder="1" applyProtection="1"/>
    <xf numFmtId="37" fontId="18" fillId="0" borderId="1" xfId="75" applyNumberFormat="1" applyFont="1" applyFill="1" applyBorder="1" applyProtection="1"/>
    <xf numFmtId="37" fontId="18" fillId="0" borderId="8" xfId="75" applyNumberFormat="1" applyFont="1" applyFill="1" applyBorder="1" applyProtection="1"/>
    <xf numFmtId="37" fontId="18" fillId="0" borderId="13" xfId="75" applyNumberFormat="1" applyFont="1" applyBorder="1" applyProtection="1"/>
    <xf numFmtId="37" fontId="18" fillId="0" borderId="14" xfId="75" applyNumberFormat="1" applyFont="1" applyBorder="1" applyProtection="1"/>
    <xf numFmtId="37" fontId="18" fillId="0" borderId="12" xfId="75" applyNumberFormat="1" applyFont="1" applyBorder="1" applyProtection="1"/>
    <xf numFmtId="0" fontId="13" fillId="0" borderId="9" xfId="75" applyBorder="1" applyProtection="1"/>
    <xf numFmtId="181" fontId="18" fillId="0" borderId="13" xfId="13" applyNumberFormat="1" applyFont="1" applyBorder="1" applyAlignment="1" applyProtection="1"/>
    <xf numFmtId="168" fontId="18" fillId="0" borderId="14" xfId="75" applyNumberFormat="1" applyFont="1" applyFill="1" applyBorder="1" applyAlignment="1" applyProtection="1"/>
    <xf numFmtId="169" fontId="18" fillId="0" borderId="15" xfId="75" applyNumberFormat="1" applyFont="1" applyBorder="1" applyProtection="1"/>
    <xf numFmtId="37" fontId="18" fillId="0" borderId="6" xfId="75" applyNumberFormat="1" applyFont="1" applyBorder="1" applyProtection="1"/>
    <xf numFmtId="37" fontId="18" fillId="0" borderId="0" xfId="75" applyNumberFormat="1" applyFont="1" applyBorder="1" applyProtection="1"/>
    <xf numFmtId="37" fontId="18" fillId="0" borderId="5" xfId="75" applyNumberFormat="1" applyFont="1" applyBorder="1" applyProtection="1"/>
    <xf numFmtId="168" fontId="18" fillId="0" borderId="1" xfId="75" applyNumberFormat="1" applyFont="1" applyFill="1" applyBorder="1" applyAlignment="1" applyProtection="1"/>
    <xf numFmtId="169" fontId="18" fillId="0" borderId="8" xfId="75" applyNumberFormat="1" applyFont="1" applyBorder="1" applyProtection="1"/>
    <xf numFmtId="183" fontId="78" fillId="0" borderId="0" xfId="76" applyNumberFormat="1" applyFill="1" applyBorder="1" applyAlignment="1" applyProtection="1">
      <alignment horizontal="center"/>
    </xf>
    <xf numFmtId="181" fontId="18" fillId="0" borderId="8" xfId="1" applyNumberFormat="1" applyFont="1" applyBorder="1" applyAlignment="1" applyProtection="1">
      <alignment horizontal="center"/>
    </xf>
    <xf numFmtId="169" fontId="13" fillId="0" borderId="0" xfId="75" applyNumberFormat="1" applyBorder="1" applyProtection="1"/>
    <xf numFmtId="37" fontId="13" fillId="0" borderId="0" xfId="75" applyNumberFormat="1" applyBorder="1" applyAlignment="1" applyProtection="1"/>
    <xf numFmtId="0" fontId="18" fillId="0" borderId="3" xfId="75" applyFont="1" applyBorder="1" applyProtection="1">
      <protection locked="0"/>
    </xf>
    <xf numFmtId="37" fontId="18" fillId="0" borderId="13" xfId="13" applyNumberFormat="1" applyFont="1" applyFill="1" applyBorder="1" applyProtection="1">
      <protection locked="0"/>
    </xf>
    <xf numFmtId="169" fontId="18" fillId="0" borderId="13" xfId="13" applyNumberFormat="1" applyFont="1" applyFill="1" applyBorder="1" applyAlignment="1" applyProtection="1">
      <alignment horizontal="right"/>
      <protection locked="0"/>
    </xf>
    <xf numFmtId="183" fontId="78" fillId="0" borderId="9" xfId="157" applyNumberFormat="1" applyBorder="1" applyProtection="1">
      <protection locked="0"/>
    </xf>
    <xf numFmtId="183" fontId="15" fillId="0" borderId="0" xfId="77" applyFont="1" applyProtection="1"/>
    <xf numFmtId="0" fontId="18" fillId="0" borderId="3" xfId="75" applyFont="1" applyBorder="1" applyProtection="1"/>
    <xf numFmtId="0" fontId="18" fillId="0" borderId="4" xfId="75" applyFont="1" applyBorder="1" applyProtection="1"/>
    <xf numFmtId="169" fontId="18" fillId="0" borderId="0" xfId="75" applyNumberFormat="1" applyFont="1" applyFill="1" applyProtection="1"/>
    <xf numFmtId="169" fontId="18" fillId="0" borderId="11" xfId="75" applyNumberFormat="1" applyFont="1" applyFill="1" applyBorder="1" applyProtection="1"/>
    <xf numFmtId="37" fontId="18" fillId="0" borderId="13" xfId="13" applyNumberFormat="1" applyFont="1" applyFill="1" applyBorder="1" applyProtection="1"/>
    <xf numFmtId="37" fontId="18" fillId="0" borderId="14" xfId="13" applyNumberFormat="1" applyFont="1" applyFill="1" applyBorder="1" applyProtection="1"/>
    <xf numFmtId="37" fontId="18" fillId="0" borderId="12" xfId="13" applyNumberFormat="1" applyFont="1" applyFill="1" applyBorder="1" applyProtection="1"/>
    <xf numFmtId="37" fontId="18" fillId="0" borderId="3" xfId="16" applyNumberFormat="1" applyFont="1" applyFill="1" applyBorder="1" applyAlignment="1" applyProtection="1">
      <alignment horizontal="right"/>
    </xf>
    <xf numFmtId="0" fontId="18" fillId="0" borderId="9" xfId="75" applyFont="1" applyFill="1" applyBorder="1" applyAlignment="1" applyProtection="1">
      <alignment horizontal="right"/>
    </xf>
    <xf numFmtId="169" fontId="18" fillId="0" borderId="11" xfId="13" applyNumberFormat="1" applyFont="1" applyFill="1" applyBorder="1" applyAlignment="1" applyProtection="1">
      <alignment horizontal="right"/>
    </xf>
    <xf numFmtId="169" fontId="18" fillId="0" borderId="1" xfId="1" applyNumberFormat="1" applyFont="1" applyFill="1" applyBorder="1" applyAlignment="1" applyProtection="1">
      <alignment horizontal="right"/>
    </xf>
    <xf numFmtId="43" fontId="18" fillId="0" borderId="0" xfId="13" applyFont="1" applyFill="1" applyBorder="1" applyAlignment="1" applyProtection="1">
      <alignment horizontal="right"/>
    </xf>
    <xf numFmtId="43" fontId="18" fillId="0" borderId="6" xfId="13" applyFont="1" applyFill="1" applyBorder="1" applyAlignment="1" applyProtection="1">
      <alignment horizontal="right"/>
    </xf>
    <xf numFmtId="43" fontId="18" fillId="0" borderId="1" xfId="13" applyFont="1" applyFill="1" applyBorder="1" applyAlignment="1" applyProtection="1">
      <alignment horizontal="right"/>
    </xf>
    <xf numFmtId="169" fontId="18" fillId="0" borderId="5" xfId="75" applyNumberFormat="1" applyFont="1" applyFill="1" applyBorder="1" applyAlignment="1" applyProtection="1">
      <alignment horizontal="right"/>
    </xf>
    <xf numFmtId="169" fontId="18" fillId="0" borderId="10" xfId="75" applyNumberFormat="1" applyFont="1" applyFill="1" applyBorder="1" applyAlignment="1" applyProtection="1">
      <alignment horizontal="right"/>
    </xf>
    <xf numFmtId="169" fontId="18" fillId="0" borderId="11" xfId="75" applyNumberFormat="1" applyFont="1" applyFill="1" applyBorder="1" applyAlignment="1" applyProtection="1">
      <alignment horizontal="right"/>
    </xf>
    <xf numFmtId="169" fontId="18" fillId="0" borderId="9" xfId="75" applyNumberFormat="1" applyFont="1" applyFill="1" applyBorder="1" applyAlignment="1" applyProtection="1">
      <alignment horizontal="right"/>
    </xf>
    <xf numFmtId="169" fontId="18" fillId="0" borderId="9" xfId="75" applyNumberFormat="1" applyFont="1" applyFill="1" applyBorder="1" applyProtection="1"/>
    <xf numFmtId="43" fontId="18" fillId="0" borderId="11" xfId="13" applyFont="1" applyFill="1" applyBorder="1" applyAlignment="1" applyProtection="1">
      <alignment horizontal="right"/>
    </xf>
    <xf numFmtId="43" fontId="18" fillId="0" borderId="11" xfId="13" applyFont="1" applyFill="1" applyBorder="1" applyProtection="1"/>
    <xf numFmtId="43" fontId="18" fillId="0" borderId="10" xfId="13" applyFont="1" applyFill="1" applyBorder="1" applyProtection="1"/>
    <xf numFmtId="43" fontId="18" fillId="0" borderId="0" xfId="13" applyFont="1" applyFill="1" applyProtection="1"/>
    <xf numFmtId="37" fontId="18" fillId="0" borderId="3" xfId="13" applyNumberFormat="1" applyFont="1" applyFill="1" applyBorder="1" applyProtection="1"/>
    <xf numFmtId="169" fontId="18" fillId="0" borderId="10" xfId="1" applyNumberFormat="1" applyFont="1" applyFill="1" applyBorder="1" applyAlignment="1" applyProtection="1">
      <alignment horizontal="right"/>
    </xf>
    <xf numFmtId="169" fontId="18" fillId="0" borderId="5" xfId="1" applyNumberFormat="1" applyFont="1" applyFill="1" applyBorder="1" applyAlignment="1" applyProtection="1">
      <alignment horizontal="right"/>
    </xf>
    <xf numFmtId="169" fontId="18" fillId="0" borderId="13" xfId="13" applyNumberFormat="1" applyFont="1" applyFill="1" applyBorder="1" applyAlignment="1" applyProtection="1">
      <alignment horizontal="right"/>
    </xf>
    <xf numFmtId="169" fontId="18" fillId="0" borderId="13" xfId="1" applyNumberFormat="1" applyFont="1" applyFill="1" applyBorder="1" applyAlignment="1" applyProtection="1">
      <alignment horizontal="right"/>
    </xf>
    <xf numFmtId="169" fontId="18" fillId="0" borderId="14" xfId="1" applyNumberFormat="1" applyFont="1" applyFill="1" applyBorder="1" applyAlignment="1" applyProtection="1">
      <alignment horizontal="right"/>
    </xf>
    <xf numFmtId="181" fontId="18" fillId="0" borderId="11" xfId="1" applyNumberFormat="1" applyFont="1" applyFill="1" applyBorder="1" applyAlignment="1" applyProtection="1">
      <alignment horizontal="center"/>
    </xf>
    <xf numFmtId="181" fontId="18" fillId="0" borderId="9" xfId="1" applyNumberFormat="1" applyFont="1" applyFill="1" applyBorder="1" applyAlignment="1" applyProtection="1">
      <alignment horizontal="center"/>
    </xf>
    <xf numFmtId="169" fontId="18" fillId="0" borderId="15" xfId="13" applyNumberFormat="1" applyFont="1" applyFill="1" applyBorder="1" applyAlignment="1" applyProtection="1">
      <alignment horizontal="right"/>
    </xf>
    <xf numFmtId="37" fontId="18" fillId="0" borderId="19" xfId="13" applyNumberFormat="1" applyFont="1" applyFill="1" applyBorder="1" applyAlignment="1" applyProtection="1">
      <alignment horizontal="right"/>
    </xf>
    <xf numFmtId="181" fontId="18" fillId="0" borderId="19" xfId="1" applyNumberFormat="1" applyFont="1" applyFill="1" applyBorder="1" applyAlignment="1" applyProtection="1">
      <alignment horizontal="center"/>
    </xf>
    <xf numFmtId="181" fontId="18" fillId="0" borderId="17" xfId="1" applyNumberFormat="1" applyFont="1" applyFill="1" applyBorder="1" applyAlignment="1" applyProtection="1">
      <alignment horizontal="center"/>
    </xf>
    <xf numFmtId="181" fontId="18" fillId="0" borderId="10" xfId="1" applyNumberFormat="1" applyFont="1" applyBorder="1" applyAlignment="1" applyProtection="1"/>
    <xf numFmtId="181" fontId="18" fillId="0" borderId="6" xfId="1" applyNumberFormat="1" applyFont="1" applyBorder="1" applyAlignment="1" applyProtection="1"/>
    <xf numFmtId="169" fontId="18" fillId="0" borderId="13" xfId="157" applyNumberFormat="1" applyFont="1" applyBorder="1" applyProtection="1"/>
    <xf numFmtId="169" fontId="18" fillId="0" borderId="1" xfId="157" applyNumberFormat="1" applyFont="1" applyBorder="1" applyProtection="1"/>
    <xf numFmtId="169" fontId="18" fillId="0" borderId="5" xfId="157" applyNumberFormat="1" applyFont="1" applyBorder="1" applyProtection="1"/>
    <xf numFmtId="169" fontId="18" fillId="0" borderId="6" xfId="157" applyNumberFormat="1" applyFont="1" applyBorder="1" applyProtection="1"/>
    <xf numFmtId="169" fontId="18" fillId="0" borderId="5" xfId="157" applyNumberFormat="1" applyFont="1" applyBorder="1" applyAlignment="1" applyProtection="1">
      <alignment horizontal="center"/>
    </xf>
    <xf numFmtId="169" fontId="18" fillId="0" borderId="6" xfId="157" applyNumberFormat="1" applyFont="1" applyBorder="1" applyAlignment="1" applyProtection="1">
      <alignment horizontal="center"/>
    </xf>
    <xf numFmtId="169" fontId="18" fillId="0" borderId="1" xfId="157" applyNumberFormat="1" applyFont="1" applyBorder="1" applyAlignment="1" applyProtection="1">
      <alignment horizontal="center"/>
    </xf>
    <xf numFmtId="169" fontId="18" fillId="0" borderId="0" xfId="157" applyNumberFormat="1" applyFont="1" applyBorder="1" applyAlignment="1" applyProtection="1">
      <alignment horizontal="center"/>
    </xf>
    <xf numFmtId="169" fontId="78" fillId="0" borderId="0" xfId="157" applyNumberFormat="1" applyFill="1" applyBorder="1" applyAlignment="1" applyProtection="1">
      <alignment horizontal="center"/>
    </xf>
    <xf numFmtId="169" fontId="78" fillId="0" borderId="9" xfId="157" applyNumberFormat="1" applyBorder="1" applyAlignment="1" applyProtection="1">
      <alignment horizontal="center"/>
    </xf>
    <xf numFmtId="168" fontId="18" fillId="0" borderId="1" xfId="157" applyNumberFormat="1" applyFont="1" applyFill="1" applyBorder="1" applyAlignment="1" applyProtection="1">
      <alignment horizontal="right"/>
    </xf>
    <xf numFmtId="183" fontId="78" fillId="0" borderId="0" xfId="157" applyNumberFormat="1" applyAlignment="1" applyProtection="1">
      <alignment horizontal="center"/>
    </xf>
    <xf numFmtId="0" fontId="13" fillId="0" borderId="0" xfId="75" applyFont="1" applyBorder="1" applyProtection="1">
      <protection locked="0"/>
    </xf>
    <xf numFmtId="0" fontId="13" fillId="0" borderId="0" xfId="75" applyFont="1" applyProtection="1">
      <protection locked="0"/>
    </xf>
    <xf numFmtId="37" fontId="16" fillId="0" borderId="0" xfId="75" applyNumberFormat="1" applyFont="1" applyFill="1" applyBorder="1" applyAlignment="1" applyProtection="1">
      <alignment horizontal="left"/>
    </xf>
    <xf numFmtId="183" fontId="17" fillId="0" borderId="13" xfId="0" applyFont="1" applyFill="1" applyBorder="1" applyAlignment="1" applyProtection="1">
      <alignment horizontal="center"/>
    </xf>
    <xf numFmtId="183" fontId="17" fillId="0" borderId="14" xfId="0" applyFont="1" applyFill="1" applyBorder="1" applyAlignment="1" applyProtection="1">
      <alignment horizontal="center"/>
    </xf>
    <xf numFmtId="0" fontId="17" fillId="0" borderId="13" xfId="75" applyFont="1" applyFill="1" applyBorder="1" applyAlignment="1" applyProtection="1">
      <alignment horizontal="center"/>
    </xf>
    <xf numFmtId="0" fontId="17" fillId="0" borderId="14" xfId="75" applyFont="1" applyFill="1" applyBorder="1" applyAlignment="1" applyProtection="1">
      <alignment horizontal="center"/>
    </xf>
    <xf numFmtId="183" fontId="17" fillId="0" borderId="13" xfId="29" applyFont="1" applyFill="1" applyBorder="1" applyAlignment="1" applyProtection="1">
      <alignment horizontal="center"/>
    </xf>
    <xf numFmtId="37" fontId="18" fillId="0" borderId="11" xfId="16" applyNumberFormat="1" applyFont="1" applyFill="1" applyBorder="1" applyAlignment="1" applyProtection="1">
      <alignment horizontal="right"/>
    </xf>
    <xf numFmtId="169" fontId="18" fillId="0" borderId="9" xfId="75" applyNumberFormat="1" applyFont="1" applyBorder="1" applyProtection="1"/>
    <xf numFmtId="43" fontId="18" fillId="0" borderId="9" xfId="1" applyFont="1" applyBorder="1" applyProtection="1"/>
    <xf numFmtId="179" fontId="18" fillId="0" borderId="13" xfId="1" applyNumberFormat="1" applyFont="1" applyFill="1" applyBorder="1" applyAlignment="1" applyProtection="1">
      <alignment horizontal="right"/>
    </xf>
    <xf numFmtId="179" fontId="18" fillId="0" borderId="14" xfId="1" applyNumberFormat="1" applyFont="1" applyFill="1" applyBorder="1" applyAlignment="1" applyProtection="1">
      <alignment horizontal="right"/>
    </xf>
    <xf numFmtId="0" fontId="13" fillId="0" borderId="0" xfId="75" applyFill="1" applyProtection="1"/>
    <xf numFmtId="0" fontId="18" fillId="0" borderId="6" xfId="75" applyFont="1" applyFill="1" applyBorder="1" applyProtection="1"/>
    <xf numFmtId="181" fontId="18" fillId="0" borderId="4" xfId="1" applyNumberFormat="1" applyFont="1" applyFill="1" applyBorder="1" applyProtection="1"/>
    <xf numFmtId="181" fontId="24" fillId="0" borderId="0" xfId="1" applyNumberFormat="1" applyFont="1" applyFill="1" applyBorder="1" applyAlignment="1" applyProtection="1">
      <alignment horizontal="center"/>
    </xf>
    <xf numFmtId="181" fontId="18" fillId="0" borderId="14" xfId="1" applyNumberFormat="1" applyFont="1" applyBorder="1" applyProtection="1"/>
    <xf numFmtId="181" fontId="18" fillId="0" borderId="12" xfId="1" applyNumberFormat="1" applyFont="1" applyBorder="1" applyProtection="1"/>
    <xf numFmtId="181" fontId="13" fillId="0" borderId="0" xfId="1" applyNumberFormat="1" applyFill="1" applyBorder="1" applyProtection="1"/>
    <xf numFmtId="181" fontId="13" fillId="0" borderId="9" xfId="1" applyNumberFormat="1" applyBorder="1" applyProtection="1"/>
    <xf numFmtId="181" fontId="18" fillId="0" borderId="13" xfId="1" applyNumberFormat="1" applyFont="1" applyBorder="1" applyAlignment="1" applyProtection="1"/>
    <xf numFmtId="181" fontId="18" fillId="0" borderId="13" xfId="1" applyNumberFormat="1" applyFont="1" applyBorder="1" applyAlignment="1" applyProtection="1">
      <alignment horizontal="right"/>
    </xf>
    <xf numFmtId="181" fontId="18" fillId="0" borderId="12" xfId="1" applyNumberFormat="1" applyFont="1" applyBorder="1" applyAlignment="1" applyProtection="1">
      <alignment horizontal="right"/>
    </xf>
    <xf numFmtId="181" fontId="18" fillId="0" borderId="14" xfId="1" applyNumberFormat="1" applyFont="1" applyBorder="1" applyAlignment="1" applyProtection="1">
      <alignment horizontal="right"/>
    </xf>
    <xf numFmtId="181" fontId="18" fillId="0" borderId="6" xfId="1" applyNumberFormat="1" applyFont="1" applyBorder="1" applyAlignment="1" applyProtection="1">
      <alignment horizontal="right"/>
    </xf>
    <xf numFmtId="181" fontId="18" fillId="0" borderId="1" xfId="1" applyNumberFormat="1" applyFont="1" applyBorder="1" applyAlignment="1" applyProtection="1">
      <alignment horizontal="right"/>
    </xf>
    <xf numFmtId="181" fontId="18" fillId="0" borderId="5" xfId="1" applyNumberFormat="1" applyFont="1" applyBorder="1" applyAlignment="1" applyProtection="1">
      <alignment horizontal="center"/>
    </xf>
    <xf numFmtId="181" fontId="18" fillId="0" borderId="1" xfId="1" applyNumberFormat="1" applyFont="1" applyBorder="1" applyAlignment="1" applyProtection="1">
      <alignment horizontal="center"/>
    </xf>
    <xf numFmtId="181" fontId="18" fillId="0" borderId="0" xfId="1" applyNumberFormat="1" applyFont="1" applyBorder="1" applyAlignment="1" applyProtection="1">
      <alignment horizontal="center"/>
    </xf>
    <xf numFmtId="181" fontId="0" fillId="0" borderId="0" xfId="1" applyNumberFormat="1" applyFont="1" applyFill="1" applyBorder="1" applyAlignment="1" applyProtection="1">
      <alignment horizontal="center"/>
    </xf>
    <xf numFmtId="181" fontId="0" fillId="0" borderId="9" xfId="1" applyNumberFormat="1" applyFont="1" applyBorder="1" applyAlignment="1" applyProtection="1">
      <alignment horizontal="center"/>
    </xf>
    <xf numFmtId="183" fontId="0" fillId="0" borderId="0" xfId="0" applyAlignment="1" applyProtection="1">
      <alignment horizontal="center"/>
    </xf>
    <xf numFmtId="169" fontId="18" fillId="0" borderId="8" xfId="1" applyNumberFormat="1" applyFont="1" applyBorder="1" applyAlignment="1" applyProtection="1">
      <alignment horizontal="right"/>
    </xf>
    <xf numFmtId="181" fontId="13" fillId="0" borderId="0" xfId="1" applyNumberFormat="1" applyBorder="1" applyAlignment="1" applyProtection="1"/>
    <xf numFmtId="43" fontId="13" fillId="0" borderId="0" xfId="75" applyNumberFormat="1" applyProtection="1"/>
    <xf numFmtId="183" fontId="14" fillId="0" borderId="9" xfId="0" applyFont="1" applyFill="1" applyBorder="1" applyAlignment="1" applyProtection="1">
      <alignment horizontal="center"/>
      <protection locked="0"/>
    </xf>
    <xf numFmtId="183" fontId="13" fillId="0" borderId="0" xfId="0" applyFont="1" applyBorder="1" applyProtection="1">
      <protection locked="0"/>
    </xf>
    <xf numFmtId="183" fontId="14" fillId="0" borderId="4" xfId="0" applyFont="1" applyFill="1" applyBorder="1" applyAlignment="1" applyProtection="1">
      <alignment horizontal="center"/>
    </xf>
    <xf numFmtId="169" fontId="18" fillId="0" borderId="2" xfId="13" applyNumberFormat="1" applyFont="1" applyFill="1" applyBorder="1" applyProtection="1"/>
    <xf numFmtId="177" fontId="18" fillId="0" borderId="0" xfId="7" applyNumberFormat="1" applyFont="1" applyFill="1" applyProtection="1"/>
    <xf numFmtId="183" fontId="36" fillId="0" borderId="0" xfId="0" applyFont="1" applyFill="1" applyBorder="1" applyProtection="1"/>
    <xf numFmtId="183" fontId="18" fillId="0" borderId="0" xfId="0" applyFont="1" applyFill="1" applyBorder="1" applyAlignment="1" applyProtection="1">
      <alignment horizontal="right"/>
    </xf>
    <xf numFmtId="183" fontId="24" fillId="0" borderId="10" xfId="0" applyFont="1" applyFill="1" applyBorder="1" applyAlignment="1" applyProtection="1">
      <alignment horizontal="center"/>
    </xf>
    <xf numFmtId="183" fontId="18" fillId="0" borderId="0" xfId="0" applyFont="1" applyBorder="1" applyAlignment="1" applyProtection="1"/>
    <xf numFmtId="181" fontId="18" fillId="0" borderId="0" xfId="1" applyNumberFormat="1" applyFont="1" applyBorder="1" applyAlignment="1" applyProtection="1">
      <alignment horizontal="right"/>
    </xf>
    <xf numFmtId="169" fontId="18" fillId="0" borderId="10" xfId="0" applyNumberFormat="1" applyFont="1" applyBorder="1" applyAlignment="1" applyProtection="1">
      <alignment horizontal="right"/>
    </xf>
    <xf numFmtId="37" fontId="18" fillId="0" borderId="10" xfId="0" applyNumberFormat="1" applyFont="1" applyBorder="1" applyAlignment="1" applyProtection="1">
      <alignment horizontal="right"/>
    </xf>
    <xf numFmtId="37" fontId="18" fillId="0" borderId="15" xfId="75" applyNumberFormat="1" applyFont="1" applyBorder="1" applyProtection="1"/>
    <xf numFmtId="169" fontId="18" fillId="0" borderId="0" xfId="75" applyNumberFormat="1" applyFont="1" applyBorder="1" applyAlignment="1" applyProtection="1">
      <alignment horizontal="center"/>
    </xf>
    <xf numFmtId="37" fontId="18" fillId="0" borderId="0" xfId="0" applyNumberFormat="1" applyFont="1" applyBorder="1" applyAlignment="1" applyProtection="1">
      <alignment horizontal="right"/>
    </xf>
    <xf numFmtId="169" fontId="18" fillId="0" borderId="3" xfId="1" applyNumberFormat="1" applyFont="1" applyFill="1" applyBorder="1" applyAlignment="1" applyProtection="1">
      <alignment horizontal="right"/>
    </xf>
    <xf numFmtId="168" fontId="18" fillId="0" borderId="0" xfId="0" applyNumberFormat="1" applyFont="1" applyFill="1" applyBorder="1" applyAlignment="1" applyProtection="1"/>
    <xf numFmtId="183" fontId="0" fillId="0" borderId="11" xfId="0" applyBorder="1" applyProtection="1">
      <protection locked="0"/>
    </xf>
    <xf numFmtId="43" fontId="27" fillId="0" borderId="0" xfId="1" applyFont="1" applyBorder="1" applyProtection="1">
      <protection locked="0"/>
    </xf>
    <xf numFmtId="169" fontId="18" fillId="0" borderId="0" xfId="7" applyNumberFormat="1" applyFont="1" applyFill="1" applyBorder="1" applyAlignment="1" applyProtection="1">
      <alignment horizontal="right"/>
      <protection locked="0"/>
    </xf>
    <xf numFmtId="183" fontId="14" fillId="0" borderId="11" xfId="0" applyFont="1" applyFill="1" applyBorder="1" applyAlignment="1" applyProtection="1">
      <alignment horizontal="center"/>
    </xf>
    <xf numFmtId="2" fontId="0" fillId="0" borderId="0" xfId="0" applyNumberFormat="1" applyProtection="1"/>
    <xf numFmtId="2" fontId="0" fillId="0" borderId="0" xfId="1" applyNumberFormat="1" applyFont="1" applyProtection="1"/>
    <xf numFmtId="181" fontId="0" fillId="0" borderId="0" xfId="0" applyNumberFormat="1" applyProtection="1"/>
    <xf numFmtId="37" fontId="18" fillId="0" borderId="12" xfId="7" applyNumberFormat="1" applyFont="1" applyFill="1" applyBorder="1" applyAlignment="1" applyProtection="1">
      <alignment horizontal="right"/>
    </xf>
    <xf numFmtId="169" fontId="18" fillId="0" borderId="13" xfId="7" applyNumberFormat="1" applyFont="1" applyFill="1" applyBorder="1" applyAlignment="1" applyProtection="1">
      <alignment horizontal="right"/>
    </xf>
    <xf numFmtId="181" fontId="18" fillId="0" borderId="8" xfId="1" applyNumberFormat="1" applyFont="1" applyBorder="1" applyAlignment="1" applyProtection="1"/>
    <xf numFmtId="169" fontId="18" fillId="0" borderId="1" xfId="0" applyNumberFormat="1" applyFont="1" applyFill="1" applyBorder="1" applyProtection="1"/>
    <xf numFmtId="168" fontId="18" fillId="0" borderId="13" xfId="7" applyNumberFormat="1" applyFont="1" applyFill="1" applyBorder="1" applyAlignment="1" applyProtection="1">
      <alignment horizontal="right"/>
    </xf>
    <xf numFmtId="183" fontId="18" fillId="0" borderId="9" xfId="0" applyFont="1" applyFill="1" applyBorder="1" applyAlignment="1" applyProtection="1">
      <alignment horizontal="center"/>
    </xf>
    <xf numFmtId="37" fontId="18" fillId="0" borderId="7" xfId="1" applyNumberFormat="1" applyFont="1" applyFill="1" applyBorder="1" applyAlignment="1" applyProtection="1">
      <alignment horizontal="center"/>
    </xf>
    <xf numFmtId="37" fontId="18" fillId="0" borderId="18" xfId="1" applyNumberFormat="1" applyFont="1" applyFill="1" applyBorder="1" applyAlignment="1" applyProtection="1">
      <alignment horizontal="center"/>
    </xf>
    <xf numFmtId="169" fontId="18" fillId="0" borderId="0" xfId="1" applyNumberFormat="1" applyFont="1" applyBorder="1" applyProtection="1"/>
    <xf numFmtId="10" fontId="100" fillId="0" borderId="0" xfId="1" applyNumberFormat="1" applyFont="1" applyBorder="1" applyAlignment="1" applyProtection="1">
      <alignment horizontal="right" vertical="center" wrapText="1"/>
    </xf>
    <xf numFmtId="181" fontId="100" fillId="0" borderId="0" xfId="1" applyNumberFormat="1" applyFont="1" applyBorder="1" applyAlignment="1" applyProtection="1">
      <alignment horizontal="right" vertical="center" wrapText="1"/>
    </xf>
    <xf numFmtId="168" fontId="0" fillId="0" borderId="0" xfId="0" applyNumberFormat="1" applyFill="1" applyBorder="1" applyProtection="1"/>
    <xf numFmtId="37" fontId="18" fillId="0" borderId="25" xfId="1" applyNumberFormat="1" applyFont="1" applyFill="1" applyBorder="1" applyAlignment="1" applyProtection="1">
      <alignment horizontal="right"/>
      <protection locked="0"/>
    </xf>
    <xf numFmtId="168" fontId="18" fillId="0" borderId="36" xfId="7" applyNumberFormat="1" applyFont="1" applyFill="1" applyBorder="1" applyAlignment="1" applyProtection="1">
      <alignment horizontal="right"/>
    </xf>
    <xf numFmtId="183" fontId="36" fillId="0" borderId="0" xfId="0" applyFont="1" applyFill="1" applyProtection="1"/>
    <xf numFmtId="0" fontId="16" fillId="0" borderId="0" xfId="0" applyNumberFormat="1" applyFont="1" applyFill="1" applyBorder="1" applyAlignment="1" applyProtection="1">
      <alignment horizontal="left"/>
    </xf>
    <xf numFmtId="2" fontId="16" fillId="0" borderId="0" xfId="0" applyNumberFormat="1" applyFont="1" applyFill="1" applyBorder="1" applyAlignment="1" applyProtection="1">
      <alignment horizontal="left"/>
    </xf>
    <xf numFmtId="10" fontId="16" fillId="0" borderId="0" xfId="0" applyNumberFormat="1" applyFont="1" applyFill="1" applyBorder="1" applyAlignment="1" applyProtection="1">
      <alignment horizontal="left"/>
    </xf>
    <xf numFmtId="181" fontId="18" fillId="6" borderId="0" xfId="1" applyNumberFormat="1" applyFont="1" applyFill="1" applyBorder="1" applyAlignment="1" applyProtection="1">
      <alignment horizontal="right"/>
    </xf>
    <xf numFmtId="181" fontId="18" fillId="6" borderId="11" xfId="1" applyNumberFormat="1" applyFont="1" applyFill="1" applyBorder="1" applyAlignment="1" applyProtection="1">
      <alignment horizontal="right"/>
    </xf>
    <xf numFmtId="179" fontId="18" fillId="0" borderId="9" xfId="1" applyNumberFormat="1" applyFont="1" applyFill="1" applyBorder="1" applyAlignment="1" applyProtection="1">
      <alignment horizontal="right"/>
    </xf>
    <xf numFmtId="181" fontId="18" fillId="0" borderId="9" xfId="1" applyNumberFormat="1" applyFont="1" applyBorder="1" applyAlignment="1" applyProtection="1"/>
    <xf numFmtId="181" fontId="18" fillId="0" borderId="13" xfId="7" applyNumberFormat="1" applyFont="1" applyFill="1" applyBorder="1" applyAlignment="1" applyProtection="1">
      <alignment horizontal="right"/>
    </xf>
    <xf numFmtId="167" fontId="18" fillId="0" borderId="13" xfId="1" applyNumberFormat="1" applyFont="1" applyFill="1" applyBorder="1" applyAlignment="1" applyProtection="1">
      <alignment horizontal="right"/>
    </xf>
    <xf numFmtId="167" fontId="18" fillId="0" borderId="14" xfId="1" applyNumberFormat="1" applyFont="1" applyFill="1" applyBorder="1" applyAlignment="1" applyProtection="1">
      <alignment horizontal="right"/>
    </xf>
    <xf numFmtId="167" fontId="18" fillId="0" borderId="15" xfId="1" applyNumberFormat="1" applyFont="1" applyFill="1" applyBorder="1" applyAlignment="1" applyProtection="1">
      <alignment horizontal="right"/>
    </xf>
    <xf numFmtId="37" fontId="18" fillId="0" borderId="36" xfId="1" applyNumberFormat="1" applyFont="1" applyFill="1" applyBorder="1" applyAlignment="1" applyProtection="1">
      <alignment horizontal="right"/>
    </xf>
    <xf numFmtId="37" fontId="18" fillId="0" borderId="25" xfId="1" applyNumberFormat="1" applyFont="1" applyFill="1" applyBorder="1" applyAlignment="1" applyProtection="1">
      <alignment horizontal="right"/>
    </xf>
    <xf numFmtId="181" fontId="18" fillId="0" borderId="25" xfId="1" applyNumberFormat="1" applyFont="1" applyFill="1" applyBorder="1" applyAlignment="1" applyProtection="1">
      <alignment horizontal="right"/>
    </xf>
    <xf numFmtId="181" fontId="18" fillId="0" borderId="36" xfId="1" applyNumberFormat="1" applyFont="1" applyFill="1" applyBorder="1" applyAlignment="1" applyProtection="1">
      <alignment horizontal="right"/>
    </xf>
    <xf numFmtId="181" fontId="18" fillId="0" borderId="49" xfId="1" applyNumberFormat="1" applyFont="1" applyFill="1" applyBorder="1" applyAlignment="1" applyProtection="1">
      <alignment horizontal="right"/>
    </xf>
    <xf numFmtId="37" fontId="18" fillId="0" borderId="50" xfId="1" applyNumberFormat="1" applyFont="1" applyFill="1" applyBorder="1" applyAlignment="1" applyProtection="1">
      <alignment horizontal="right"/>
    </xf>
    <xf numFmtId="181" fontId="18" fillId="6" borderId="0" xfId="7" applyNumberFormat="1" applyFont="1" applyFill="1" applyBorder="1" applyProtection="1"/>
    <xf numFmtId="181" fontId="18" fillId="0" borderId="0" xfId="7" applyNumberFormat="1" applyFont="1" applyFill="1" applyBorder="1" applyAlignment="1" applyProtection="1">
      <alignment horizontal="right"/>
    </xf>
    <xf numFmtId="181" fontId="18" fillId="6" borderId="0" xfId="0" applyNumberFormat="1" applyFont="1" applyFill="1" applyBorder="1" applyProtection="1"/>
    <xf numFmtId="181" fontId="18" fillId="6" borderId="0" xfId="1" applyNumberFormat="1" applyFont="1" applyFill="1" applyBorder="1" applyProtection="1"/>
    <xf numFmtId="10" fontId="18" fillId="0" borderId="0" xfId="7" applyNumberFormat="1" applyFont="1" applyBorder="1" applyProtection="1"/>
    <xf numFmtId="181" fontId="18" fillId="6" borderId="11" xfId="0" applyNumberFormat="1" applyFont="1" applyFill="1" applyBorder="1" applyProtection="1"/>
    <xf numFmtId="169" fontId="18" fillId="0" borderId="3" xfId="1" applyNumberFormat="1" applyFont="1" applyFill="1" applyBorder="1" applyProtection="1"/>
    <xf numFmtId="181" fontId="18" fillId="6" borderId="6" xfId="0" applyNumberFormat="1" applyFont="1" applyFill="1" applyBorder="1" applyProtection="1"/>
    <xf numFmtId="181" fontId="18" fillId="6" borderId="1" xfId="0" applyNumberFormat="1" applyFont="1" applyFill="1" applyBorder="1" applyProtection="1"/>
    <xf numFmtId="181" fontId="18" fillId="6" borderId="13" xfId="0" applyNumberFormat="1" applyFont="1" applyFill="1" applyBorder="1" applyProtection="1"/>
    <xf numFmtId="181" fontId="18" fillId="6" borderId="14" xfId="0" applyNumberFormat="1" applyFont="1" applyFill="1" applyBorder="1" applyProtection="1"/>
    <xf numFmtId="190" fontId="0" fillId="0" borderId="0" xfId="1" applyNumberFormat="1" applyFont="1" applyBorder="1" applyProtection="1"/>
    <xf numFmtId="169" fontId="18" fillId="0" borderId="7" xfId="0" applyNumberFormat="1" applyFont="1" applyBorder="1" applyProtection="1"/>
    <xf numFmtId="167" fontId="18" fillId="0" borderId="7" xfId="0" applyNumberFormat="1" applyFont="1" applyBorder="1" applyProtection="1"/>
    <xf numFmtId="167" fontId="18" fillId="0" borderId="11" xfId="0" applyNumberFormat="1" applyFont="1" applyBorder="1" applyProtection="1"/>
    <xf numFmtId="168" fontId="18" fillId="0" borderId="19" xfId="7" applyNumberFormat="1" applyFont="1" applyFill="1" applyBorder="1" applyAlignment="1" applyProtection="1">
      <alignment horizontal="right"/>
    </xf>
    <xf numFmtId="190" fontId="18" fillId="0" borderId="0" xfId="1" applyNumberFormat="1" applyFont="1" applyProtection="1"/>
    <xf numFmtId="168" fontId="18" fillId="0" borderId="0" xfId="0" applyNumberFormat="1" applyFont="1" applyFill="1" applyBorder="1" applyAlignment="1" applyProtection="1">
      <alignment horizontal="right"/>
    </xf>
    <xf numFmtId="37" fontId="24" fillId="0" borderId="9" xfId="1" applyNumberFormat="1" applyFont="1" applyFill="1" applyBorder="1" applyAlignment="1" applyProtection="1">
      <alignment horizontal="right"/>
      <protection locked="0"/>
    </xf>
    <xf numFmtId="37" fontId="24" fillId="0" borderId="19" xfId="1" applyNumberFormat="1" applyFont="1" applyFill="1" applyBorder="1" applyAlignment="1" applyProtection="1">
      <alignment horizontal="right"/>
      <protection locked="0"/>
    </xf>
    <xf numFmtId="37" fontId="18" fillId="0" borderId="9" xfId="1" applyNumberFormat="1" applyFont="1" applyFill="1" applyBorder="1" applyAlignment="1" applyProtection="1">
      <alignment horizontal="left"/>
      <protection locked="0"/>
    </xf>
    <xf numFmtId="183" fontId="20" fillId="0" borderId="0" xfId="0" applyFont="1" applyProtection="1"/>
    <xf numFmtId="9" fontId="18" fillId="0" borderId="0" xfId="7" applyFont="1" applyProtection="1"/>
    <xf numFmtId="183" fontId="25" fillId="0" borderId="9" xfId="0" applyFont="1" applyFill="1" applyBorder="1" applyAlignment="1" applyProtection="1">
      <alignment horizontal="center"/>
    </xf>
    <xf numFmtId="170" fontId="18" fillId="0" borderId="11" xfId="1" applyNumberFormat="1" applyFont="1" applyFill="1" applyBorder="1" applyProtection="1"/>
    <xf numFmtId="170" fontId="18" fillId="0" borderId="9" xfId="1" applyNumberFormat="1" applyFont="1" applyFill="1" applyBorder="1" applyProtection="1"/>
    <xf numFmtId="37" fontId="24" fillId="0" borderId="19" xfId="1" applyNumberFormat="1" applyFont="1" applyFill="1" applyBorder="1" applyAlignment="1" applyProtection="1">
      <alignment horizontal="right"/>
    </xf>
    <xf numFmtId="37" fontId="24" fillId="0" borderId="17" xfId="1" applyNumberFormat="1" applyFont="1" applyFill="1" applyBorder="1" applyAlignment="1" applyProtection="1">
      <alignment horizontal="right"/>
    </xf>
    <xf numFmtId="37" fontId="24" fillId="0" borderId="25" xfId="1" applyNumberFormat="1" applyFont="1" applyFill="1" applyBorder="1" applyAlignment="1" applyProtection="1">
      <alignment horizontal="right"/>
    </xf>
    <xf numFmtId="37" fontId="24" fillId="0" borderId="18" xfId="1" applyNumberFormat="1" applyFont="1" applyFill="1" applyBorder="1" applyAlignment="1" applyProtection="1">
      <alignment horizontal="right"/>
    </xf>
    <xf numFmtId="37" fontId="24" fillId="0" borderId="9" xfId="1" applyNumberFormat="1" applyFont="1" applyFill="1" applyBorder="1" applyAlignment="1" applyProtection="1">
      <alignment horizontal="right"/>
    </xf>
    <xf numFmtId="169" fontId="24" fillId="0" borderId="18" xfId="1" applyNumberFormat="1" applyFont="1" applyFill="1" applyBorder="1" applyAlignment="1" applyProtection="1">
      <alignment horizontal="right"/>
    </xf>
    <xf numFmtId="183" fontId="27" fillId="0" borderId="0" xfId="0" applyFont="1" applyBorder="1" applyProtection="1"/>
    <xf numFmtId="37" fontId="0" fillId="0" borderId="0" xfId="0" applyNumberFormat="1" applyFill="1" applyBorder="1" applyProtection="1"/>
    <xf numFmtId="37" fontId="18" fillId="0" borderId="0" xfId="0" applyNumberFormat="1" applyFont="1" applyProtection="1"/>
    <xf numFmtId="37" fontId="18" fillId="0" borderId="0" xfId="7" applyNumberFormat="1" applyFont="1" applyFill="1" applyBorder="1" applyProtection="1">
      <protection locked="0"/>
    </xf>
    <xf numFmtId="37" fontId="18" fillId="0" borderId="0" xfId="0" applyNumberFormat="1" applyFont="1" applyFill="1" applyBorder="1" applyAlignment="1" applyProtection="1">
      <alignment horizontal="right"/>
      <protection locked="0"/>
    </xf>
    <xf numFmtId="183" fontId="15" fillId="0" borderId="0" xfId="0" applyFont="1" applyFill="1" applyAlignment="1" applyProtection="1">
      <alignment horizontal="left"/>
    </xf>
    <xf numFmtId="183" fontId="17" fillId="0" borderId="0" xfId="0" applyFont="1" applyFill="1" applyProtection="1"/>
    <xf numFmtId="183" fontId="20" fillId="0" borderId="0" xfId="0" applyFont="1" applyFill="1" applyProtection="1"/>
    <xf numFmtId="183" fontId="20" fillId="0" borderId="0" xfId="14" applyFont="1" applyFill="1" applyProtection="1"/>
    <xf numFmtId="183" fontId="18" fillId="0" borderId="0" xfId="14" applyFont="1" applyFill="1" applyProtection="1"/>
    <xf numFmtId="183" fontId="0" fillId="0" borderId="0" xfId="0" applyFill="1" applyAlignment="1" applyProtection="1">
      <alignment horizontal="left"/>
    </xf>
    <xf numFmtId="183" fontId="18" fillId="0" borderId="3" xfId="0" applyFont="1" applyBorder="1" applyProtection="1"/>
    <xf numFmtId="169" fontId="18" fillId="0" borderId="0" xfId="7" applyNumberFormat="1" applyFont="1" applyFill="1" applyBorder="1" applyAlignment="1" applyProtection="1">
      <alignment horizontal="right"/>
    </xf>
    <xf numFmtId="169" fontId="18" fillId="0" borderId="11" xfId="7" applyNumberFormat="1" applyFont="1" applyFill="1" applyBorder="1" applyAlignment="1" applyProtection="1">
      <alignment horizontal="right"/>
    </xf>
    <xf numFmtId="169" fontId="18" fillId="0" borderId="9" xfId="7" applyNumberFormat="1" applyFont="1" applyFill="1" applyBorder="1" applyAlignment="1" applyProtection="1">
      <alignment horizontal="right"/>
    </xf>
    <xf numFmtId="169" fontId="18" fillId="0" borderId="10" xfId="7" applyNumberFormat="1" applyFont="1" applyFill="1" applyBorder="1" applyAlignment="1" applyProtection="1">
      <alignment horizontal="right"/>
    </xf>
    <xf numFmtId="169" fontId="18" fillId="0" borderId="9" xfId="0" applyNumberFormat="1" applyFont="1" applyFill="1" applyBorder="1" applyAlignment="1" applyProtection="1">
      <alignment horizontal="right"/>
    </xf>
    <xf numFmtId="37" fontId="18" fillId="0" borderId="0" xfId="7" applyNumberFormat="1" applyFont="1" applyFill="1" applyBorder="1" applyProtection="1"/>
    <xf numFmtId="169" fontId="18" fillId="0" borderId="0" xfId="7" applyNumberFormat="1" applyFont="1" applyFill="1" applyBorder="1" applyProtection="1"/>
    <xf numFmtId="169" fontId="18" fillId="0" borderId="9" xfId="7" applyNumberFormat="1" applyFont="1" applyFill="1" applyBorder="1" applyProtection="1"/>
    <xf numFmtId="37" fontId="18" fillId="0" borderId="9" xfId="7" applyNumberFormat="1" applyFont="1" applyFill="1" applyBorder="1" applyProtection="1"/>
    <xf numFmtId="37" fontId="18" fillId="0" borderId="10" xfId="0" applyNumberFormat="1" applyFont="1" applyFill="1" applyBorder="1" applyAlignment="1" applyProtection="1">
      <alignment horizontal="right"/>
    </xf>
    <xf numFmtId="37" fontId="18" fillId="0" borderId="11" xfId="7" applyNumberFormat="1" applyFont="1" applyFill="1" applyBorder="1" applyProtection="1"/>
    <xf numFmtId="37" fontId="18" fillId="0" borderId="0" xfId="0" applyNumberFormat="1" applyFont="1" applyFill="1" applyBorder="1" applyAlignment="1" applyProtection="1">
      <alignment horizontal="right"/>
    </xf>
    <xf numFmtId="167" fontId="18" fillId="0" borderId="0" xfId="1" applyNumberFormat="1" applyFont="1" applyFill="1" applyBorder="1" applyProtection="1"/>
    <xf numFmtId="43" fontId="18" fillId="0" borderId="10" xfId="1" applyFont="1" applyFill="1" applyBorder="1" applyProtection="1"/>
    <xf numFmtId="43" fontId="18" fillId="0" borderId="0" xfId="1" applyFont="1" applyFill="1" applyBorder="1" applyAlignment="1" applyProtection="1"/>
    <xf numFmtId="43" fontId="18" fillId="0" borderId="10" xfId="1" applyFont="1" applyFill="1" applyBorder="1" applyAlignment="1" applyProtection="1">
      <alignment horizontal="right"/>
    </xf>
    <xf numFmtId="43" fontId="18" fillId="0" borderId="9" xfId="1" applyFont="1" applyFill="1" applyBorder="1" applyAlignment="1" applyProtection="1">
      <alignment horizontal="right"/>
    </xf>
    <xf numFmtId="171" fontId="18" fillId="0" borderId="1" xfId="0" applyNumberFormat="1" applyFont="1" applyBorder="1" applyProtection="1"/>
    <xf numFmtId="43" fontId="13" fillId="0" borderId="0" xfId="1" applyFont="1" applyProtection="1">
      <protection locked="0"/>
    </xf>
    <xf numFmtId="43" fontId="0" fillId="0" borderId="0" xfId="1" applyFont="1" applyProtection="1"/>
    <xf numFmtId="43" fontId="13" fillId="0" borderId="0" xfId="1" applyFont="1" applyProtection="1"/>
    <xf numFmtId="168" fontId="118" fillId="0" borderId="0" xfId="7" applyNumberFormat="1" applyFont="1" applyFill="1" applyBorder="1" applyAlignment="1" applyProtection="1">
      <alignment horizontal="right"/>
    </xf>
    <xf numFmtId="169" fontId="18" fillId="0" borderId="13" xfId="76" applyNumberFormat="1" applyFont="1" applyFill="1" applyBorder="1" applyProtection="1"/>
    <xf numFmtId="43" fontId="18" fillId="0" borderId="0" xfId="1" applyFont="1" applyBorder="1" applyProtection="1"/>
    <xf numFmtId="170" fontId="18" fillId="0" borderId="0" xfId="0" applyNumberFormat="1" applyFont="1" applyFill="1" applyBorder="1" applyAlignment="1" applyProtection="1">
      <protection locked="0"/>
    </xf>
    <xf numFmtId="168" fontId="18" fillId="0" borderId="0" xfId="7" applyNumberFormat="1" applyFont="1" applyFill="1" applyBorder="1" applyAlignment="1" applyProtection="1">
      <protection locked="0"/>
    </xf>
    <xf numFmtId="168" fontId="18" fillId="0" borderId="0" xfId="7" applyNumberFormat="1" applyFont="1" applyFill="1" applyBorder="1" applyAlignment="1" applyProtection="1"/>
    <xf numFmtId="183" fontId="18" fillId="0" borderId="6" xfId="0" applyFont="1" applyFill="1" applyBorder="1" applyAlignment="1" applyProtection="1">
      <protection locked="0"/>
    </xf>
    <xf numFmtId="43" fontId="18" fillId="0" borderId="0" xfId="1" applyFont="1" applyFill="1" applyBorder="1" applyProtection="1">
      <protection locked="0"/>
    </xf>
    <xf numFmtId="37" fontId="18" fillId="0" borderId="9" xfId="7" applyNumberFormat="1" applyFont="1" applyFill="1" applyBorder="1" applyAlignment="1" applyProtection="1">
      <alignment horizontal="right"/>
    </xf>
    <xf numFmtId="37" fontId="18" fillId="0" borderId="8" xfId="7" applyNumberFormat="1" applyFont="1" applyFill="1" applyBorder="1" applyAlignment="1" applyProtection="1">
      <alignment horizontal="right"/>
    </xf>
    <xf numFmtId="167" fontId="18" fillId="0" borderId="15" xfId="13" applyNumberFormat="1" applyFont="1" applyFill="1" applyBorder="1" applyProtection="1"/>
    <xf numFmtId="167" fontId="18" fillId="0" borderId="15" xfId="13" applyNumberFormat="1" applyFont="1" applyFill="1" applyBorder="1" applyAlignment="1" applyProtection="1">
      <alignment horizontal="right"/>
    </xf>
    <xf numFmtId="167" fontId="18" fillId="0" borderId="18" xfId="13" applyNumberFormat="1" applyFont="1" applyFill="1" applyBorder="1" applyAlignment="1" applyProtection="1">
      <alignment horizontal="right"/>
    </xf>
    <xf numFmtId="167" fontId="18" fillId="0" borderId="8" xfId="13" applyNumberFormat="1" applyFont="1" applyFill="1" applyBorder="1" applyProtection="1"/>
    <xf numFmtId="167" fontId="18" fillId="0" borderId="9" xfId="16" applyNumberFormat="1" applyFont="1" applyFill="1" applyBorder="1" applyAlignment="1" applyProtection="1">
      <alignment horizontal="right"/>
    </xf>
    <xf numFmtId="37" fontId="18" fillId="0" borderId="9" xfId="16" applyNumberFormat="1" applyFont="1" applyFill="1" applyBorder="1" applyAlignment="1" applyProtection="1">
      <alignment horizontal="right"/>
    </xf>
    <xf numFmtId="37" fontId="18" fillId="0" borderId="15" xfId="13" applyNumberFormat="1" applyFont="1" applyFill="1" applyBorder="1" applyProtection="1"/>
    <xf numFmtId="43" fontId="18" fillId="0" borderId="0" xfId="13" applyFont="1" applyBorder="1" applyProtection="1"/>
    <xf numFmtId="37" fontId="18" fillId="0" borderId="7" xfId="75" applyNumberFormat="1" applyFont="1" applyBorder="1" applyProtection="1"/>
    <xf numFmtId="183" fontId="18" fillId="0" borderId="10" xfId="0" applyFont="1" applyBorder="1" applyAlignment="1" applyProtection="1">
      <alignment horizontal="center"/>
    </xf>
    <xf numFmtId="169" fontId="18" fillId="0" borderId="12" xfId="7" applyNumberFormat="1" applyFont="1" applyFill="1" applyBorder="1" applyAlignment="1" applyProtection="1">
      <alignment horizontal="right"/>
    </xf>
    <xf numFmtId="169" fontId="18" fillId="0" borderId="16" xfId="1" applyNumberFormat="1" applyFont="1" applyFill="1" applyBorder="1" applyAlignment="1" applyProtection="1">
      <alignment horizontal="right"/>
    </xf>
    <xf numFmtId="37" fontId="18" fillId="0" borderId="15" xfId="7" applyNumberFormat="1" applyFont="1" applyFill="1" applyBorder="1" applyAlignment="1" applyProtection="1">
      <alignment horizontal="right"/>
    </xf>
    <xf numFmtId="2" fontId="23" fillId="0" borderId="0" xfId="0" applyNumberFormat="1" applyFont="1" applyFill="1" applyBorder="1" applyProtection="1">
      <protection locked="0"/>
    </xf>
    <xf numFmtId="171" fontId="0" fillId="0" borderId="0" xfId="7" applyNumberFormat="1" applyFont="1" applyFill="1" applyProtection="1"/>
    <xf numFmtId="43" fontId="14" fillId="0" borderId="10" xfId="1" applyFont="1" applyFill="1" applyBorder="1" applyAlignment="1" applyProtection="1">
      <alignment horizontal="right"/>
    </xf>
    <xf numFmtId="183" fontId="24" fillId="0" borderId="5" xfId="0" applyFont="1" applyFill="1" applyBorder="1" applyAlignment="1" applyProtection="1">
      <alignment horizontal="center"/>
      <protection locked="0"/>
    </xf>
    <xf numFmtId="183" fontId="17" fillId="0" borderId="4" xfId="0" applyFont="1" applyFill="1" applyBorder="1" applyAlignment="1" applyProtection="1">
      <alignment horizontal="center"/>
      <protection locked="0"/>
    </xf>
    <xf numFmtId="169" fontId="18" fillId="0" borderId="11" xfId="0" applyNumberFormat="1" applyFont="1" applyBorder="1" applyProtection="1">
      <protection locked="0"/>
    </xf>
    <xf numFmtId="37" fontId="18" fillId="0" borderId="14" xfId="1" applyNumberFormat="1" applyFont="1" applyFill="1" applyBorder="1" applyProtection="1">
      <protection locked="0"/>
    </xf>
    <xf numFmtId="169" fontId="18" fillId="0" borderId="11" xfId="0" applyNumberFormat="1" applyFont="1" applyFill="1" applyBorder="1" applyProtection="1">
      <protection locked="0"/>
    </xf>
    <xf numFmtId="169" fontId="18" fillId="0" borderId="11" xfId="1" applyNumberFormat="1" applyFont="1" applyFill="1" applyBorder="1" applyProtection="1">
      <protection locked="0"/>
    </xf>
    <xf numFmtId="181" fontId="23" fillId="0" borderId="0" xfId="1" applyNumberFormat="1" applyFont="1" applyFill="1" applyBorder="1" applyProtection="1">
      <protection locked="0"/>
    </xf>
    <xf numFmtId="37" fontId="18" fillId="0" borderId="4" xfId="1" applyNumberFormat="1" applyFont="1" applyFill="1" applyBorder="1" applyProtection="1">
      <protection locked="0"/>
    </xf>
    <xf numFmtId="37" fontId="18" fillId="0" borderId="14" xfId="1" applyNumberFormat="1" applyFont="1" applyFill="1" applyBorder="1" applyAlignment="1" applyProtection="1">
      <alignment horizontal="right"/>
      <protection locked="0"/>
    </xf>
    <xf numFmtId="37" fontId="18" fillId="0" borderId="11" xfId="1" applyNumberFormat="1" applyFont="1" applyFill="1" applyBorder="1" applyAlignment="1" applyProtection="1">
      <alignment horizontal="right"/>
      <protection locked="0"/>
    </xf>
    <xf numFmtId="37" fontId="18" fillId="0" borderId="4" xfId="1" applyNumberFormat="1" applyFont="1" applyFill="1" applyBorder="1" applyAlignment="1" applyProtection="1">
      <alignment horizontal="right"/>
      <protection locked="0"/>
    </xf>
    <xf numFmtId="181" fontId="18" fillId="0" borderId="11" xfId="1" applyNumberFormat="1" applyFont="1" applyFill="1" applyBorder="1" applyAlignment="1" applyProtection="1">
      <alignment horizontal="right"/>
      <protection locked="0"/>
    </xf>
    <xf numFmtId="167" fontId="18" fillId="0" borderId="11" xfId="1" applyNumberFormat="1" applyFont="1" applyFill="1" applyBorder="1" applyAlignment="1" applyProtection="1">
      <alignment horizontal="right"/>
      <protection locked="0"/>
    </xf>
    <xf numFmtId="43" fontId="18" fillId="0" borderId="0" xfId="1" applyFont="1" applyFill="1" applyBorder="1" applyAlignment="1" applyProtection="1">
      <alignment horizontal="right"/>
      <protection locked="0"/>
    </xf>
    <xf numFmtId="37" fontId="18" fillId="0" borderId="17" xfId="1" applyNumberFormat="1" applyFont="1" applyFill="1" applyBorder="1" applyAlignment="1" applyProtection="1">
      <alignment horizontal="right"/>
      <protection locked="0"/>
    </xf>
    <xf numFmtId="181" fontId="18" fillId="0" borderId="17" xfId="1" applyNumberFormat="1" applyFont="1" applyFill="1" applyBorder="1" applyAlignment="1" applyProtection="1">
      <alignment horizontal="right"/>
      <protection locked="0"/>
    </xf>
    <xf numFmtId="168" fontId="18" fillId="0" borderId="0" xfId="7" applyNumberFormat="1" applyFont="1" applyFill="1" applyBorder="1" applyAlignment="1" applyProtection="1">
      <alignment horizontal="center"/>
      <protection locked="0"/>
    </xf>
    <xf numFmtId="183" fontId="27" fillId="0" borderId="0" xfId="0" applyFont="1" applyAlignment="1" applyProtection="1">
      <alignment horizontal="right"/>
    </xf>
    <xf numFmtId="0" fontId="18" fillId="0" borderId="0" xfId="16" applyNumberFormat="1" applyFont="1" applyFill="1" applyBorder="1" applyAlignment="1" applyProtection="1">
      <alignment horizontal="right"/>
      <protection locked="0"/>
    </xf>
    <xf numFmtId="169" fontId="18" fillId="0" borderId="0" xfId="75" applyNumberFormat="1" applyFont="1" applyFill="1" applyBorder="1" applyProtection="1">
      <protection locked="0"/>
    </xf>
    <xf numFmtId="169" fontId="18" fillId="0" borderId="11" xfId="1" applyNumberFormat="1" applyFont="1" applyFill="1" applyBorder="1" applyAlignment="1" applyProtection="1">
      <alignment horizontal="right"/>
      <protection locked="0"/>
    </xf>
    <xf numFmtId="0" fontId="18" fillId="0" borderId="6" xfId="75" applyFont="1" applyFill="1" applyBorder="1" applyProtection="1">
      <protection locked="0"/>
    </xf>
    <xf numFmtId="181" fontId="18" fillId="0" borderId="14" xfId="1" applyNumberFormat="1" applyFont="1" applyBorder="1" applyProtection="1">
      <protection locked="0"/>
    </xf>
    <xf numFmtId="170" fontId="18" fillId="0" borderId="11" xfId="1" applyNumberFormat="1" applyFont="1" applyFill="1" applyBorder="1" applyProtection="1">
      <protection locked="0"/>
    </xf>
    <xf numFmtId="43" fontId="14" fillId="0" borderId="0" xfId="1" applyFont="1" applyFill="1" applyBorder="1" applyAlignment="1" applyProtection="1">
      <alignment horizontal="right"/>
      <protection locked="0"/>
    </xf>
    <xf numFmtId="169" fontId="23" fillId="0" borderId="0" xfId="1" applyNumberFormat="1" applyFont="1" applyFill="1" applyBorder="1" applyAlignment="1" applyProtection="1">
      <alignment horizontal="right"/>
      <protection locked="0"/>
    </xf>
    <xf numFmtId="168" fontId="118" fillId="0" borderId="0" xfId="7" applyNumberFormat="1" applyFont="1" applyFill="1" applyBorder="1" applyAlignment="1" applyProtection="1">
      <alignment horizontal="right"/>
      <protection locked="0"/>
    </xf>
    <xf numFmtId="2" fontId="23" fillId="0" borderId="10" xfId="0" applyNumberFormat="1" applyFont="1" applyFill="1" applyBorder="1" applyProtection="1"/>
    <xf numFmtId="181" fontId="18" fillId="0" borderId="10" xfId="1" applyNumberFormat="1" applyFont="1" applyFill="1" applyBorder="1" applyAlignment="1" applyProtection="1">
      <alignment horizontal="center"/>
    </xf>
    <xf numFmtId="168" fontId="18" fillId="0" borderId="10" xfId="7" applyNumberFormat="1" applyFont="1" applyFill="1" applyBorder="1" applyAlignment="1" applyProtection="1"/>
    <xf numFmtId="183" fontId="18" fillId="0" borderId="6" xfId="0" applyFont="1" applyFill="1" applyBorder="1" applyAlignment="1" applyProtection="1"/>
    <xf numFmtId="167" fontId="18" fillId="0" borderId="9" xfId="1" applyNumberFormat="1" applyFont="1" applyFill="1" applyBorder="1" applyProtection="1"/>
    <xf numFmtId="43" fontId="0" fillId="0" borderId="10" xfId="1" applyFont="1" applyBorder="1" applyProtection="1">
      <protection locked="0"/>
    </xf>
    <xf numFmtId="183" fontId="25" fillId="0" borderId="11" xfId="0" applyFont="1" applyFill="1" applyBorder="1" applyAlignment="1" applyProtection="1">
      <alignment horizontal="center"/>
    </xf>
    <xf numFmtId="183" fontId="24" fillId="0" borderId="2" xfId="0" applyFont="1" applyFill="1" applyBorder="1" applyAlignment="1" applyProtection="1">
      <alignment horizontal="center"/>
    </xf>
    <xf numFmtId="183" fontId="24" fillId="0" borderId="0" xfId="0" applyFont="1" applyAlignment="1" applyProtection="1">
      <alignment wrapText="1"/>
    </xf>
    <xf numFmtId="183" fontId="25" fillId="0" borderId="10" xfId="0" applyFont="1" applyFill="1" applyBorder="1" applyAlignment="1" applyProtection="1">
      <alignment horizontal="center"/>
    </xf>
    <xf numFmtId="183" fontId="24" fillId="0" borderId="7" xfId="0" applyFont="1" applyBorder="1" applyAlignment="1" applyProtection="1">
      <alignment horizontal="center"/>
      <protection locked="0"/>
    </xf>
    <xf numFmtId="183" fontId="24" fillId="0" borderId="7" xfId="0" applyFont="1" applyBorder="1" applyAlignment="1" applyProtection="1">
      <alignment horizontal="center"/>
    </xf>
    <xf numFmtId="183" fontId="24" fillId="0" borderId="2" xfId="0" applyFont="1" applyBorder="1" applyAlignment="1" applyProtection="1">
      <alignment horizontal="center"/>
    </xf>
    <xf numFmtId="2" fontId="122" fillId="0" borderId="0" xfId="0" applyNumberFormat="1" applyFont="1" applyFill="1" applyBorder="1" applyProtection="1"/>
    <xf numFmtId="183" fontId="118" fillId="0" borderId="0" xfId="0" applyFont="1" applyFill="1" applyBorder="1" applyProtection="1"/>
    <xf numFmtId="183" fontId="0" fillId="0" borderId="2" xfId="0" applyBorder="1" applyProtection="1">
      <protection locked="0"/>
    </xf>
    <xf numFmtId="183" fontId="0" fillId="0" borderId="7" xfId="0" applyBorder="1" applyProtection="1">
      <protection locked="0"/>
    </xf>
    <xf numFmtId="183" fontId="24" fillId="0" borderId="7" xfId="0" applyFont="1" applyFill="1" applyBorder="1" applyAlignment="1" applyProtection="1">
      <alignment horizontal="center"/>
      <protection locked="0"/>
    </xf>
    <xf numFmtId="183" fontId="24" fillId="0" borderId="8" xfId="0" applyFont="1" applyFill="1" applyBorder="1" applyAlignment="1" applyProtection="1">
      <alignment horizontal="center"/>
      <protection locked="0"/>
    </xf>
    <xf numFmtId="183" fontId="24" fillId="0" borderId="8" xfId="0" applyFont="1" applyBorder="1" applyAlignment="1" applyProtection="1">
      <alignment horizontal="center"/>
      <protection locked="0"/>
    </xf>
    <xf numFmtId="183" fontId="25" fillId="0" borderId="10" xfId="0" applyFont="1" applyFill="1" applyBorder="1" applyAlignment="1" applyProtection="1">
      <alignment horizontal="center"/>
      <protection locked="0"/>
    </xf>
    <xf numFmtId="183" fontId="17" fillId="0" borderId="2" xfId="0" applyFont="1" applyFill="1" applyBorder="1" applyAlignment="1" applyProtection="1">
      <alignment horizontal="center"/>
      <protection locked="0"/>
    </xf>
    <xf numFmtId="183" fontId="17" fillId="0" borderId="7" xfId="0" applyFont="1" applyFill="1" applyBorder="1" applyAlignment="1" applyProtection="1">
      <alignment horizontal="center"/>
      <protection locked="0"/>
    </xf>
    <xf numFmtId="183" fontId="24" fillId="0" borderId="9" xfId="0" applyFont="1" applyBorder="1" applyAlignment="1" applyProtection="1">
      <alignment horizontal="center"/>
      <protection locked="0"/>
    </xf>
    <xf numFmtId="183" fontId="18" fillId="0" borderId="10" xfId="0" applyFont="1" applyBorder="1" applyProtection="1">
      <protection locked="0"/>
    </xf>
    <xf numFmtId="169" fontId="18" fillId="0" borderId="10" xfId="1" applyNumberFormat="1" applyFont="1" applyFill="1" applyBorder="1" applyProtection="1">
      <protection locked="0"/>
    </xf>
    <xf numFmtId="169" fontId="18" fillId="0" borderId="9" xfId="0" applyNumberFormat="1" applyFont="1" applyBorder="1" applyProtection="1">
      <protection locked="0"/>
    </xf>
    <xf numFmtId="37" fontId="18" fillId="0" borderId="9" xfId="1" applyNumberFormat="1" applyFont="1" applyFill="1" applyBorder="1" applyProtection="1">
      <protection locked="0"/>
    </xf>
    <xf numFmtId="169" fontId="18" fillId="0" borderId="9" xfId="1" applyNumberFormat="1" applyFont="1" applyFill="1" applyBorder="1" applyProtection="1">
      <protection locked="0"/>
    </xf>
    <xf numFmtId="169" fontId="18" fillId="0" borderId="14" xfId="0" applyNumberFormat="1" applyFont="1" applyBorder="1" applyProtection="1">
      <protection locked="0"/>
    </xf>
    <xf numFmtId="37" fontId="18" fillId="0" borderId="15" xfId="1" applyNumberFormat="1" applyFont="1" applyFill="1" applyBorder="1" applyProtection="1">
      <protection locked="0"/>
    </xf>
    <xf numFmtId="181" fontId="18" fillId="0" borderId="9" xfId="1" applyNumberFormat="1" applyFont="1" applyBorder="1" applyProtection="1">
      <protection locked="0"/>
    </xf>
    <xf numFmtId="37" fontId="18" fillId="0" borderId="8" xfId="1" applyNumberFormat="1" applyFont="1" applyFill="1" applyBorder="1" applyProtection="1">
      <protection locked="0"/>
    </xf>
    <xf numFmtId="169" fontId="18" fillId="0" borderId="9" xfId="0" applyNumberFormat="1" applyFont="1" applyFill="1" applyBorder="1" applyProtection="1">
      <protection locked="0"/>
    </xf>
    <xf numFmtId="167" fontId="18" fillId="0" borderId="0" xfId="0" applyNumberFormat="1" applyFont="1" applyFill="1" applyBorder="1" applyProtection="1">
      <protection locked="0"/>
    </xf>
    <xf numFmtId="181" fontId="18" fillId="0" borderId="9" xfId="1" applyNumberFormat="1" applyFont="1" applyFill="1" applyBorder="1" applyProtection="1">
      <protection locked="0"/>
    </xf>
    <xf numFmtId="169" fontId="18" fillId="0" borderId="15" xfId="0" applyNumberFormat="1" applyFont="1" applyFill="1" applyBorder="1" applyProtection="1">
      <protection locked="0"/>
    </xf>
    <xf numFmtId="181" fontId="18" fillId="0" borderId="15" xfId="1" applyNumberFormat="1" applyFont="1" applyFill="1" applyBorder="1" applyProtection="1">
      <protection locked="0"/>
    </xf>
    <xf numFmtId="37" fontId="18" fillId="0" borderId="10" xfId="1" applyNumberFormat="1" applyFont="1" applyFill="1" applyBorder="1" applyProtection="1">
      <protection locked="0"/>
    </xf>
    <xf numFmtId="183" fontId="27" fillId="0" borderId="10" xfId="0" applyFont="1" applyBorder="1" applyProtection="1">
      <protection locked="0"/>
    </xf>
    <xf numFmtId="181" fontId="18" fillId="0" borderId="9" xfId="1" applyNumberFormat="1" applyFont="1" applyFill="1" applyBorder="1" applyAlignment="1" applyProtection="1">
      <alignment horizontal="right"/>
      <protection locked="0"/>
    </xf>
    <xf numFmtId="37" fontId="18" fillId="0" borderId="9" xfId="0" applyNumberFormat="1" applyFont="1" applyBorder="1" applyProtection="1">
      <protection locked="0"/>
    </xf>
    <xf numFmtId="181" fontId="18" fillId="0" borderId="8" xfId="1" applyNumberFormat="1" applyFont="1" applyFill="1" applyBorder="1" applyAlignment="1" applyProtection="1">
      <alignment horizontal="right"/>
      <protection locked="0"/>
    </xf>
    <xf numFmtId="169" fontId="18" fillId="0" borderId="8" xfId="1" applyNumberFormat="1" applyFont="1" applyFill="1" applyBorder="1" applyProtection="1">
      <protection locked="0"/>
    </xf>
    <xf numFmtId="169" fontId="18" fillId="0" borderId="8" xfId="0" applyNumberFormat="1" applyFont="1" applyBorder="1" applyProtection="1">
      <protection locked="0"/>
    </xf>
    <xf numFmtId="170" fontId="18" fillId="0" borderId="0" xfId="0" applyNumberFormat="1" applyFont="1" applyFill="1" applyProtection="1">
      <protection locked="0"/>
    </xf>
    <xf numFmtId="168" fontId="18" fillId="0" borderId="0" xfId="0" applyNumberFormat="1" applyFont="1" applyProtection="1">
      <protection locked="0"/>
    </xf>
    <xf numFmtId="168" fontId="18" fillId="0" borderId="0" xfId="7" applyNumberFormat="1" applyFont="1" applyFill="1" applyProtection="1">
      <protection locked="0"/>
    </xf>
    <xf numFmtId="171" fontId="18" fillId="0" borderId="0" xfId="7" applyNumberFormat="1" applyFont="1" applyFill="1" applyProtection="1">
      <protection locked="0"/>
    </xf>
    <xf numFmtId="169" fontId="18" fillId="0" borderId="7" xfId="1" applyNumberFormat="1" applyFont="1" applyFill="1" applyBorder="1" applyProtection="1">
      <protection locked="0"/>
    </xf>
    <xf numFmtId="43" fontId="18" fillId="0" borderId="11" xfId="1" applyFont="1" applyFill="1" applyBorder="1" applyProtection="1"/>
    <xf numFmtId="183" fontId="24" fillId="0" borderId="2" xfId="0" applyFont="1" applyBorder="1" applyAlignment="1" applyProtection="1">
      <alignment horizontal="center"/>
      <protection locked="0"/>
    </xf>
    <xf numFmtId="183" fontId="17" fillId="0" borderId="12" xfId="0" applyFont="1" applyFill="1" applyBorder="1" applyAlignment="1" applyProtection="1">
      <alignment horizontal="center"/>
      <protection locked="0"/>
    </xf>
    <xf numFmtId="183" fontId="17" fillId="0" borderId="15" xfId="0" applyFont="1" applyFill="1" applyBorder="1" applyAlignment="1" applyProtection="1">
      <alignment horizontal="center"/>
      <protection locked="0"/>
    </xf>
    <xf numFmtId="37" fontId="18" fillId="0" borderId="8" xfId="1" applyNumberFormat="1" applyFont="1" applyFill="1" applyBorder="1" applyAlignment="1" applyProtection="1">
      <alignment horizontal="right"/>
      <protection locked="0"/>
    </xf>
    <xf numFmtId="37" fontId="18" fillId="0" borderId="12" xfId="1" applyNumberFormat="1" applyFont="1" applyFill="1" applyBorder="1" applyProtection="1">
      <protection locked="0"/>
    </xf>
    <xf numFmtId="181" fontId="18" fillId="0" borderId="8" xfId="1" applyNumberFormat="1" applyFont="1" applyBorder="1" applyProtection="1">
      <protection locked="0"/>
    </xf>
    <xf numFmtId="37" fontId="18" fillId="0" borderId="15" xfId="1" applyNumberFormat="1" applyFont="1" applyFill="1" applyBorder="1" applyAlignment="1" applyProtection="1">
      <alignment horizontal="right"/>
      <protection locked="0"/>
    </xf>
    <xf numFmtId="169" fontId="18" fillId="0" borderId="9" xfId="0" applyNumberFormat="1" applyFont="1" applyBorder="1" applyAlignment="1" applyProtection="1">
      <alignment horizontal="right"/>
      <protection locked="0"/>
    </xf>
    <xf numFmtId="37" fontId="18" fillId="0" borderId="2" xfId="1" applyNumberFormat="1" applyFont="1" applyFill="1" applyBorder="1" applyProtection="1">
      <protection locked="0"/>
    </xf>
    <xf numFmtId="181" fontId="18" fillId="0" borderId="10" xfId="1" applyNumberFormat="1" applyFont="1" applyFill="1" applyBorder="1" applyAlignment="1" applyProtection="1">
      <alignment horizontal="right"/>
      <protection locked="0"/>
    </xf>
    <xf numFmtId="181" fontId="18" fillId="0" borderId="15" xfId="1" applyNumberFormat="1" applyFont="1" applyFill="1" applyBorder="1" applyAlignment="1" applyProtection="1">
      <alignment horizontal="right"/>
      <protection locked="0"/>
    </xf>
    <xf numFmtId="169" fontId="18" fillId="0" borderId="19" xfId="1" applyNumberFormat="1" applyFont="1" applyFill="1" applyBorder="1" applyAlignment="1" applyProtection="1">
      <alignment horizontal="right"/>
      <protection locked="0"/>
    </xf>
    <xf numFmtId="37" fontId="18" fillId="0" borderId="0" xfId="1" applyNumberFormat="1" applyFont="1" applyFill="1" applyBorder="1" applyAlignment="1" applyProtection="1">
      <alignment horizontal="center"/>
      <protection locked="0"/>
    </xf>
    <xf numFmtId="37" fontId="18" fillId="0" borderId="11" xfId="1" applyNumberFormat="1" applyFont="1" applyFill="1" applyBorder="1" applyAlignment="1" applyProtection="1">
      <alignment horizontal="center"/>
      <protection locked="0"/>
    </xf>
    <xf numFmtId="37" fontId="18" fillId="0" borderId="4" xfId="1" applyNumberFormat="1" applyFont="1" applyFill="1" applyBorder="1" applyAlignment="1" applyProtection="1">
      <alignment horizontal="center"/>
      <protection locked="0"/>
    </xf>
    <xf numFmtId="169" fontId="18" fillId="0" borderId="7" xfId="1" applyNumberFormat="1" applyFont="1" applyFill="1" applyBorder="1" applyAlignment="1" applyProtection="1">
      <alignment horizontal="center"/>
      <protection locked="0"/>
    </xf>
    <xf numFmtId="169" fontId="18" fillId="0" borderId="9" xfId="1" applyNumberFormat="1" applyFont="1" applyFill="1" applyBorder="1" applyAlignment="1" applyProtection="1">
      <alignment horizontal="center"/>
      <protection locked="0"/>
    </xf>
    <xf numFmtId="181" fontId="18" fillId="0" borderId="5" xfId="1" applyNumberFormat="1" applyFont="1" applyFill="1" applyBorder="1" applyAlignment="1" applyProtection="1">
      <alignment horizontal="right"/>
      <protection locked="0"/>
    </xf>
    <xf numFmtId="37" fontId="18" fillId="0" borderId="9" xfId="1" applyNumberFormat="1" applyFont="1" applyFill="1" applyBorder="1" applyAlignment="1" applyProtection="1">
      <alignment horizontal="center"/>
      <protection locked="0"/>
    </xf>
    <xf numFmtId="167" fontId="18" fillId="0" borderId="9" xfId="1" applyNumberFormat="1" applyFont="1" applyFill="1" applyBorder="1" applyAlignment="1" applyProtection="1">
      <alignment horizontal="right"/>
      <protection locked="0"/>
    </xf>
    <xf numFmtId="37" fontId="18" fillId="0" borderId="19" xfId="1" applyNumberFormat="1" applyFont="1" applyFill="1" applyBorder="1" applyAlignment="1" applyProtection="1">
      <alignment horizontal="center"/>
      <protection locked="0"/>
    </xf>
    <xf numFmtId="37" fontId="18" fillId="0" borderId="17" xfId="1" applyNumberFormat="1" applyFont="1" applyFill="1" applyBorder="1" applyAlignment="1" applyProtection="1">
      <alignment horizontal="center"/>
      <protection locked="0"/>
    </xf>
    <xf numFmtId="181" fontId="18" fillId="0" borderId="18" xfId="1" applyNumberFormat="1" applyFont="1" applyFill="1" applyBorder="1" applyAlignment="1" applyProtection="1">
      <alignment horizontal="right"/>
      <protection locked="0"/>
    </xf>
    <xf numFmtId="37" fontId="18" fillId="0" borderId="18" xfId="1" applyNumberFormat="1" applyFont="1" applyFill="1" applyBorder="1" applyAlignment="1" applyProtection="1">
      <alignment horizontal="right"/>
      <protection locked="0"/>
    </xf>
    <xf numFmtId="169" fontId="18" fillId="0" borderId="18" xfId="1" applyNumberFormat="1" applyFont="1" applyFill="1" applyBorder="1" applyAlignment="1" applyProtection="1">
      <alignment horizontal="center"/>
      <protection locked="0"/>
    </xf>
    <xf numFmtId="169" fontId="18" fillId="0" borderId="18" xfId="1" applyNumberFormat="1" applyFont="1" applyFill="1" applyBorder="1" applyAlignment="1" applyProtection="1">
      <alignment horizontal="right"/>
      <protection locked="0"/>
    </xf>
    <xf numFmtId="183" fontId="18" fillId="0" borderId="2" xfId="0" applyFont="1" applyBorder="1" applyProtection="1">
      <protection locked="0"/>
    </xf>
    <xf numFmtId="183" fontId="18" fillId="0" borderId="7" xfId="0" applyFont="1" applyBorder="1" applyProtection="1">
      <protection locked="0"/>
    </xf>
    <xf numFmtId="37" fontId="18" fillId="0" borderId="7" xfId="1" applyNumberFormat="1" applyFont="1" applyFill="1" applyBorder="1" applyProtection="1">
      <protection locked="0"/>
    </xf>
    <xf numFmtId="37" fontId="18" fillId="0" borderId="5" xfId="1" applyNumberFormat="1" applyFont="1" applyFill="1" applyBorder="1" applyProtection="1">
      <protection locked="0"/>
    </xf>
    <xf numFmtId="37" fontId="18" fillId="0" borderId="8" xfId="0" applyNumberFormat="1" applyFont="1" applyBorder="1" applyProtection="1">
      <protection locked="0"/>
    </xf>
    <xf numFmtId="37" fontId="18" fillId="0" borderId="12" xfId="0" applyNumberFormat="1" applyFont="1" applyBorder="1" applyProtection="1">
      <protection locked="0"/>
    </xf>
    <xf numFmtId="181" fontId="18" fillId="0" borderId="15" xfId="1" applyNumberFormat="1" applyFont="1" applyBorder="1" applyProtection="1">
      <protection locked="0"/>
    </xf>
    <xf numFmtId="37" fontId="18" fillId="0" borderId="15" xfId="0" applyNumberFormat="1" applyFont="1" applyBorder="1" applyProtection="1">
      <protection locked="0"/>
    </xf>
    <xf numFmtId="37" fontId="13" fillId="0" borderId="0" xfId="75" applyNumberFormat="1" applyBorder="1" applyProtection="1">
      <protection locked="0"/>
    </xf>
    <xf numFmtId="0" fontId="13" fillId="0" borderId="0" xfId="75" applyFill="1" applyProtection="1">
      <protection locked="0"/>
    </xf>
    <xf numFmtId="0" fontId="24" fillId="0" borderId="7" xfId="75" applyFont="1" applyFill="1" applyBorder="1" applyAlignment="1" applyProtection="1">
      <alignment horizontal="center"/>
      <protection locked="0"/>
    </xf>
    <xf numFmtId="0" fontId="13" fillId="0" borderId="7" xfId="75" applyBorder="1" applyProtection="1">
      <protection locked="0"/>
    </xf>
    <xf numFmtId="0" fontId="24" fillId="0" borderId="7" xfId="75" applyFont="1" applyBorder="1" applyAlignment="1" applyProtection="1">
      <alignment horizontal="center"/>
      <protection locked="0"/>
    </xf>
    <xf numFmtId="0" fontId="13" fillId="0" borderId="10" xfId="75" applyBorder="1" applyProtection="1">
      <protection locked="0"/>
    </xf>
    <xf numFmtId="0" fontId="24" fillId="0" borderId="5" xfId="75" applyFont="1" applyFill="1" applyBorder="1" applyAlignment="1" applyProtection="1">
      <alignment horizontal="center"/>
      <protection locked="0"/>
    </xf>
    <xf numFmtId="0" fontId="24" fillId="0" borderId="8" xfId="75" applyFont="1" applyFill="1" applyBorder="1" applyAlignment="1" applyProtection="1">
      <alignment horizontal="center"/>
      <protection locked="0"/>
    </xf>
    <xf numFmtId="0" fontId="17" fillId="0" borderId="10" xfId="75" applyFont="1" applyFill="1" applyBorder="1" applyAlignment="1" applyProtection="1">
      <alignment horizontal="center"/>
      <protection locked="0"/>
    </xf>
    <xf numFmtId="0" fontId="17" fillId="0" borderId="7" xfId="75" applyFont="1" applyFill="1" applyBorder="1" applyAlignment="1" applyProtection="1">
      <alignment horizontal="center"/>
      <protection locked="0"/>
    </xf>
    <xf numFmtId="0" fontId="17" fillId="0" borderId="15" xfId="75" applyFont="1" applyFill="1" applyBorder="1" applyAlignment="1" applyProtection="1">
      <alignment horizontal="center"/>
      <protection locked="0"/>
    </xf>
    <xf numFmtId="0" fontId="17" fillId="0" borderId="9" xfId="75" applyFont="1" applyFill="1" applyBorder="1" applyAlignment="1" applyProtection="1">
      <alignment horizontal="center"/>
      <protection locked="0"/>
    </xf>
    <xf numFmtId="0" fontId="44" fillId="0" borderId="10" xfId="75" applyFont="1" applyBorder="1" applyProtection="1">
      <protection locked="0"/>
    </xf>
    <xf numFmtId="0" fontId="18" fillId="0" borderId="10" xfId="75" applyFont="1" applyBorder="1" applyProtection="1">
      <protection locked="0"/>
    </xf>
    <xf numFmtId="0" fontId="18" fillId="0" borderId="0" xfId="75" applyFont="1" applyProtection="1">
      <protection locked="0"/>
    </xf>
    <xf numFmtId="176" fontId="18" fillId="0" borderId="9" xfId="13" applyNumberFormat="1" applyFont="1" applyFill="1" applyBorder="1" applyProtection="1">
      <protection locked="0"/>
    </xf>
    <xf numFmtId="176" fontId="18" fillId="0" borderId="7" xfId="13" applyNumberFormat="1" applyFont="1" applyFill="1" applyBorder="1" applyProtection="1">
      <protection locked="0"/>
    </xf>
    <xf numFmtId="169" fontId="18" fillId="0" borderId="10" xfId="13" applyNumberFormat="1" applyFont="1" applyFill="1" applyBorder="1" applyProtection="1">
      <protection locked="0"/>
    </xf>
    <xf numFmtId="169" fontId="18" fillId="0" borderId="0" xfId="13" applyNumberFormat="1" applyFont="1" applyFill="1" applyBorder="1" applyAlignment="1" applyProtection="1">
      <protection locked="0"/>
    </xf>
    <xf numFmtId="37" fontId="18" fillId="0" borderId="9" xfId="13" applyNumberFormat="1" applyFont="1" applyFill="1" applyBorder="1" applyAlignment="1" applyProtection="1">
      <alignment horizontal="right"/>
      <protection locked="0"/>
    </xf>
    <xf numFmtId="169" fontId="18" fillId="0" borderId="12" xfId="13" applyNumberFormat="1" applyFont="1" applyFill="1" applyBorder="1" applyProtection="1">
      <protection locked="0"/>
    </xf>
    <xf numFmtId="37" fontId="18" fillId="0" borderId="15" xfId="13" applyNumberFormat="1" applyFont="1" applyFill="1" applyBorder="1" applyAlignment="1" applyProtection="1">
      <alignment horizontal="right"/>
      <protection locked="0"/>
    </xf>
    <xf numFmtId="169" fontId="18" fillId="0" borderId="15" xfId="13" applyNumberFormat="1" applyFont="1" applyFill="1" applyBorder="1" applyProtection="1">
      <protection locked="0"/>
    </xf>
    <xf numFmtId="0" fontId="18" fillId="0" borderId="9" xfId="75" applyFont="1" applyBorder="1" applyAlignment="1" applyProtection="1">
      <alignment horizontal="right"/>
      <protection locked="0"/>
    </xf>
    <xf numFmtId="169" fontId="18" fillId="0" borderId="9" xfId="13" applyNumberFormat="1" applyFont="1" applyFill="1" applyBorder="1" applyProtection="1">
      <protection locked="0"/>
    </xf>
    <xf numFmtId="169" fontId="18" fillId="0" borderId="9" xfId="13" applyNumberFormat="1" applyFont="1" applyFill="1" applyBorder="1" applyAlignment="1" applyProtection="1">
      <protection locked="0"/>
    </xf>
    <xf numFmtId="37" fontId="18" fillId="0" borderId="11" xfId="13" applyNumberFormat="1" applyFont="1" applyFill="1" applyBorder="1" applyAlignment="1" applyProtection="1">
      <alignment horizontal="right"/>
      <protection locked="0"/>
    </xf>
    <xf numFmtId="169" fontId="18" fillId="0" borderId="6" xfId="13" applyNumberFormat="1" applyFont="1" applyFill="1" applyBorder="1" applyAlignment="1" applyProtection="1">
      <protection locked="0"/>
    </xf>
    <xf numFmtId="169" fontId="18" fillId="0" borderId="8" xfId="13" applyNumberFormat="1" applyFont="1" applyFill="1" applyBorder="1" applyAlignment="1" applyProtection="1">
      <protection locked="0"/>
    </xf>
    <xf numFmtId="167" fontId="18" fillId="0" borderId="9" xfId="75" applyNumberFormat="1" applyFont="1" applyFill="1" applyBorder="1" applyAlignment="1" applyProtection="1">
      <alignment horizontal="right"/>
      <protection locked="0"/>
    </xf>
    <xf numFmtId="43" fontId="18" fillId="0" borderId="9" xfId="13" applyFont="1" applyBorder="1" applyAlignment="1" applyProtection="1">
      <alignment horizontal="right"/>
      <protection locked="0"/>
    </xf>
    <xf numFmtId="43" fontId="18" fillId="0" borderId="9" xfId="13" applyFont="1" applyFill="1" applyBorder="1" applyProtection="1">
      <protection locked="0"/>
    </xf>
    <xf numFmtId="0" fontId="18" fillId="0" borderId="0" xfId="75" applyFont="1" applyFill="1" applyProtection="1">
      <protection locked="0"/>
    </xf>
    <xf numFmtId="43" fontId="18" fillId="0" borderId="8" xfId="13" applyFont="1" applyBorder="1" applyAlignment="1" applyProtection="1">
      <alignment horizontal="right"/>
      <protection locked="0"/>
    </xf>
    <xf numFmtId="37" fontId="18" fillId="0" borderId="7" xfId="13" applyNumberFormat="1" applyFont="1" applyFill="1" applyBorder="1" applyAlignment="1" applyProtection="1">
      <alignment horizontal="right"/>
      <protection locked="0"/>
    </xf>
    <xf numFmtId="169" fontId="18" fillId="0" borderId="7" xfId="13" applyNumberFormat="1" applyFont="1" applyFill="1" applyBorder="1" applyProtection="1">
      <protection locked="0"/>
    </xf>
    <xf numFmtId="37" fontId="18" fillId="0" borderId="14" xfId="13" applyNumberFormat="1" applyFont="1" applyFill="1" applyBorder="1" applyAlignment="1" applyProtection="1">
      <alignment horizontal="right"/>
      <protection locked="0"/>
    </xf>
    <xf numFmtId="169" fontId="18" fillId="0" borderId="17" xfId="13" applyNumberFormat="1" applyFont="1" applyFill="1" applyBorder="1" applyProtection="1">
      <protection locked="0"/>
    </xf>
    <xf numFmtId="37" fontId="18" fillId="0" borderId="9" xfId="13" applyNumberFormat="1" applyFont="1" applyFill="1" applyBorder="1" applyAlignment="1" applyProtection="1">
      <alignment horizontal="center"/>
      <protection locked="0"/>
    </xf>
    <xf numFmtId="169" fontId="18" fillId="0" borderId="9" xfId="13" applyNumberFormat="1" applyFont="1" applyFill="1" applyBorder="1" applyAlignment="1" applyProtection="1">
      <alignment horizontal="right"/>
      <protection locked="0"/>
    </xf>
    <xf numFmtId="37" fontId="18" fillId="0" borderId="18" xfId="13" applyNumberFormat="1" applyFont="1" applyFill="1" applyBorder="1" applyAlignment="1" applyProtection="1">
      <alignment horizontal="right"/>
      <protection locked="0"/>
    </xf>
    <xf numFmtId="37" fontId="18" fillId="0" borderId="17" xfId="13" applyNumberFormat="1" applyFont="1" applyFill="1" applyBorder="1" applyAlignment="1" applyProtection="1">
      <alignment horizontal="right"/>
      <protection locked="0"/>
    </xf>
    <xf numFmtId="169" fontId="18" fillId="0" borderId="18" xfId="13" applyNumberFormat="1" applyFont="1" applyFill="1" applyBorder="1" applyProtection="1">
      <protection locked="0"/>
    </xf>
    <xf numFmtId="168" fontId="18" fillId="0" borderId="0" xfId="75" applyNumberFormat="1" applyFont="1" applyBorder="1" applyProtection="1">
      <protection locked="0"/>
    </xf>
    <xf numFmtId="168" fontId="18" fillId="0" borderId="0" xfId="75" applyNumberFormat="1" applyFont="1" applyProtection="1">
      <protection locked="0"/>
    </xf>
    <xf numFmtId="168" fontId="18" fillId="0" borderId="0" xfId="75" applyNumberFormat="1" applyFont="1" applyFill="1" applyProtection="1">
      <protection locked="0"/>
    </xf>
    <xf numFmtId="168" fontId="18" fillId="0" borderId="0" xfId="16" applyNumberFormat="1" applyFont="1" applyFill="1" applyBorder="1" applyProtection="1">
      <protection locked="0"/>
    </xf>
    <xf numFmtId="168" fontId="18" fillId="0" borderId="0" xfId="16" applyNumberFormat="1" applyFont="1" applyFill="1" applyProtection="1">
      <protection locked="0"/>
    </xf>
    <xf numFmtId="171" fontId="18" fillId="0" borderId="0" xfId="16" applyNumberFormat="1" applyFont="1" applyFill="1" applyProtection="1">
      <protection locked="0"/>
    </xf>
    <xf numFmtId="180" fontId="18" fillId="0" borderId="0" xfId="75" applyNumberFormat="1" applyFont="1" applyFill="1" applyProtection="1">
      <protection locked="0"/>
    </xf>
    <xf numFmtId="170" fontId="18" fillId="0" borderId="0" xfId="75" applyNumberFormat="1" applyFont="1" applyFill="1" applyProtection="1">
      <protection locked="0"/>
    </xf>
    <xf numFmtId="0" fontId="18" fillId="0" borderId="2" xfId="75" applyFont="1" applyBorder="1" applyProtection="1">
      <protection locked="0"/>
    </xf>
    <xf numFmtId="0" fontId="18" fillId="0" borderId="7" xfId="75" applyFont="1" applyBorder="1" applyProtection="1">
      <protection locked="0"/>
    </xf>
    <xf numFmtId="37" fontId="18" fillId="0" borderId="2" xfId="13" applyNumberFormat="1" applyFont="1" applyFill="1" applyBorder="1" applyProtection="1">
      <protection locked="0"/>
    </xf>
    <xf numFmtId="37" fontId="18" fillId="0" borderId="9" xfId="75" applyNumberFormat="1" applyFont="1" applyBorder="1" applyProtection="1">
      <protection locked="0"/>
    </xf>
    <xf numFmtId="37" fontId="18" fillId="0" borderId="7" xfId="13" applyNumberFormat="1" applyFont="1" applyFill="1" applyBorder="1" applyProtection="1">
      <protection locked="0"/>
    </xf>
    <xf numFmtId="37" fontId="18" fillId="0" borderId="10" xfId="13" applyNumberFormat="1" applyFont="1" applyFill="1" applyBorder="1" applyProtection="1">
      <protection locked="0"/>
    </xf>
    <xf numFmtId="37" fontId="18" fillId="0" borderId="9" xfId="13" applyNumberFormat="1" applyFont="1" applyFill="1" applyBorder="1" applyProtection="1">
      <protection locked="0"/>
    </xf>
    <xf numFmtId="37" fontId="18" fillId="0" borderId="5" xfId="13" applyNumberFormat="1" applyFont="1" applyFill="1" applyBorder="1" applyProtection="1">
      <protection locked="0"/>
    </xf>
    <xf numFmtId="37" fontId="18" fillId="0" borderId="8" xfId="13" applyNumberFormat="1" applyFont="1" applyFill="1" applyBorder="1" applyProtection="1">
      <protection locked="0"/>
    </xf>
    <xf numFmtId="169" fontId="18" fillId="0" borderId="8" xfId="13" applyNumberFormat="1" applyFont="1" applyFill="1" applyBorder="1" applyProtection="1">
      <protection locked="0"/>
    </xf>
    <xf numFmtId="37" fontId="18" fillId="0" borderId="8" xfId="75" applyNumberFormat="1" applyFont="1" applyFill="1" applyBorder="1" applyProtection="1">
      <protection locked="0"/>
    </xf>
    <xf numFmtId="37" fontId="18" fillId="0" borderId="8" xfId="75" applyNumberFormat="1" applyFont="1" applyBorder="1" applyProtection="1">
      <protection locked="0"/>
    </xf>
    <xf numFmtId="37" fontId="18" fillId="0" borderId="7" xfId="75" applyNumberFormat="1" applyFont="1" applyFill="1" applyBorder="1" applyProtection="1">
      <protection locked="0"/>
    </xf>
    <xf numFmtId="37" fontId="18" fillId="0" borderId="9" xfId="75" applyNumberFormat="1" applyFont="1" applyFill="1" applyBorder="1" applyProtection="1">
      <protection locked="0"/>
    </xf>
    <xf numFmtId="181" fontId="18" fillId="0" borderId="9" xfId="13" applyNumberFormat="1" applyFont="1" applyFill="1" applyBorder="1" applyProtection="1">
      <protection locked="0"/>
    </xf>
    <xf numFmtId="169" fontId="18" fillId="0" borderId="15" xfId="75" applyNumberFormat="1" applyFont="1" applyBorder="1" applyProtection="1">
      <protection locked="0"/>
    </xf>
    <xf numFmtId="169" fontId="18" fillId="0" borderId="14" xfId="75" applyNumberFormat="1" applyFont="1" applyBorder="1" applyProtection="1">
      <protection locked="0"/>
    </xf>
    <xf numFmtId="169" fontId="18" fillId="0" borderId="8" xfId="75" applyNumberFormat="1" applyFont="1" applyBorder="1" applyProtection="1">
      <protection locked="0"/>
    </xf>
    <xf numFmtId="169" fontId="18" fillId="0" borderId="1" xfId="75" applyNumberFormat="1" applyFont="1" applyBorder="1" applyProtection="1">
      <protection locked="0"/>
    </xf>
    <xf numFmtId="169" fontId="18" fillId="0" borderId="0" xfId="75" applyNumberFormat="1" applyFont="1" applyBorder="1" applyProtection="1">
      <protection locked="0"/>
    </xf>
    <xf numFmtId="181" fontId="18" fillId="0" borderId="8" xfId="1" applyNumberFormat="1" applyFont="1" applyBorder="1" applyAlignment="1" applyProtection="1">
      <alignment horizontal="center"/>
      <protection locked="0"/>
    </xf>
    <xf numFmtId="37" fontId="13" fillId="0" borderId="0" xfId="75" applyNumberFormat="1" applyFill="1" applyBorder="1" applyProtection="1">
      <protection locked="0"/>
    </xf>
    <xf numFmtId="173" fontId="18" fillId="0" borderId="0" xfId="75" applyNumberFormat="1" applyFont="1" applyFill="1" applyBorder="1" applyProtection="1">
      <protection locked="0"/>
    </xf>
    <xf numFmtId="0" fontId="24" fillId="0" borderId="2" xfId="75" applyFont="1" applyBorder="1" applyAlignment="1" applyProtection="1">
      <alignment horizontal="center"/>
      <protection locked="0"/>
    </xf>
    <xf numFmtId="176" fontId="18" fillId="0" borderId="2" xfId="13" applyNumberFormat="1" applyFont="1" applyFill="1" applyBorder="1" applyProtection="1">
      <protection locked="0"/>
    </xf>
    <xf numFmtId="37" fontId="18" fillId="0" borderId="10" xfId="77" applyNumberFormat="1" applyFont="1" applyFill="1" applyBorder="1" applyAlignment="1" applyProtection="1">
      <alignment horizontal="right"/>
      <protection locked="0"/>
    </xf>
    <xf numFmtId="176" fontId="18" fillId="0" borderId="10" xfId="13" applyNumberFormat="1" applyFont="1" applyFill="1" applyBorder="1" applyProtection="1">
      <protection locked="0"/>
    </xf>
    <xf numFmtId="0" fontId="18" fillId="0" borderId="9" xfId="75" applyFont="1" applyFill="1" applyBorder="1" applyAlignment="1" applyProtection="1">
      <alignment horizontal="right"/>
      <protection locked="0"/>
    </xf>
    <xf numFmtId="169" fontId="18" fillId="0" borderId="9" xfId="75" applyNumberFormat="1" applyFont="1" applyFill="1" applyBorder="1" applyAlignment="1" applyProtection="1">
      <alignment horizontal="right"/>
      <protection locked="0"/>
    </xf>
    <xf numFmtId="169" fontId="18" fillId="0" borderId="19" xfId="13" applyNumberFormat="1" applyFont="1" applyFill="1" applyBorder="1" applyProtection="1">
      <protection locked="0"/>
    </xf>
    <xf numFmtId="0" fontId="27" fillId="0" borderId="10" xfId="75" applyFont="1" applyBorder="1" applyProtection="1">
      <protection locked="0"/>
    </xf>
    <xf numFmtId="169" fontId="18" fillId="0" borderId="15" xfId="13" applyNumberFormat="1" applyFont="1" applyFill="1" applyBorder="1" applyAlignment="1" applyProtection="1">
      <alignment horizontal="right"/>
      <protection locked="0"/>
    </xf>
    <xf numFmtId="181" fontId="18" fillId="0" borderId="2" xfId="1" applyNumberFormat="1" applyFont="1" applyBorder="1" applyAlignment="1" applyProtection="1">
      <protection locked="0"/>
    </xf>
    <xf numFmtId="181" fontId="18" fillId="0" borderId="10" xfId="1" applyNumberFormat="1" applyFont="1" applyBorder="1" applyAlignment="1" applyProtection="1">
      <protection locked="0"/>
    </xf>
    <xf numFmtId="181" fontId="18" fillId="0" borderId="5" xfId="1" applyNumberFormat="1" applyFont="1" applyBorder="1" applyAlignment="1" applyProtection="1">
      <protection locked="0"/>
    </xf>
    <xf numFmtId="37" fontId="18" fillId="0" borderId="8" xfId="157" applyNumberFormat="1" applyFont="1" applyBorder="1" applyAlignment="1" applyProtection="1">
      <alignment horizontal="center"/>
      <protection locked="0"/>
    </xf>
    <xf numFmtId="169" fontId="18" fillId="0" borderId="0" xfId="157" applyNumberFormat="1" applyFont="1" applyBorder="1" applyProtection="1">
      <protection locked="0"/>
    </xf>
    <xf numFmtId="168" fontId="18" fillId="0" borderId="0" xfId="157" applyNumberFormat="1" applyFont="1" applyProtection="1">
      <protection locked="0"/>
    </xf>
    <xf numFmtId="183" fontId="78" fillId="0" borderId="0" xfId="157" applyNumberFormat="1" applyProtection="1">
      <protection locked="0"/>
    </xf>
    <xf numFmtId="169" fontId="18" fillId="0" borderId="1" xfId="157" applyNumberFormat="1" applyFont="1" applyFill="1" applyBorder="1" applyProtection="1"/>
    <xf numFmtId="37" fontId="18" fillId="0" borderId="10" xfId="77" applyNumberFormat="1" applyFont="1" applyBorder="1" applyAlignment="1" applyProtection="1">
      <alignment horizontal="right"/>
      <protection locked="0"/>
    </xf>
    <xf numFmtId="169" fontId="18" fillId="0" borderId="8" xfId="13" applyNumberFormat="1" applyFont="1" applyBorder="1" applyAlignment="1" applyProtection="1">
      <alignment horizontal="right"/>
      <protection locked="0"/>
    </xf>
    <xf numFmtId="169" fontId="18" fillId="0" borderId="9" xfId="1" applyNumberFormat="1" applyFont="1" applyBorder="1" applyAlignment="1" applyProtection="1">
      <alignment horizontal="right"/>
      <protection locked="0"/>
    </xf>
    <xf numFmtId="169" fontId="18" fillId="0" borderId="9" xfId="13" applyNumberFormat="1" applyFont="1" applyBorder="1" applyAlignment="1" applyProtection="1">
      <alignment horizontal="right"/>
      <protection locked="0"/>
    </xf>
    <xf numFmtId="0" fontId="13" fillId="0" borderId="10" xfId="75" applyFill="1" applyBorder="1" applyProtection="1">
      <protection locked="0"/>
    </xf>
    <xf numFmtId="0" fontId="13" fillId="0" borderId="10" xfId="75" applyFont="1" applyFill="1" applyBorder="1" applyProtection="1">
      <protection locked="0"/>
    </xf>
    <xf numFmtId="0" fontId="13" fillId="0" borderId="0" xfId="75" applyFont="1" applyFill="1" applyProtection="1">
      <protection locked="0"/>
    </xf>
    <xf numFmtId="0" fontId="13" fillId="0" borderId="0" xfId="75" applyFont="1" applyFill="1" applyBorder="1" applyProtection="1">
      <protection locked="0"/>
    </xf>
    <xf numFmtId="169" fontId="18" fillId="0" borderId="8" xfId="1" applyNumberFormat="1" applyFont="1" applyBorder="1" applyAlignment="1" applyProtection="1">
      <alignment horizontal="right"/>
      <protection locked="0"/>
    </xf>
    <xf numFmtId="37" fontId="18" fillId="0" borderId="8" xfId="0" applyNumberFormat="1" applyFont="1" applyBorder="1" applyAlignment="1" applyProtection="1">
      <alignment horizontal="center"/>
      <protection locked="0"/>
    </xf>
    <xf numFmtId="183" fontId="24" fillId="0" borderId="10" xfId="0" applyFont="1" applyFill="1" applyBorder="1" applyAlignment="1" applyProtection="1">
      <alignment horizontal="center"/>
      <protection locked="0"/>
    </xf>
    <xf numFmtId="169" fontId="18" fillId="0" borderId="7" xfId="0" applyNumberFormat="1" applyFont="1" applyFill="1" applyBorder="1" applyProtection="1">
      <protection locked="0"/>
    </xf>
    <xf numFmtId="183" fontId="18" fillId="0" borderId="0" xfId="0" applyFont="1" applyAlignment="1" applyProtection="1">
      <protection locked="0"/>
    </xf>
    <xf numFmtId="167" fontId="18" fillId="0" borderId="7" xfId="0" applyNumberFormat="1" applyFont="1" applyFill="1" applyBorder="1" applyProtection="1">
      <protection locked="0"/>
    </xf>
    <xf numFmtId="167" fontId="18" fillId="0" borderId="2" xfId="0" applyNumberFormat="1" applyFont="1" applyFill="1" applyBorder="1" applyProtection="1">
      <protection locked="0"/>
    </xf>
    <xf numFmtId="167" fontId="18" fillId="0" borderId="9" xfId="0" applyNumberFormat="1" applyFont="1" applyFill="1" applyBorder="1" applyProtection="1">
      <protection locked="0"/>
    </xf>
    <xf numFmtId="167" fontId="18" fillId="0" borderId="15" xfId="0" applyNumberFormat="1" applyFont="1" applyFill="1" applyBorder="1" applyProtection="1">
      <protection locked="0"/>
    </xf>
    <xf numFmtId="167" fontId="18" fillId="0" borderId="18" xfId="0" applyNumberFormat="1" applyFont="1" applyFill="1" applyBorder="1" applyProtection="1">
      <protection locked="0"/>
    </xf>
    <xf numFmtId="37" fontId="18" fillId="0" borderId="18" xfId="1" applyNumberFormat="1" applyFont="1" applyFill="1" applyBorder="1" applyAlignment="1" applyProtection="1">
      <alignment horizontal="center"/>
      <protection locked="0"/>
    </xf>
    <xf numFmtId="168" fontId="18" fillId="0" borderId="0" xfId="7" applyNumberFormat="1" applyFont="1" applyFill="1" applyAlignment="1" applyProtection="1">
      <alignment horizontal="right"/>
      <protection locked="0"/>
    </xf>
    <xf numFmtId="167" fontId="18" fillId="0" borderId="0" xfId="0" applyNumberFormat="1" applyFont="1" applyFill="1" applyProtection="1">
      <protection locked="0"/>
    </xf>
    <xf numFmtId="183" fontId="25" fillId="0" borderId="11" xfId="0" applyFont="1" applyFill="1" applyBorder="1" applyAlignment="1" applyProtection="1">
      <alignment horizontal="center"/>
      <protection locked="0"/>
    </xf>
    <xf numFmtId="181" fontId="18" fillId="6" borderId="0" xfId="7" applyNumberFormat="1" applyFont="1" applyFill="1" applyBorder="1" applyProtection="1">
      <protection locked="0"/>
    </xf>
    <xf numFmtId="181" fontId="18" fillId="6" borderId="0" xfId="7" applyNumberFormat="1" applyFont="1" applyFill="1" applyBorder="1" applyAlignment="1" applyProtection="1">
      <alignment horizontal="right"/>
      <protection locked="0"/>
    </xf>
    <xf numFmtId="181" fontId="18" fillId="6" borderId="0" xfId="0" applyNumberFormat="1" applyFont="1" applyFill="1" applyBorder="1" applyProtection="1">
      <protection locked="0"/>
    </xf>
    <xf numFmtId="181" fontId="18" fillId="6" borderId="0" xfId="1" applyNumberFormat="1" applyFont="1" applyFill="1" applyBorder="1" applyProtection="1">
      <protection locked="0"/>
    </xf>
    <xf numFmtId="181" fontId="18" fillId="6" borderId="9" xfId="0" applyNumberFormat="1" applyFont="1" applyFill="1" applyBorder="1" applyProtection="1">
      <protection locked="0"/>
    </xf>
    <xf numFmtId="181" fontId="18" fillId="6" borderId="8" xfId="0" applyNumberFormat="1" applyFont="1" applyFill="1" applyBorder="1" applyProtection="1">
      <protection locked="0"/>
    </xf>
    <xf numFmtId="181" fontId="18" fillId="6" borderId="2" xfId="1" applyNumberFormat="1" applyFont="1" applyFill="1" applyBorder="1" applyProtection="1">
      <protection locked="0"/>
    </xf>
    <xf numFmtId="181" fontId="18" fillId="6" borderId="10" xfId="1" applyNumberFormat="1" applyFont="1" applyFill="1" applyBorder="1" applyProtection="1">
      <protection locked="0"/>
    </xf>
    <xf numFmtId="181" fontId="18" fillId="6" borderId="5" xfId="1" applyNumberFormat="1" applyFont="1" applyFill="1" applyBorder="1" applyProtection="1">
      <protection locked="0"/>
    </xf>
    <xf numFmtId="181" fontId="18" fillId="6" borderId="13" xfId="0" applyNumberFormat="1" applyFont="1" applyFill="1" applyBorder="1" applyProtection="1">
      <protection locked="0"/>
    </xf>
    <xf numFmtId="181" fontId="18" fillId="6" borderId="12" xfId="0" applyNumberFormat="1" applyFont="1" applyFill="1" applyBorder="1" applyProtection="1">
      <protection locked="0"/>
    </xf>
    <xf numFmtId="181" fontId="18" fillId="6" borderId="15" xfId="0" applyNumberFormat="1" applyFont="1" applyFill="1" applyBorder="1" applyProtection="1">
      <protection locked="0"/>
    </xf>
    <xf numFmtId="169" fontId="18" fillId="0" borderId="8" xfId="0" applyNumberFormat="1" applyFont="1" applyFill="1" applyBorder="1" applyProtection="1">
      <protection locked="0"/>
    </xf>
    <xf numFmtId="169" fontId="18" fillId="0" borderId="7" xfId="0" applyNumberFormat="1" applyFont="1" applyBorder="1" applyProtection="1">
      <protection locked="0"/>
    </xf>
    <xf numFmtId="183" fontId="24" fillId="0" borderId="4" xfId="0" applyFont="1" applyFill="1" applyBorder="1" applyAlignment="1" applyProtection="1">
      <alignment horizontal="center"/>
      <protection locked="0"/>
    </xf>
    <xf numFmtId="179" fontId="18" fillId="0" borderId="9" xfId="0" applyNumberFormat="1" applyFont="1" applyBorder="1" applyProtection="1">
      <protection locked="0"/>
    </xf>
    <xf numFmtId="170" fontId="18" fillId="0" borderId="9" xfId="1" applyNumberFormat="1" applyFont="1" applyFill="1" applyBorder="1" applyProtection="1">
      <protection locked="0"/>
    </xf>
    <xf numFmtId="37" fontId="24" fillId="0" borderId="18" xfId="1" applyNumberFormat="1" applyFont="1" applyFill="1" applyBorder="1" applyAlignment="1" applyProtection="1">
      <alignment horizontal="right"/>
      <protection locked="0"/>
    </xf>
    <xf numFmtId="169" fontId="24" fillId="0" borderId="18" xfId="1" applyNumberFormat="1" applyFont="1" applyFill="1" applyBorder="1" applyAlignment="1" applyProtection="1">
      <alignment horizontal="right"/>
      <protection locked="0"/>
    </xf>
    <xf numFmtId="169" fontId="24" fillId="0" borderId="18" xfId="0" applyNumberFormat="1" applyFont="1" applyBorder="1" applyProtection="1">
      <protection locked="0"/>
    </xf>
    <xf numFmtId="169" fontId="24" fillId="0" borderId="19" xfId="1" applyNumberFormat="1" applyFont="1" applyFill="1" applyBorder="1" applyAlignment="1" applyProtection="1">
      <alignment horizontal="right"/>
      <protection locked="0"/>
    </xf>
    <xf numFmtId="43" fontId="23" fillId="0" borderId="0" xfId="1" applyFont="1" applyFill="1" applyBorder="1" applyProtection="1"/>
    <xf numFmtId="43" fontId="18" fillId="0" borderId="5" xfId="1" applyFont="1" applyFill="1" applyBorder="1" applyProtection="1"/>
    <xf numFmtId="167" fontId="18" fillId="0" borderId="12" xfId="13" applyNumberFormat="1" applyFont="1" applyFill="1" applyBorder="1" applyAlignment="1" applyProtection="1">
      <alignment horizontal="right"/>
      <protection locked="0"/>
    </xf>
    <xf numFmtId="181" fontId="18" fillId="0" borderId="16" xfId="1" applyNumberFormat="1" applyFont="1" applyFill="1" applyBorder="1" applyAlignment="1" applyProtection="1">
      <alignment horizontal="right"/>
      <protection locked="0"/>
    </xf>
    <xf numFmtId="183" fontId="13" fillId="0" borderId="10" xfId="0" applyFont="1" applyBorder="1" applyAlignment="1">
      <alignment horizontal="left" indent="2"/>
    </xf>
    <xf numFmtId="37" fontId="18" fillId="0" borderId="10" xfId="16" applyNumberFormat="1" applyFont="1" applyFill="1" applyBorder="1" applyAlignment="1" applyProtection="1">
      <alignment horizontal="right"/>
    </xf>
    <xf numFmtId="37" fontId="18" fillId="0" borderId="5" xfId="16" applyNumberFormat="1" applyFont="1" applyFill="1" applyBorder="1" applyAlignment="1" applyProtection="1">
      <alignment horizontal="right"/>
    </xf>
    <xf numFmtId="169" fontId="18" fillId="0" borderId="10" xfId="13" applyNumberFormat="1" applyFont="1" applyFill="1" applyBorder="1" applyAlignment="1" applyProtection="1">
      <alignment horizontal="right"/>
    </xf>
    <xf numFmtId="43" fontId="18" fillId="0" borderId="8" xfId="1" applyFont="1" applyBorder="1" applyProtection="1"/>
    <xf numFmtId="181" fontId="13" fillId="0" borderId="0" xfId="1" applyNumberFormat="1" applyBorder="1" applyProtection="1"/>
    <xf numFmtId="183" fontId="13" fillId="0" borderId="0" xfId="0" applyFont="1" applyBorder="1" applyProtection="1"/>
    <xf numFmtId="43" fontId="18" fillId="0" borderId="5" xfId="1" applyFont="1" applyFill="1" applyBorder="1" applyAlignment="1" applyProtection="1">
      <alignment horizontal="right"/>
    </xf>
    <xf numFmtId="43" fontId="18" fillId="0" borderId="6" xfId="1" applyFont="1" applyFill="1" applyBorder="1" applyProtection="1"/>
    <xf numFmtId="37" fontId="18" fillId="0" borderId="0" xfId="77" applyNumberFormat="1" applyFont="1" applyBorder="1" applyAlignment="1" applyProtection="1">
      <alignment horizontal="right"/>
      <protection locked="0"/>
    </xf>
    <xf numFmtId="168" fontId="18" fillId="0" borderId="11" xfId="16" applyNumberFormat="1" applyFont="1" applyFill="1" applyBorder="1" applyAlignment="1" applyProtection="1">
      <alignment horizontal="right"/>
      <protection locked="0"/>
    </xf>
    <xf numFmtId="183" fontId="15" fillId="0" borderId="0" xfId="77" applyFont="1" applyFill="1" applyProtection="1"/>
    <xf numFmtId="181" fontId="18" fillId="0" borderId="5" xfId="1" applyNumberFormat="1" applyFont="1" applyFill="1" applyBorder="1" applyProtection="1">
      <protection locked="0"/>
    </xf>
    <xf numFmtId="43" fontId="18" fillId="0" borderId="19" xfId="1" applyFont="1" applyFill="1" applyBorder="1" applyAlignment="1" applyProtection="1">
      <alignment horizontal="right"/>
      <protection locked="0"/>
    </xf>
    <xf numFmtId="43" fontId="18" fillId="0" borderId="0" xfId="1" applyFont="1" applyBorder="1" applyProtection="1">
      <protection locked="0"/>
    </xf>
    <xf numFmtId="175" fontId="18" fillId="0" borderId="0" xfId="0" applyNumberFormat="1" applyFont="1" applyFill="1" applyBorder="1" applyProtection="1"/>
    <xf numFmtId="175" fontId="18" fillId="0" borderId="11" xfId="0" applyNumberFormat="1" applyFont="1" applyFill="1" applyBorder="1" applyProtection="1"/>
    <xf numFmtId="175" fontId="18" fillId="0" borderId="9" xfId="0" applyNumberFormat="1" applyFont="1" applyFill="1" applyBorder="1" applyProtection="1"/>
    <xf numFmtId="175" fontId="18" fillId="0" borderId="10" xfId="0" applyNumberFormat="1" applyFont="1" applyFill="1" applyBorder="1" applyAlignment="1" applyProtection="1">
      <alignment horizontal="right"/>
    </xf>
    <xf numFmtId="175" fontId="18" fillId="0" borderId="0" xfId="0" applyNumberFormat="1" applyFont="1" applyBorder="1" applyAlignment="1" applyProtection="1">
      <alignment horizontal="right"/>
    </xf>
    <xf numFmtId="175" fontId="18" fillId="0" borderId="0" xfId="1" applyNumberFormat="1" applyFont="1" applyFill="1" applyBorder="1" applyAlignment="1" applyProtection="1">
      <alignment horizontal="right"/>
    </xf>
    <xf numFmtId="175" fontId="18" fillId="0" borderId="11" xfId="7" applyNumberFormat="1" applyFont="1" applyFill="1" applyBorder="1" applyAlignment="1" applyProtection="1">
      <alignment horizontal="right"/>
    </xf>
    <xf numFmtId="175" fontId="18" fillId="0" borderId="0" xfId="0" applyNumberFormat="1" applyFont="1" applyProtection="1"/>
    <xf numFmtId="175" fontId="18" fillId="0" borderId="9" xfId="1" applyNumberFormat="1" applyFont="1" applyFill="1" applyBorder="1" applyAlignment="1" applyProtection="1">
      <alignment horizontal="right"/>
    </xf>
    <xf numFmtId="37" fontId="18" fillId="0" borderId="7" xfId="7" applyNumberFormat="1" applyFont="1" applyFill="1" applyBorder="1" applyAlignment="1" applyProtection="1">
      <alignment horizontal="right"/>
      <protection locked="0"/>
    </xf>
    <xf numFmtId="37" fontId="18" fillId="0" borderId="9" xfId="7" applyNumberFormat="1" applyFont="1" applyFill="1" applyBorder="1" applyAlignment="1" applyProtection="1">
      <alignment horizontal="right"/>
      <protection locked="0"/>
    </xf>
    <xf numFmtId="43" fontId="18" fillId="0" borderId="3" xfId="1" applyFont="1" applyFill="1" applyBorder="1" applyAlignment="1" applyProtection="1">
      <alignment horizontal="right"/>
      <protection locked="0"/>
    </xf>
    <xf numFmtId="183" fontId="15" fillId="0" borderId="0" xfId="0" applyFont="1" applyFill="1" applyProtection="1"/>
    <xf numFmtId="183" fontId="18" fillId="0" borderId="5" xfId="0" applyFont="1" applyFill="1" applyBorder="1" applyProtection="1"/>
    <xf numFmtId="183" fontId="18" fillId="0" borderId="1" xfId="0" applyFont="1" applyFill="1" applyBorder="1" applyProtection="1"/>
    <xf numFmtId="0" fontId="18" fillId="0" borderId="0" xfId="75" applyFont="1" applyFill="1" applyBorder="1" applyAlignment="1" applyProtection="1"/>
    <xf numFmtId="37" fontId="18" fillId="0" borderId="10" xfId="75" applyNumberFormat="1" applyFont="1" applyBorder="1" applyProtection="1">
      <protection locked="0"/>
    </xf>
    <xf numFmtId="37" fontId="18" fillId="0" borderId="5" xfId="0" applyNumberFormat="1" applyFont="1" applyBorder="1" applyProtection="1"/>
    <xf numFmtId="181" fontId="18" fillId="0" borderId="10" xfId="1" applyNumberFormat="1" applyFont="1" applyFill="1" applyBorder="1" applyAlignment="1" applyProtection="1"/>
    <xf numFmtId="0" fontId="18" fillId="0" borderId="0" xfId="75" applyFont="1" applyFill="1" applyBorder="1" applyAlignment="1" applyProtection="1">
      <alignment wrapText="1"/>
    </xf>
    <xf numFmtId="181" fontId="18" fillId="0" borderId="11" xfId="1" applyNumberFormat="1" applyFont="1" applyFill="1" applyBorder="1" applyAlignment="1" applyProtection="1"/>
    <xf numFmtId="183" fontId="13" fillId="0" borderId="10" xfId="0" applyFont="1" applyFill="1" applyBorder="1" applyAlignment="1">
      <alignment horizontal="left" indent="2"/>
    </xf>
    <xf numFmtId="187" fontId="37" fillId="0" borderId="0" xfId="0" applyNumberFormat="1" applyFont="1" applyFill="1" applyAlignment="1">
      <alignment horizontal="center" vertical="center"/>
    </xf>
    <xf numFmtId="183" fontId="38" fillId="0" borderId="0" xfId="0" applyFont="1" applyFill="1"/>
    <xf numFmtId="183" fontId="120" fillId="0" borderId="0" xfId="0" applyFont="1" applyFill="1" applyAlignment="1"/>
    <xf numFmtId="183" fontId="119" fillId="0" borderId="0" xfId="0" applyFont="1" applyFill="1" applyAlignment="1"/>
    <xf numFmtId="183" fontId="15" fillId="0" borderId="0" xfId="0" applyFont="1" applyFill="1"/>
    <xf numFmtId="37" fontId="18" fillId="0" borderId="8" xfId="7" applyNumberFormat="1" applyFont="1" applyFill="1" applyBorder="1" applyAlignment="1" applyProtection="1">
      <alignment horizontal="right"/>
      <protection locked="0"/>
    </xf>
    <xf numFmtId="37" fontId="18" fillId="0" borderId="7" xfId="0" applyNumberFormat="1" applyFont="1" applyBorder="1" applyAlignment="1" applyProtection="1">
      <alignment horizontal="right"/>
    </xf>
    <xf numFmtId="181" fontId="18" fillId="0" borderId="2" xfId="1" applyNumberFormat="1" applyFont="1" applyFill="1" applyBorder="1" applyAlignment="1" applyProtection="1">
      <alignment horizontal="center"/>
    </xf>
    <xf numFmtId="181" fontId="18" fillId="0" borderId="3" xfId="1" applyNumberFormat="1" applyFont="1" applyFill="1" applyBorder="1" applyAlignment="1" applyProtection="1">
      <alignment horizontal="center"/>
    </xf>
    <xf numFmtId="181" fontId="18" fillId="0" borderId="4" xfId="1" applyNumberFormat="1" applyFont="1" applyFill="1" applyBorder="1" applyAlignment="1" applyProtection="1">
      <alignment horizontal="center"/>
    </xf>
    <xf numFmtId="181" fontId="18" fillId="0" borderId="8" xfId="1" applyNumberFormat="1" applyFont="1" applyFill="1" applyBorder="1" applyAlignment="1" applyProtection="1">
      <alignment horizontal="center"/>
    </xf>
    <xf numFmtId="183" fontId="24" fillId="0" borderId="11" xfId="0" applyFont="1" applyBorder="1" applyProtection="1"/>
    <xf numFmtId="181" fontId="18" fillId="0" borderId="12" xfId="1" applyNumberFormat="1" applyFont="1" applyFill="1" applyBorder="1" applyProtection="1">
      <protection locked="0"/>
    </xf>
    <xf numFmtId="43" fontId="124" fillId="0" borderId="0" xfId="1" applyFont="1" applyAlignment="1">
      <alignment vertical="center"/>
    </xf>
    <xf numFmtId="43" fontId="53" fillId="0" borderId="29" xfId="1" applyFont="1" applyBorder="1" applyAlignment="1">
      <alignment horizontal="center" vertical="center"/>
    </xf>
    <xf numFmtId="43" fontId="54" fillId="0" borderId="22" xfId="1" applyFont="1" applyBorder="1" applyAlignment="1">
      <alignment vertical="center"/>
    </xf>
    <xf numFmtId="43" fontId="54" fillId="0" borderId="20" xfId="1" applyFont="1" applyBorder="1" applyAlignment="1">
      <alignment vertical="center"/>
    </xf>
    <xf numFmtId="43" fontId="126" fillId="0" borderId="20" xfId="1" applyFont="1" applyBorder="1" applyAlignment="1">
      <alignment vertical="center" wrapText="1"/>
    </xf>
    <xf numFmtId="43" fontId="54" fillId="0" borderId="20" xfId="1" applyFont="1" applyBorder="1" applyAlignment="1">
      <alignment horizontal="left" vertical="center" indent="1"/>
    </xf>
    <xf numFmtId="43" fontId="126" fillId="0" borderId="20" xfId="1" applyFont="1" applyBorder="1" applyAlignment="1">
      <alignment horizontal="left" vertical="center" indent="1"/>
    </xf>
    <xf numFmtId="43" fontId="54" fillId="0" borderId="20" xfId="1" applyFont="1" applyBorder="1" applyAlignment="1">
      <alignment horizontal="left" vertical="center" indent="3"/>
    </xf>
    <xf numFmtId="43" fontId="128" fillId="0" borderId="0" xfId="1" applyFont="1" applyAlignment="1">
      <alignment vertical="center"/>
    </xf>
    <xf numFmtId="181" fontId="53" fillId="0" borderId="24" xfId="1" applyNumberFormat="1" applyFont="1" applyBorder="1" applyAlignment="1">
      <alignment horizontal="right" vertical="center"/>
    </xf>
    <xf numFmtId="181" fontId="54" fillId="0" borderId="24" xfId="1" applyNumberFormat="1" applyFont="1" applyBorder="1" applyAlignment="1">
      <alignment horizontal="right" vertical="center"/>
    </xf>
    <xf numFmtId="43" fontId="129" fillId="0" borderId="0" xfId="1" applyFont="1" applyAlignment="1">
      <alignment vertical="center"/>
    </xf>
    <xf numFmtId="168" fontId="132" fillId="0" borderId="61" xfId="7" applyNumberFormat="1" applyFont="1" applyBorder="1" applyAlignment="1">
      <alignment horizontal="right" vertical="center" wrapText="1"/>
    </xf>
    <xf numFmtId="181" fontId="53" fillId="0" borderId="0" xfId="1" applyNumberFormat="1" applyFont="1" applyBorder="1" applyAlignment="1">
      <alignment horizontal="right" vertical="center"/>
    </xf>
    <xf numFmtId="168" fontId="132" fillId="0" borderId="0" xfId="7" applyNumberFormat="1" applyFont="1" applyBorder="1" applyAlignment="1">
      <alignment horizontal="right" vertical="center" wrapText="1"/>
    </xf>
    <xf numFmtId="43" fontId="54" fillId="0" borderId="0" xfId="1" applyFont="1" applyBorder="1" applyAlignment="1">
      <alignment horizontal="right" vertical="center"/>
    </xf>
    <xf numFmtId="168" fontId="132" fillId="0" borderId="24" xfId="7" applyNumberFormat="1" applyFont="1" applyBorder="1" applyAlignment="1">
      <alignment horizontal="right" vertical="center" wrapText="1"/>
    </xf>
    <xf numFmtId="43" fontId="54" fillId="0" borderId="29" xfId="1" applyFont="1" applyBorder="1" applyAlignment="1">
      <alignment vertical="center"/>
    </xf>
    <xf numFmtId="181" fontId="53" fillId="0" borderId="27" xfId="1" applyNumberFormat="1" applyFont="1" applyBorder="1" applyAlignment="1">
      <alignment horizontal="right" vertical="center"/>
    </xf>
    <xf numFmtId="9" fontId="53" fillId="0" borderId="24" xfId="7" applyFont="1" applyBorder="1" applyAlignment="1">
      <alignment horizontal="right" vertical="center" wrapText="1"/>
    </xf>
    <xf numFmtId="9" fontId="54" fillId="0" borderId="24" xfId="7" applyFont="1" applyBorder="1" applyAlignment="1">
      <alignment horizontal="right" vertical="center" wrapText="1"/>
    </xf>
    <xf numFmtId="171" fontId="53" fillId="0" borderId="0" xfId="7" applyNumberFormat="1" applyFont="1" applyAlignment="1">
      <alignment horizontal="right" vertical="center" wrapText="1"/>
    </xf>
    <xf numFmtId="171" fontId="53" fillId="0" borderId="24" xfId="7" applyNumberFormat="1" applyFont="1" applyBorder="1" applyAlignment="1">
      <alignment horizontal="right" vertical="center" wrapText="1"/>
    </xf>
    <xf numFmtId="43" fontId="54" fillId="0" borderId="67" xfId="1" applyFont="1" applyBorder="1" applyAlignment="1">
      <alignment vertical="center"/>
    </xf>
    <xf numFmtId="43" fontId="13" fillId="0" borderId="0" xfId="1" applyFont="1"/>
    <xf numFmtId="196" fontId="54" fillId="0" borderId="0" xfId="1" applyNumberFormat="1" applyFont="1"/>
    <xf numFmtId="171" fontId="53" fillId="0" borderId="0" xfId="7" applyNumberFormat="1" applyFont="1" applyAlignment="1">
      <alignment horizontal="right" vertical="center"/>
    </xf>
    <xf numFmtId="49" fontId="53" fillId="0" borderId="27" xfId="1" applyNumberFormat="1" applyFont="1" applyBorder="1" applyAlignment="1">
      <alignment horizontal="center" vertical="center"/>
    </xf>
    <xf numFmtId="49" fontId="0" fillId="0" borderId="27" xfId="1" applyNumberFormat="1" applyFont="1" applyBorder="1"/>
    <xf numFmtId="49" fontId="0" fillId="0" borderId="0" xfId="1" applyNumberFormat="1" applyFont="1"/>
    <xf numFmtId="181" fontId="53" fillId="0" borderId="0" xfId="1" applyNumberFormat="1" applyFont="1" applyAlignment="1">
      <alignment horizontal="right" vertical="center"/>
    </xf>
    <xf numFmtId="181" fontId="54" fillId="0" borderId="0" xfId="1" applyNumberFormat="1" applyFont="1" applyAlignment="1">
      <alignment horizontal="right" vertical="center" wrapText="1"/>
    </xf>
    <xf numFmtId="181" fontId="53" fillId="0" borderId="61" xfId="1" applyNumberFormat="1" applyFont="1" applyBorder="1" applyAlignment="1">
      <alignment horizontal="right" vertical="center"/>
    </xf>
    <xf numFmtId="181" fontId="54" fillId="0" borderId="61" xfId="1" applyNumberFormat="1" applyFont="1" applyBorder="1" applyAlignment="1">
      <alignment horizontal="right" vertical="center"/>
    </xf>
    <xf numFmtId="43" fontId="54" fillId="0" borderId="72" xfId="1" applyFont="1" applyBorder="1" applyAlignment="1">
      <alignment vertical="center"/>
    </xf>
    <xf numFmtId="181" fontId="54" fillId="0" borderId="0" xfId="1" applyNumberFormat="1" applyFont="1" applyAlignment="1">
      <alignment horizontal="right" vertical="center"/>
    </xf>
    <xf numFmtId="181" fontId="53" fillId="0" borderId="0" xfId="1" applyNumberFormat="1" applyFont="1" applyAlignment="1">
      <alignment horizontal="right" vertical="center" wrapText="1"/>
    </xf>
    <xf numFmtId="168" fontId="132" fillId="0" borderId="27" xfId="7" applyNumberFormat="1" applyFont="1" applyBorder="1" applyAlignment="1">
      <alignment horizontal="right" vertical="center" wrapText="1"/>
    </xf>
    <xf numFmtId="10" fontId="53" fillId="0" borderId="24" xfId="7" applyNumberFormat="1" applyFont="1" applyBorder="1" applyAlignment="1">
      <alignment horizontal="right" vertical="center" wrapText="1"/>
    </xf>
    <xf numFmtId="196" fontId="54" fillId="0" borderId="24" xfId="1" applyNumberFormat="1" applyFont="1" applyBorder="1"/>
    <xf numFmtId="177" fontId="23" fillId="0" borderId="10" xfId="0" applyNumberFormat="1" applyFont="1" applyFill="1" applyBorder="1" applyAlignment="1" applyProtection="1">
      <alignment horizontal="center"/>
    </xf>
    <xf numFmtId="168" fontId="23" fillId="0" borderId="9" xfId="7" applyNumberFormat="1" applyFont="1" applyFill="1" applyBorder="1" applyAlignment="1" applyProtection="1">
      <alignment horizontal="center"/>
      <protection locked="0"/>
    </xf>
    <xf numFmtId="168" fontId="23" fillId="0" borderId="11" xfId="7" applyNumberFormat="1" applyFont="1" applyFill="1" applyBorder="1" applyAlignment="1" applyProtection="1">
      <alignment horizontal="center"/>
    </xf>
    <xf numFmtId="168" fontId="128" fillId="0" borderId="0" xfId="7" applyNumberFormat="1" applyFont="1" applyAlignment="1">
      <alignment horizontal="right" vertical="center" wrapText="1"/>
    </xf>
    <xf numFmtId="168" fontId="54" fillId="0" borderId="0" xfId="7" applyNumberFormat="1" applyFont="1" applyAlignment="1">
      <alignment horizontal="right" vertical="center"/>
    </xf>
    <xf numFmtId="168" fontId="54" fillId="0" borderId="27" xfId="7" applyNumberFormat="1" applyFont="1" applyBorder="1" applyAlignment="1">
      <alignment horizontal="right" vertical="center"/>
    </xf>
    <xf numFmtId="168" fontId="54" fillId="0" borderId="0" xfId="7" applyNumberFormat="1" applyFont="1" applyAlignment="1">
      <alignment horizontal="right" vertical="center" wrapText="1"/>
    </xf>
    <xf numFmtId="168" fontId="54" fillId="0" borderId="24" xfId="7" applyNumberFormat="1" applyFont="1" applyBorder="1" applyAlignment="1">
      <alignment horizontal="right" vertical="center" wrapText="1"/>
    </xf>
    <xf numFmtId="168" fontId="54" fillId="0" borderId="24" xfId="7" applyNumberFormat="1" applyFont="1" applyBorder="1" applyAlignment="1">
      <alignment horizontal="right" vertical="center"/>
    </xf>
    <xf numFmtId="43" fontId="126" fillId="0" borderId="20" xfId="1" applyFont="1" applyBorder="1" applyAlignment="1">
      <alignment horizontal="left" vertical="center" wrapText="1" indent="1"/>
    </xf>
    <xf numFmtId="196" fontId="54" fillId="0" borderId="0" xfId="1" applyNumberFormat="1" applyFont="1" applyAlignment="1">
      <alignment horizontal="right"/>
    </xf>
    <xf numFmtId="196" fontId="54" fillId="0" borderId="24" xfId="1" applyNumberFormat="1" applyFont="1" applyBorder="1" applyAlignment="1">
      <alignment horizontal="right"/>
    </xf>
    <xf numFmtId="181" fontId="53" fillId="0" borderId="24" xfId="1" applyNumberFormat="1" applyFont="1" applyBorder="1" applyAlignment="1">
      <alignment horizontal="right" vertical="center" wrapText="1"/>
    </xf>
    <xf numFmtId="168" fontId="128" fillId="0" borderId="24" xfId="7" applyNumberFormat="1" applyFont="1" applyBorder="1" applyAlignment="1">
      <alignment horizontal="right" vertical="center" wrapText="1"/>
    </xf>
    <xf numFmtId="168" fontId="128" fillId="0" borderId="0" xfId="7" applyNumberFormat="1" applyFont="1" applyBorder="1" applyAlignment="1">
      <alignment horizontal="right" vertical="center" wrapText="1"/>
    </xf>
    <xf numFmtId="181" fontId="18" fillId="0" borderId="0" xfId="16" applyNumberFormat="1" applyFont="1" applyFill="1" applyBorder="1" applyAlignment="1" applyProtection="1">
      <alignment horizontal="right"/>
    </xf>
    <xf numFmtId="43" fontId="27" fillId="0" borderId="0" xfId="1" applyFont="1" applyProtection="1">
      <protection locked="0"/>
    </xf>
    <xf numFmtId="195" fontId="18" fillId="0" borderId="10" xfId="0" applyNumberFormat="1" applyFont="1" applyFill="1" applyBorder="1" applyAlignment="1" applyProtection="1">
      <alignment horizontal="center"/>
    </xf>
    <xf numFmtId="173" fontId="18" fillId="0" borderId="0" xfId="0" applyNumberFormat="1" applyFont="1" applyFill="1" applyBorder="1" applyAlignment="1" applyProtection="1">
      <alignment horizontal="center"/>
      <protection locked="0"/>
    </xf>
    <xf numFmtId="190" fontId="18" fillId="0" borderId="0" xfId="1" applyNumberFormat="1" applyFont="1" applyFill="1" applyBorder="1" applyAlignment="1" applyProtection="1">
      <alignment horizontal="center"/>
    </xf>
    <xf numFmtId="173" fontId="18" fillId="0" borderId="0" xfId="0" applyNumberFormat="1" applyFont="1" applyFill="1" applyBorder="1" applyAlignment="1" applyProtection="1">
      <alignment horizontal="center"/>
    </xf>
    <xf numFmtId="183" fontId="24" fillId="0" borderId="7" xfId="0" applyFont="1" applyFill="1" applyBorder="1" applyAlignment="1" applyProtection="1">
      <alignment horizontal="left"/>
    </xf>
    <xf numFmtId="183" fontId="24" fillId="0" borderId="7" xfId="0" applyFont="1" applyFill="1" applyBorder="1" applyAlignment="1" applyProtection="1">
      <alignment horizontal="centerContinuous"/>
    </xf>
    <xf numFmtId="37" fontId="18" fillId="0" borderId="9" xfId="13" applyNumberFormat="1" applyFont="1" applyFill="1" applyBorder="1" applyProtection="1"/>
    <xf numFmtId="43" fontId="16" fillId="0" borderId="0" xfId="1" applyFont="1" applyFill="1" applyBorder="1" applyAlignment="1" applyProtection="1">
      <alignment horizontal="left"/>
      <protection locked="0"/>
    </xf>
    <xf numFmtId="197" fontId="18" fillId="0" borderId="0" xfId="0" applyNumberFormat="1" applyFont="1" applyFill="1" applyBorder="1" applyProtection="1">
      <protection locked="0"/>
    </xf>
    <xf numFmtId="43" fontId="0" fillId="0" borderId="0" xfId="1" applyNumberFormat="1" applyFont="1"/>
    <xf numFmtId="183" fontId="13" fillId="0" borderId="0" xfId="0" applyFont="1"/>
    <xf numFmtId="168" fontId="18" fillId="0" borderId="9" xfId="7" applyNumberFormat="1" applyFont="1" applyFill="1" applyBorder="1" applyAlignment="1" applyProtection="1">
      <alignment horizontal="right"/>
    </xf>
    <xf numFmtId="180" fontId="18" fillId="0" borderId="9" xfId="7" applyNumberFormat="1" applyFont="1" applyFill="1" applyBorder="1" applyAlignment="1" applyProtection="1">
      <alignment horizontal="right"/>
    </xf>
    <xf numFmtId="181" fontId="18" fillId="0" borderId="10" xfId="1" applyNumberFormat="1" applyFont="1" applyFill="1" applyBorder="1" applyProtection="1">
      <protection locked="0"/>
    </xf>
    <xf numFmtId="181" fontId="18" fillId="0" borderId="12" xfId="1" applyNumberFormat="1" applyFont="1" applyFill="1" applyBorder="1" applyAlignment="1" applyProtection="1">
      <alignment horizontal="right"/>
      <protection locked="0"/>
    </xf>
    <xf numFmtId="180" fontId="18" fillId="0" borderId="11" xfId="7" applyNumberFormat="1" applyFont="1" applyFill="1" applyBorder="1" applyAlignment="1" applyProtection="1">
      <alignment horizontal="right"/>
    </xf>
    <xf numFmtId="43" fontId="18" fillId="0" borderId="1" xfId="1" applyFont="1" applyFill="1" applyBorder="1" applyProtection="1"/>
    <xf numFmtId="43" fontId="131" fillId="0" borderId="29" xfId="1" applyFont="1" applyFill="1" applyBorder="1" applyAlignment="1">
      <alignment horizontal="center" vertical="center"/>
    </xf>
    <xf numFmtId="43" fontId="132" fillId="0" borderId="22" xfId="1" applyFont="1" applyFill="1" applyBorder="1" applyAlignment="1">
      <alignment vertical="center" wrapText="1"/>
    </xf>
    <xf numFmtId="49" fontId="53" fillId="0" borderId="24" xfId="1" applyNumberFormat="1" applyFont="1" applyFill="1" applyBorder="1" applyAlignment="1">
      <alignment horizontal="right" vertical="center"/>
    </xf>
    <xf numFmtId="49" fontId="53" fillId="0" borderId="61" xfId="1" applyNumberFormat="1" applyFont="1" applyFill="1" applyBorder="1" applyAlignment="1">
      <alignment horizontal="right" vertical="center"/>
    </xf>
    <xf numFmtId="43" fontId="53" fillId="0" borderId="20" xfId="1" applyFont="1" applyFill="1" applyBorder="1" applyAlignment="1">
      <alignment vertical="center"/>
    </xf>
    <xf numFmtId="43" fontId="54" fillId="0" borderId="0" xfId="1" applyFont="1" applyFill="1" applyAlignment="1">
      <alignment horizontal="right" vertical="center"/>
    </xf>
    <xf numFmtId="9" fontId="0" fillId="0" borderId="0" xfId="7" applyFont="1"/>
    <xf numFmtId="43" fontId="54" fillId="0" borderId="20" xfId="1" applyFont="1" applyFill="1" applyBorder="1" applyAlignment="1">
      <alignment vertical="center"/>
    </xf>
    <xf numFmtId="181" fontId="133" fillId="0" borderId="0" xfId="1" applyNumberFormat="1" applyFont="1" applyFill="1" applyAlignment="1">
      <alignment horizontal="right" vertical="center" wrapText="1"/>
    </xf>
    <xf numFmtId="181" fontId="132" fillId="0" borderId="0" xfId="1" applyNumberFormat="1" applyFont="1" applyFill="1" applyAlignment="1">
      <alignment horizontal="right" vertical="center"/>
    </xf>
    <xf numFmtId="168" fontId="132" fillId="0" borderId="0" xfId="7" applyNumberFormat="1" applyFont="1" applyFill="1" applyAlignment="1">
      <alignment horizontal="right" vertical="center" wrapText="1"/>
    </xf>
    <xf numFmtId="43" fontId="54" fillId="0" borderId="20" xfId="1" applyFont="1" applyFill="1" applyBorder="1" applyAlignment="1">
      <alignment vertical="center" wrapText="1"/>
    </xf>
    <xf numFmtId="181" fontId="132" fillId="0" borderId="0" xfId="1" applyNumberFormat="1" applyFont="1" applyFill="1" applyAlignment="1">
      <alignment horizontal="right" vertical="center" wrapText="1"/>
    </xf>
    <xf numFmtId="181" fontId="133" fillId="0" borderId="0" xfId="1" applyNumberFormat="1" applyFont="1" applyFill="1" applyBorder="1" applyAlignment="1">
      <alignment horizontal="right" vertical="center" wrapText="1"/>
    </xf>
    <xf numFmtId="181" fontId="132" fillId="0" borderId="0" xfId="1" applyNumberFormat="1" applyFont="1" applyFill="1" applyBorder="1" applyAlignment="1">
      <alignment horizontal="right" vertical="center"/>
    </xf>
    <xf numFmtId="181" fontId="132" fillId="0" borderId="0" xfId="1" applyNumberFormat="1" applyFont="1" applyFill="1" applyBorder="1" applyAlignment="1">
      <alignment horizontal="right" vertical="center" wrapText="1"/>
    </xf>
    <xf numFmtId="168" fontId="132" fillId="0" borderId="0" xfId="7" applyNumberFormat="1" applyFont="1" applyFill="1" applyBorder="1" applyAlignment="1">
      <alignment horizontal="right" vertical="center" wrapText="1"/>
    </xf>
    <xf numFmtId="43" fontId="54" fillId="0" borderId="67" xfId="1" applyFont="1" applyFill="1" applyBorder="1" applyAlignment="1">
      <alignment vertical="center"/>
    </xf>
    <xf numFmtId="181" fontId="133" fillId="0" borderId="66" xfId="1" applyNumberFormat="1" applyFont="1" applyFill="1" applyBorder="1" applyAlignment="1">
      <alignment horizontal="right" vertical="center" wrapText="1"/>
    </xf>
    <xf numFmtId="181" fontId="132" fillId="0" borderId="66" xfId="1" applyNumberFormat="1" applyFont="1" applyFill="1" applyBorder="1" applyAlignment="1">
      <alignment horizontal="right" vertical="center" wrapText="1"/>
    </xf>
    <xf numFmtId="168" fontId="132" fillId="0" borderId="66" xfId="7" applyNumberFormat="1" applyFont="1" applyFill="1" applyBorder="1" applyAlignment="1">
      <alignment horizontal="right" vertical="center" wrapText="1"/>
    </xf>
    <xf numFmtId="181" fontId="133" fillId="0" borderId="0" xfId="1" applyNumberFormat="1" applyFont="1" applyFill="1" applyAlignment="1">
      <alignment horizontal="right" vertical="center"/>
    </xf>
    <xf numFmtId="43" fontId="54" fillId="0" borderId="20" xfId="1" applyFont="1" applyFill="1" applyBorder="1" applyAlignment="1">
      <alignment horizontal="left" vertical="center"/>
    </xf>
    <xf numFmtId="43" fontId="132" fillId="0" borderId="0" xfId="1" applyNumberFormat="1" applyFont="1" applyFill="1" applyAlignment="1">
      <alignment horizontal="right" vertical="center" wrapText="1"/>
    </xf>
    <xf numFmtId="43" fontId="133" fillId="0" borderId="0" xfId="1" applyNumberFormat="1" applyFont="1" applyFill="1" applyAlignment="1">
      <alignment horizontal="right" vertical="center" wrapText="1"/>
    </xf>
    <xf numFmtId="181" fontId="133" fillId="0" borderId="60" xfId="1" applyNumberFormat="1" applyFont="1" applyFill="1" applyBorder="1" applyAlignment="1">
      <alignment horizontal="right" vertical="center" wrapText="1"/>
    </xf>
    <xf numFmtId="181" fontId="132" fillId="0" borderId="60" xfId="1" applyNumberFormat="1" applyFont="1" applyFill="1" applyBorder="1" applyAlignment="1">
      <alignment horizontal="right" vertical="center" wrapText="1"/>
    </xf>
    <xf numFmtId="43" fontId="132" fillId="0" borderId="0" xfId="1" applyFont="1" applyFill="1" applyAlignment="1">
      <alignment horizontal="right" vertical="center" wrapText="1"/>
    </xf>
    <xf numFmtId="43" fontId="54" fillId="0" borderId="22" xfId="1" applyFont="1" applyFill="1" applyBorder="1" applyAlignment="1">
      <alignment vertical="center"/>
    </xf>
    <xf numFmtId="181" fontId="133" fillId="0" borderId="24" xfId="1" applyNumberFormat="1" applyFont="1" applyFill="1" applyBorder="1" applyAlignment="1">
      <alignment horizontal="right" vertical="center" wrapText="1"/>
    </xf>
    <xf numFmtId="181" fontId="132" fillId="0" borderId="24" xfId="1" applyNumberFormat="1" applyFont="1" applyFill="1" applyBorder="1" applyAlignment="1">
      <alignment horizontal="right" vertical="center" wrapText="1"/>
    </xf>
    <xf numFmtId="43" fontId="133" fillId="0" borderId="24" xfId="1" applyFont="1" applyFill="1" applyBorder="1" applyAlignment="1">
      <alignment horizontal="right" vertical="center" wrapText="1"/>
    </xf>
    <xf numFmtId="43" fontId="132" fillId="0" borderId="24" xfId="1" applyFont="1" applyFill="1" applyBorder="1" applyAlignment="1">
      <alignment horizontal="right" vertical="center" wrapText="1"/>
    </xf>
    <xf numFmtId="168" fontId="132" fillId="0" borderId="61" xfId="7" applyNumberFormat="1" applyFont="1" applyFill="1" applyBorder="1" applyAlignment="1">
      <alignment horizontal="right" vertical="center" wrapText="1"/>
    </xf>
    <xf numFmtId="183" fontId="13" fillId="0" borderId="0" xfId="412"/>
    <xf numFmtId="49" fontId="54" fillId="0" borderId="24" xfId="1" applyNumberFormat="1" applyFont="1" applyFill="1" applyBorder="1" applyAlignment="1">
      <alignment horizontal="right" vertical="center"/>
    </xf>
    <xf numFmtId="181" fontId="53" fillId="0" borderId="27" xfId="1" applyNumberFormat="1" applyFont="1" applyFill="1" applyBorder="1" applyAlignment="1">
      <alignment horizontal="right" vertical="center"/>
    </xf>
    <xf numFmtId="181" fontId="53" fillId="0" borderId="24" xfId="1" applyNumberFormat="1" applyFont="1" applyFill="1" applyBorder="1" applyAlignment="1">
      <alignment horizontal="right" vertical="center"/>
    </xf>
    <xf numFmtId="181" fontId="53" fillId="0" borderId="0" xfId="1" applyNumberFormat="1" applyFont="1" applyFill="1" applyBorder="1" applyAlignment="1">
      <alignment horizontal="right" vertical="center"/>
    </xf>
    <xf numFmtId="181" fontId="54" fillId="0" borderId="0" xfId="1" applyNumberFormat="1" applyFont="1" applyFill="1" applyBorder="1" applyAlignment="1">
      <alignment horizontal="right" vertical="center" wrapText="1"/>
    </xf>
    <xf numFmtId="181" fontId="53" fillId="0" borderId="0" xfId="1" applyNumberFormat="1" applyFont="1" applyFill="1" applyBorder="1" applyAlignment="1">
      <alignment vertical="center" wrapText="1"/>
    </xf>
    <xf numFmtId="181" fontId="54" fillId="0" borderId="0" xfId="1" applyNumberFormat="1" applyFont="1" applyFill="1" applyBorder="1" applyAlignment="1">
      <alignment horizontal="right" vertical="center"/>
    </xf>
    <xf numFmtId="181" fontId="53" fillId="0" borderId="70" xfId="1" applyNumberFormat="1" applyFont="1" applyFill="1" applyBorder="1" applyAlignment="1">
      <alignment horizontal="right" vertical="center"/>
    </xf>
    <xf numFmtId="181" fontId="53" fillId="0" borderId="65" xfId="1" applyNumberFormat="1" applyFont="1" applyFill="1" applyBorder="1" applyAlignment="1">
      <alignment horizontal="right" vertical="center"/>
    </xf>
    <xf numFmtId="181" fontId="54" fillId="0" borderId="65" xfId="1" applyNumberFormat="1" applyFont="1" applyFill="1" applyBorder="1" applyAlignment="1">
      <alignment horizontal="right" vertical="center"/>
    </xf>
    <xf numFmtId="43" fontId="53" fillId="0" borderId="0" xfId="1" applyFont="1" applyFill="1" applyBorder="1" applyAlignment="1">
      <alignment horizontal="right" vertical="center"/>
    </xf>
    <xf numFmtId="43" fontId="54" fillId="0" borderId="0" xfId="1" applyFont="1" applyFill="1" applyBorder="1" applyAlignment="1">
      <alignment horizontal="right" vertical="center"/>
    </xf>
    <xf numFmtId="43" fontId="53" fillId="0" borderId="24" xfId="1" applyFont="1" applyFill="1" applyBorder="1" applyAlignment="1">
      <alignment horizontal="right" vertical="center"/>
    </xf>
    <xf numFmtId="43" fontId="54" fillId="0" borderId="24" xfId="1" applyFont="1" applyFill="1" applyBorder="1" applyAlignment="1">
      <alignment horizontal="right" vertical="center"/>
    </xf>
    <xf numFmtId="2" fontId="129" fillId="0" borderId="0" xfId="412" applyNumberFormat="1" applyFont="1" applyAlignment="1">
      <alignment vertical="center"/>
    </xf>
    <xf numFmtId="2" fontId="13" fillId="0" borderId="0" xfId="412" applyNumberFormat="1"/>
    <xf numFmtId="2" fontId="133" fillId="0" borderId="22" xfId="412" applyNumberFormat="1" applyFont="1" applyBorder="1" applyAlignment="1">
      <alignment vertical="center"/>
    </xf>
    <xf numFmtId="1" fontId="53" fillId="0" borderId="24" xfId="412" applyNumberFormat="1" applyFont="1" applyBorder="1" applyAlignment="1">
      <alignment horizontal="right" vertical="center"/>
    </xf>
    <xf numFmtId="2" fontId="54" fillId="0" borderId="20" xfId="412" applyNumberFormat="1" applyFont="1" applyBorder="1" applyAlignment="1">
      <alignment vertical="center"/>
    </xf>
    <xf numFmtId="2" fontId="54" fillId="0" borderId="22" xfId="412" applyNumberFormat="1" applyFont="1" applyBorder="1" applyAlignment="1">
      <alignment vertical="center"/>
    </xf>
    <xf numFmtId="183" fontId="124" fillId="0" borderId="0" xfId="412" applyFont="1" applyAlignment="1">
      <alignment vertical="center"/>
    </xf>
    <xf numFmtId="183" fontId="54" fillId="0" borderId="20" xfId="412" applyFont="1" applyBorder="1" applyAlignment="1">
      <alignment vertical="center"/>
    </xf>
    <xf numFmtId="183" fontId="54" fillId="0" borderId="68" xfId="412" applyFont="1" applyBorder="1" applyAlignment="1">
      <alignment vertical="center"/>
    </xf>
    <xf numFmtId="183" fontId="137" fillId="0" borderId="0" xfId="412" applyFont="1" applyAlignment="1">
      <alignment vertical="center"/>
    </xf>
    <xf numFmtId="183" fontId="132" fillId="0" borderId="22" xfId="412" applyFont="1" applyBorder="1" applyAlignment="1">
      <alignment vertical="center" wrapText="1"/>
    </xf>
    <xf numFmtId="183" fontId="54" fillId="0" borderId="20" xfId="412" applyFont="1" applyBorder="1" applyAlignment="1">
      <alignment vertical="center" wrapText="1"/>
    </xf>
    <xf numFmtId="183" fontId="54" fillId="0" borderId="29" xfId="412" applyFont="1" applyBorder="1" applyAlignment="1">
      <alignment vertical="center"/>
    </xf>
    <xf numFmtId="183" fontId="54" fillId="0" borderId="22" xfId="412" applyFont="1" applyBorder="1" applyAlignment="1">
      <alignment vertical="center"/>
    </xf>
    <xf numFmtId="183" fontId="129" fillId="0" borderId="0" xfId="412" applyFont="1" applyAlignment="1">
      <alignment vertical="center"/>
    </xf>
    <xf numFmtId="183" fontId="133" fillId="0" borderId="22" xfId="412" applyFont="1" applyBorder="1" applyAlignment="1">
      <alignment vertical="center"/>
    </xf>
    <xf numFmtId="183" fontId="54" fillId="0" borderId="0" xfId="412" applyFont="1" applyAlignment="1">
      <alignment horizontal="right" vertical="center" wrapText="1"/>
    </xf>
    <xf numFmtId="183" fontId="54" fillId="0" borderId="20" xfId="412" applyFont="1" applyBorder="1" applyAlignment="1">
      <alignment horizontal="left" vertical="center" indent="1"/>
    </xf>
    <xf numFmtId="183" fontId="54" fillId="0" borderId="22" xfId="412" applyFont="1" applyBorder="1" applyAlignment="1">
      <alignment horizontal="left" vertical="center" indent="1"/>
    </xf>
    <xf numFmtId="183" fontId="140" fillId="0" borderId="0" xfId="412" applyFont="1" applyAlignment="1">
      <alignment vertical="center"/>
    </xf>
    <xf numFmtId="183" fontId="141" fillId="0" borderId="0" xfId="412" applyFont="1" applyAlignment="1">
      <alignment vertical="center"/>
    </xf>
    <xf numFmtId="183" fontId="54" fillId="0" borderId="29" xfId="412" applyFont="1" applyBorder="1" applyAlignment="1">
      <alignment vertical="center" wrapText="1"/>
    </xf>
    <xf numFmtId="183" fontId="13" fillId="0" borderId="0" xfId="0" applyFont="1" applyFill="1" applyBorder="1" applyProtection="1"/>
    <xf numFmtId="183" fontId="27" fillId="0" borderId="10" xfId="0" applyFont="1" applyBorder="1" applyProtection="1"/>
    <xf numFmtId="183" fontId="13" fillId="0" borderId="0" xfId="0" applyFont="1" applyFill="1" applyProtection="1"/>
    <xf numFmtId="183" fontId="13" fillId="0" borderId="10" xfId="0" applyFont="1" applyFill="1" applyBorder="1" applyProtection="1"/>
    <xf numFmtId="183" fontId="53" fillId="0" borderId="20" xfId="412" applyFont="1" applyBorder="1" applyAlignment="1">
      <alignment vertical="center"/>
    </xf>
    <xf numFmtId="49" fontId="53" fillId="0" borderId="24" xfId="1" applyNumberFormat="1" applyFont="1" applyBorder="1" applyAlignment="1">
      <alignment horizontal="right" vertical="center"/>
    </xf>
    <xf numFmtId="183" fontId="132" fillId="0" borderId="22" xfId="412" applyFont="1" applyBorder="1" applyAlignment="1">
      <alignment vertical="center"/>
    </xf>
    <xf numFmtId="181" fontId="142" fillId="0" borderId="74" xfId="1" applyNumberFormat="1" applyFont="1" applyBorder="1" applyAlignment="1">
      <alignment horizontal="right" vertical="center" wrapText="1"/>
    </xf>
    <xf numFmtId="181" fontId="54" fillId="0" borderId="70" xfId="1" applyNumberFormat="1" applyFont="1" applyFill="1" applyBorder="1" applyAlignment="1">
      <alignment horizontal="right" vertical="center"/>
    </xf>
    <xf numFmtId="0" fontId="53" fillId="0" borderId="24" xfId="1" applyNumberFormat="1" applyFont="1" applyBorder="1" applyAlignment="1">
      <alignment horizontal="right" vertical="center"/>
    </xf>
    <xf numFmtId="1" fontId="53" fillId="0" borderId="24" xfId="1" applyNumberFormat="1" applyFont="1" applyBorder="1" applyAlignment="1">
      <alignment horizontal="right" vertical="center"/>
    </xf>
    <xf numFmtId="0" fontId="53" fillId="0" borderId="27" xfId="1" applyNumberFormat="1" applyFont="1" applyBorder="1" applyAlignment="1">
      <alignment horizontal="center" vertical="center"/>
    </xf>
    <xf numFmtId="0" fontId="53" fillId="0" borderId="27" xfId="412" applyNumberFormat="1" applyFont="1" applyBorder="1" applyAlignment="1">
      <alignment horizontal="center" vertical="center"/>
    </xf>
    <xf numFmtId="0" fontId="13" fillId="0" borderId="27" xfId="412" applyNumberFormat="1" applyBorder="1"/>
    <xf numFmtId="0" fontId="53" fillId="0" borderId="24" xfId="412" applyNumberFormat="1" applyFont="1" applyBorder="1" applyAlignment="1">
      <alignment horizontal="right" vertical="center"/>
    </xf>
    <xf numFmtId="181" fontId="54" fillId="0" borderId="27" xfId="1" applyNumberFormat="1" applyFont="1" applyBorder="1" applyAlignment="1">
      <alignment horizontal="right" vertical="center"/>
    </xf>
    <xf numFmtId="0" fontId="53" fillId="0" borderId="27" xfId="412" applyNumberFormat="1" applyFont="1" applyBorder="1" applyAlignment="1">
      <alignment horizontal="center" vertical="center" wrapText="1"/>
    </xf>
    <xf numFmtId="0" fontId="13" fillId="0" borderId="27" xfId="412" applyNumberFormat="1" applyBorder="1" applyAlignment="1">
      <alignment wrapText="1"/>
    </xf>
    <xf numFmtId="0" fontId="53" fillId="0" borderId="24" xfId="412" applyNumberFormat="1" applyFont="1" applyBorder="1" applyAlignment="1">
      <alignment horizontal="right" vertical="center" wrapText="1"/>
    </xf>
    <xf numFmtId="0" fontId="0" fillId="0" borderId="27" xfId="1" applyNumberFormat="1" applyFont="1" applyBorder="1"/>
    <xf numFmtId="181" fontId="53" fillId="0" borderId="0" xfId="1" applyNumberFormat="1" applyFont="1" applyBorder="1" applyAlignment="1">
      <alignment horizontal="right" vertical="center" wrapText="1"/>
    </xf>
    <xf numFmtId="168" fontId="54" fillId="0" borderId="0" xfId="7" applyNumberFormat="1" applyFont="1" applyBorder="1" applyAlignment="1">
      <alignment horizontal="right" vertical="center"/>
    </xf>
    <xf numFmtId="181" fontId="54" fillId="0" borderId="0" xfId="1" applyNumberFormat="1" applyFont="1" applyFill="1" applyBorder="1" applyAlignment="1">
      <alignment vertical="center" wrapText="1"/>
    </xf>
    <xf numFmtId="170" fontId="18" fillId="0" borderId="10" xfId="1" applyNumberFormat="1" applyFont="1" applyFill="1" applyBorder="1" applyProtection="1">
      <protection locked="0"/>
    </xf>
    <xf numFmtId="183" fontId="14" fillId="0" borderId="10" xfId="0" applyFont="1" applyFill="1" applyBorder="1" applyAlignment="1" applyProtection="1">
      <alignment horizontal="center"/>
    </xf>
    <xf numFmtId="183" fontId="24" fillId="0" borderId="7" xfId="0" applyFont="1" applyBorder="1" applyAlignment="1" applyProtection="1">
      <alignment horizontal="center"/>
      <protection locked="0"/>
    </xf>
    <xf numFmtId="169" fontId="18" fillId="0" borderId="15" xfId="7" applyNumberFormat="1" applyFont="1" applyFill="1" applyBorder="1" applyAlignment="1" applyProtection="1">
      <alignment horizontal="right"/>
    </xf>
    <xf numFmtId="169" fontId="18" fillId="0" borderId="7" xfId="1" applyNumberFormat="1" applyFont="1" applyFill="1" applyBorder="1" applyAlignment="1" applyProtection="1">
      <alignment horizontal="right"/>
    </xf>
    <xf numFmtId="171" fontId="54" fillId="0" borderId="0" xfId="7" applyNumberFormat="1" applyFont="1" applyAlignment="1">
      <alignment horizontal="right" vertical="center" wrapText="1"/>
    </xf>
    <xf numFmtId="10" fontId="54" fillId="0" borderId="24" xfId="7" applyNumberFormat="1" applyFont="1" applyBorder="1" applyAlignment="1">
      <alignment horizontal="right" vertical="center" wrapText="1"/>
    </xf>
    <xf numFmtId="171" fontId="54" fillId="0" borderId="24" xfId="7" applyNumberFormat="1" applyFont="1" applyBorder="1" applyAlignment="1">
      <alignment horizontal="right" vertical="center" wrapText="1"/>
    </xf>
    <xf numFmtId="171" fontId="54" fillId="0" borderId="0" xfId="7" applyNumberFormat="1" applyFont="1" applyAlignment="1">
      <alignment horizontal="right" vertical="center"/>
    </xf>
    <xf numFmtId="171" fontId="18" fillId="0" borderId="0" xfId="1" applyNumberFormat="1" applyFont="1" applyFill="1" applyBorder="1" applyAlignment="1" applyProtection="1">
      <alignment horizontal="right"/>
    </xf>
    <xf numFmtId="0" fontId="27" fillId="0" borderId="0" xfId="75" applyFont="1" applyFill="1" applyBorder="1" applyProtection="1">
      <protection locked="0"/>
    </xf>
    <xf numFmtId="0" fontId="13" fillId="0" borderId="3" xfId="75" applyFill="1" applyBorder="1" applyProtection="1">
      <protection locked="0"/>
    </xf>
    <xf numFmtId="37" fontId="18" fillId="0" borderId="13" xfId="75" applyNumberFormat="1" applyFont="1" applyFill="1" applyBorder="1" applyProtection="1">
      <protection locked="0"/>
    </xf>
    <xf numFmtId="190" fontId="0" fillId="0" borderId="0" xfId="1" applyNumberFormat="1" applyFont="1" applyProtection="1">
      <protection locked="0"/>
    </xf>
    <xf numFmtId="9" fontId="0" fillId="0" borderId="0" xfId="7" applyFont="1" applyProtection="1">
      <protection locked="0"/>
    </xf>
    <xf numFmtId="9" fontId="0" fillId="0" borderId="0" xfId="7" applyFont="1" applyBorder="1" applyProtection="1">
      <protection locked="0"/>
    </xf>
    <xf numFmtId="181" fontId="0" fillId="0" borderId="0" xfId="7" applyNumberFormat="1" applyFont="1" applyBorder="1" applyProtection="1">
      <protection locked="0"/>
    </xf>
    <xf numFmtId="183" fontId="24" fillId="5" borderId="10" xfId="0" applyFont="1" applyFill="1" applyBorder="1" applyAlignment="1" applyProtection="1">
      <alignment horizontal="center"/>
    </xf>
    <xf numFmtId="183" fontId="0" fillId="5" borderId="0" xfId="0" applyFill="1" applyBorder="1" applyProtection="1">
      <protection locked="0"/>
    </xf>
    <xf numFmtId="183" fontId="0" fillId="5" borderId="0" xfId="0" applyFill="1" applyProtection="1">
      <protection locked="0"/>
    </xf>
    <xf numFmtId="168" fontId="18" fillId="0" borderId="1" xfId="76" applyNumberFormat="1" applyFont="1" applyFill="1" applyBorder="1" applyAlignment="1" applyProtection="1">
      <alignment horizontal="right"/>
    </xf>
    <xf numFmtId="171" fontId="0" fillId="0" borderId="0" xfId="7" applyNumberFormat="1" applyFont="1" applyFill="1" applyBorder="1" applyAlignment="1" applyProtection="1"/>
    <xf numFmtId="183" fontId="18" fillId="0" borderId="10" xfId="0" applyFont="1" applyFill="1" applyBorder="1" applyProtection="1"/>
    <xf numFmtId="167" fontId="18" fillId="0" borderId="9" xfId="0" applyNumberFormat="1" applyFont="1" applyFill="1" applyBorder="1" applyProtection="1"/>
    <xf numFmtId="0" fontId="13" fillId="0" borderId="0" xfId="75" applyFill="1" applyAlignment="1" applyProtection="1"/>
    <xf numFmtId="0" fontId="13" fillId="0" borderId="0" xfId="75" applyFill="1" applyBorder="1" applyAlignment="1" applyProtection="1"/>
    <xf numFmtId="0" fontId="13" fillId="0" borderId="4" xfId="75" applyFill="1" applyBorder="1" applyProtection="1"/>
    <xf numFmtId="0" fontId="13" fillId="0" borderId="3" xfId="75" applyFill="1" applyBorder="1" applyProtection="1"/>
    <xf numFmtId="0" fontId="13" fillId="0" borderId="2" xfId="75" applyFill="1" applyBorder="1" applyProtection="1"/>
    <xf numFmtId="0" fontId="13" fillId="0" borderId="2" xfId="75" applyFill="1" applyBorder="1" applyProtection="1">
      <protection locked="0"/>
    </xf>
    <xf numFmtId="0" fontId="13" fillId="0" borderId="7" xfId="75" applyFill="1" applyBorder="1" applyProtection="1">
      <protection locked="0"/>
    </xf>
    <xf numFmtId="183" fontId="13" fillId="0" borderId="3" xfId="29" applyFill="1" applyBorder="1" applyProtection="1"/>
    <xf numFmtId="183" fontId="13" fillId="0" borderId="4" xfId="29" applyFill="1" applyBorder="1" applyProtection="1"/>
    <xf numFmtId="0" fontId="44" fillId="0" borderId="10" xfId="75" applyFont="1" applyFill="1" applyBorder="1" applyProtection="1">
      <protection locked="0"/>
    </xf>
    <xf numFmtId="0" fontId="18" fillId="0" borderId="10" xfId="75" applyFont="1" applyFill="1" applyBorder="1" applyProtection="1"/>
    <xf numFmtId="0" fontId="18" fillId="0" borderId="11" xfId="75" applyFont="1" applyFill="1" applyBorder="1" applyProtection="1"/>
    <xf numFmtId="0" fontId="18" fillId="0" borderId="9" xfId="75" applyFont="1" applyFill="1" applyBorder="1" applyProtection="1">
      <protection locked="0"/>
    </xf>
    <xf numFmtId="0" fontId="18" fillId="0" borderId="11" xfId="75" applyFont="1" applyFill="1" applyBorder="1" applyAlignment="1" applyProtection="1"/>
    <xf numFmtId="0" fontId="18" fillId="0" borderId="10" xfId="75" applyFont="1" applyFill="1" applyBorder="1" applyProtection="1">
      <protection locked="0"/>
    </xf>
    <xf numFmtId="167" fontId="18" fillId="0" borderId="0" xfId="75" applyNumberFormat="1" applyFont="1" applyFill="1" applyBorder="1" applyProtection="1"/>
    <xf numFmtId="167" fontId="18" fillId="0" borderId="0" xfId="75" applyNumberFormat="1" applyFont="1" applyFill="1" applyProtection="1"/>
    <xf numFmtId="167" fontId="18" fillId="0" borderId="11" xfId="75" applyNumberFormat="1" applyFont="1" applyFill="1" applyBorder="1" applyProtection="1"/>
    <xf numFmtId="167" fontId="18" fillId="0" borderId="10" xfId="75" applyNumberFormat="1" applyFont="1" applyFill="1" applyBorder="1" applyProtection="1"/>
    <xf numFmtId="37" fontId="18" fillId="0" borderId="9" xfId="75" applyNumberFormat="1" applyFont="1" applyFill="1" applyBorder="1" applyAlignment="1" applyProtection="1">
      <alignment horizontal="right"/>
    </xf>
    <xf numFmtId="37" fontId="18" fillId="0" borderId="8" xfId="75" applyNumberFormat="1" applyFont="1" applyFill="1" applyBorder="1" applyAlignment="1" applyProtection="1">
      <alignment horizontal="right"/>
    </xf>
    <xf numFmtId="167" fontId="18" fillId="0" borderId="0" xfId="13" applyNumberFormat="1" applyFont="1" applyFill="1" applyProtection="1"/>
    <xf numFmtId="43" fontId="18" fillId="0" borderId="9" xfId="13" applyFont="1" applyFill="1" applyBorder="1" applyAlignment="1" applyProtection="1">
      <alignment horizontal="right"/>
      <protection locked="0"/>
    </xf>
    <xf numFmtId="167" fontId="18" fillId="0" borderId="0" xfId="75" applyNumberFormat="1" applyFont="1" applyFill="1" applyBorder="1" applyAlignment="1" applyProtection="1"/>
    <xf numFmtId="183" fontId="18" fillId="0" borderId="0" xfId="0" applyFont="1" applyFill="1" applyBorder="1" applyAlignment="1" applyProtection="1">
      <alignment horizontal="left" wrapText="1" indent="1"/>
    </xf>
    <xf numFmtId="167" fontId="18" fillId="0" borderId="0" xfId="75" applyNumberFormat="1" applyFont="1" applyFill="1" applyBorder="1" applyProtection="1">
      <protection locked="0"/>
    </xf>
    <xf numFmtId="168" fontId="15" fillId="0" borderId="0" xfId="77" applyNumberFormat="1" applyFont="1" applyFill="1" applyBorder="1" applyProtection="1"/>
    <xf numFmtId="167" fontId="18" fillId="0" borderId="0" xfId="75" applyNumberFormat="1" applyFont="1" applyFill="1" applyProtection="1">
      <protection locked="0"/>
    </xf>
    <xf numFmtId="168" fontId="20" fillId="0" borderId="0" xfId="75" applyNumberFormat="1" applyFont="1" applyFill="1" applyBorder="1" applyProtection="1"/>
    <xf numFmtId="0" fontId="18" fillId="0" borderId="2" xfId="75" applyFont="1" applyFill="1" applyBorder="1" applyProtection="1">
      <protection locked="0"/>
    </xf>
    <xf numFmtId="0" fontId="18" fillId="0" borderId="7" xfId="75" applyFont="1" applyFill="1" applyBorder="1" applyProtection="1">
      <protection locked="0"/>
    </xf>
    <xf numFmtId="0" fontId="17" fillId="0" borderId="0" xfId="75" applyFont="1" applyFill="1" applyProtection="1"/>
    <xf numFmtId="177" fontId="18" fillId="0" borderId="0" xfId="75" applyNumberFormat="1" applyFont="1" applyFill="1" applyProtection="1"/>
    <xf numFmtId="168" fontId="15" fillId="0" borderId="0" xfId="75" applyNumberFormat="1" applyFont="1" applyFill="1" applyBorder="1" applyProtection="1"/>
    <xf numFmtId="0" fontId="13" fillId="0" borderId="9" xfId="75" applyFill="1" applyBorder="1" applyProtection="1">
      <protection locked="0"/>
    </xf>
    <xf numFmtId="37" fontId="18" fillId="0" borderId="14" xfId="75" applyNumberFormat="1" applyFont="1" applyFill="1" applyBorder="1" applyProtection="1"/>
    <xf numFmtId="37" fontId="18" fillId="0" borderId="13" xfId="75" applyNumberFormat="1" applyFont="1" applyFill="1" applyBorder="1" applyProtection="1"/>
    <xf numFmtId="37" fontId="18" fillId="0" borderId="12" xfId="75" applyNumberFormat="1" applyFont="1" applyFill="1" applyBorder="1" applyProtection="1"/>
    <xf numFmtId="0" fontId="13" fillId="0" borderId="9" xfId="75" applyFill="1" applyBorder="1" applyProtection="1"/>
    <xf numFmtId="37" fontId="18" fillId="0" borderId="15" xfId="75" applyNumberFormat="1" applyFont="1" applyFill="1" applyBorder="1" applyProtection="1"/>
    <xf numFmtId="169" fontId="18" fillId="0" borderId="15" xfId="75" applyNumberFormat="1" applyFont="1" applyFill="1" applyBorder="1" applyProtection="1"/>
    <xf numFmtId="169" fontId="18" fillId="0" borderId="15" xfId="75" applyNumberFormat="1" applyFont="1" applyFill="1" applyBorder="1" applyProtection="1">
      <protection locked="0"/>
    </xf>
    <xf numFmtId="169" fontId="18" fillId="0" borderId="14" xfId="75" applyNumberFormat="1" applyFont="1" applyFill="1" applyBorder="1" applyProtection="1">
      <protection locked="0"/>
    </xf>
    <xf numFmtId="37" fontId="18" fillId="0" borderId="5" xfId="75" applyNumberFormat="1" applyFont="1" applyFill="1" applyBorder="1" applyProtection="1"/>
    <xf numFmtId="169" fontId="18" fillId="0" borderId="8" xfId="75" applyNumberFormat="1" applyFont="1" applyFill="1" applyBorder="1" applyProtection="1"/>
    <xf numFmtId="169" fontId="18" fillId="0" borderId="8" xfId="75" applyNumberFormat="1" applyFont="1" applyFill="1" applyBorder="1" applyProtection="1">
      <protection locked="0"/>
    </xf>
    <xf numFmtId="169" fontId="18" fillId="0" borderId="1" xfId="75" applyNumberFormat="1" applyFont="1" applyFill="1" applyBorder="1" applyProtection="1">
      <protection locked="0"/>
    </xf>
    <xf numFmtId="183" fontId="78" fillId="0" borderId="9" xfId="76" applyNumberFormat="1" applyFill="1" applyBorder="1" applyProtection="1">
      <protection locked="0"/>
    </xf>
    <xf numFmtId="169" fontId="18" fillId="0" borderId="1" xfId="76" applyNumberFormat="1" applyFont="1" applyFill="1" applyBorder="1" applyProtection="1"/>
    <xf numFmtId="37" fontId="18" fillId="0" borderId="5" xfId="76" applyNumberFormat="1" applyFont="1" applyFill="1" applyBorder="1" applyProtection="1"/>
    <xf numFmtId="37" fontId="18" fillId="0" borderId="6" xfId="76" applyNumberFormat="1" applyFont="1" applyFill="1" applyBorder="1" applyProtection="1"/>
    <xf numFmtId="37" fontId="18" fillId="0" borderId="1" xfId="76" applyNumberFormat="1" applyFont="1" applyFill="1" applyBorder="1" applyProtection="1"/>
    <xf numFmtId="37" fontId="18" fillId="0" borderId="5" xfId="76" applyNumberFormat="1" applyFont="1" applyFill="1" applyBorder="1" applyAlignment="1" applyProtection="1">
      <alignment horizontal="center"/>
    </xf>
    <xf numFmtId="37" fontId="18" fillId="0" borderId="6" xfId="76" applyNumberFormat="1" applyFont="1" applyFill="1" applyBorder="1" applyAlignment="1" applyProtection="1">
      <alignment horizontal="center"/>
    </xf>
    <xf numFmtId="37" fontId="18" fillId="0" borderId="1" xfId="76" applyNumberFormat="1" applyFont="1" applyFill="1" applyBorder="1" applyAlignment="1" applyProtection="1">
      <alignment horizontal="center"/>
    </xf>
    <xf numFmtId="37" fontId="18" fillId="0" borderId="0" xfId="76" applyNumberFormat="1" applyFont="1" applyFill="1" applyBorder="1" applyAlignment="1" applyProtection="1">
      <alignment horizontal="center"/>
    </xf>
    <xf numFmtId="183" fontId="78" fillId="0" borderId="9" xfId="76" applyNumberFormat="1" applyFill="1" applyBorder="1" applyAlignment="1" applyProtection="1">
      <alignment horizontal="center"/>
    </xf>
    <xf numFmtId="183" fontId="78" fillId="0" borderId="0" xfId="76" applyNumberFormat="1" applyFill="1" applyAlignment="1" applyProtection="1">
      <alignment horizontal="center"/>
    </xf>
    <xf numFmtId="181" fontId="18" fillId="0" borderId="8" xfId="1" applyNumberFormat="1" applyFont="1" applyFill="1" applyBorder="1" applyAlignment="1" applyProtection="1">
      <alignment horizontal="center"/>
      <protection locked="0"/>
    </xf>
    <xf numFmtId="37" fontId="18" fillId="0" borderId="8" xfId="76" applyNumberFormat="1" applyFont="1" applyFill="1" applyBorder="1" applyAlignment="1" applyProtection="1">
      <alignment horizontal="center"/>
      <protection locked="0"/>
    </xf>
    <xf numFmtId="169" fontId="18" fillId="0" borderId="0" xfId="76" applyNumberFormat="1" applyFont="1" applyFill="1" applyBorder="1" applyProtection="1">
      <protection locked="0"/>
    </xf>
    <xf numFmtId="168" fontId="18" fillId="0" borderId="0" xfId="76" applyNumberFormat="1" applyFont="1" applyFill="1" applyProtection="1">
      <protection locked="0"/>
    </xf>
    <xf numFmtId="183" fontId="78" fillId="0" borderId="0" xfId="76" applyNumberFormat="1" applyFill="1" applyProtection="1">
      <protection locked="0"/>
    </xf>
    <xf numFmtId="169" fontId="13" fillId="0" borderId="0" xfId="75" applyNumberFormat="1" applyFill="1" applyBorder="1" applyProtection="1"/>
    <xf numFmtId="0" fontId="18" fillId="0" borderId="4" xfId="75" applyFont="1" applyFill="1" applyBorder="1" applyProtection="1"/>
    <xf numFmtId="0" fontId="18" fillId="0" borderId="3" xfId="75" applyFont="1" applyFill="1" applyBorder="1" applyProtection="1"/>
    <xf numFmtId="0" fontId="18" fillId="0" borderId="2" xfId="75" applyFont="1" applyFill="1" applyBorder="1" applyProtection="1"/>
    <xf numFmtId="169" fontId="13" fillId="0" borderId="0" xfId="75" applyNumberFormat="1" applyFill="1" applyAlignment="1" applyProtection="1"/>
    <xf numFmtId="0" fontId="13" fillId="0" borderId="11" xfId="75" applyFill="1" applyBorder="1" applyProtection="1"/>
    <xf numFmtId="183" fontId="13" fillId="0" borderId="13" xfId="29" applyFill="1" applyBorder="1" applyProtection="1"/>
    <xf numFmtId="183" fontId="13" fillId="0" borderId="14" xfId="29" applyFill="1" applyBorder="1" applyProtection="1"/>
    <xf numFmtId="0" fontId="18" fillId="0" borderId="3" xfId="75" applyFont="1" applyFill="1" applyBorder="1" applyAlignment="1" applyProtection="1"/>
    <xf numFmtId="0" fontId="18" fillId="0" borderId="4" xfId="75" applyFont="1" applyFill="1" applyBorder="1" applyAlignment="1" applyProtection="1"/>
    <xf numFmtId="169" fontId="18" fillId="0" borderId="0" xfId="75" applyNumberFormat="1" applyFont="1" applyFill="1" applyBorder="1" applyAlignment="1" applyProtection="1">
      <alignment horizontal="center"/>
    </xf>
    <xf numFmtId="43" fontId="18" fillId="0" borderId="8" xfId="1" applyFont="1" applyFill="1" applyBorder="1" applyProtection="1"/>
    <xf numFmtId="183" fontId="18" fillId="0" borderId="0" xfId="0" applyFont="1" applyFill="1" applyBorder="1" applyAlignment="1" applyProtection="1"/>
    <xf numFmtId="43" fontId="54" fillId="0" borderId="20" xfId="1" applyFont="1" applyFill="1" applyBorder="1" applyAlignment="1">
      <alignment horizontal="left" vertical="center" indent="1"/>
    </xf>
    <xf numFmtId="168" fontId="18" fillId="0" borderId="0" xfId="1" applyNumberFormat="1" applyFont="1" applyFill="1" applyBorder="1" applyProtection="1"/>
    <xf numFmtId="183" fontId="17" fillId="0" borderId="7" xfId="29" applyFont="1" applyFill="1" applyBorder="1" applyAlignment="1" applyProtection="1">
      <alignment horizontal="center"/>
    </xf>
    <xf numFmtId="169" fontId="18" fillId="0" borderId="9" xfId="16" applyNumberFormat="1" applyFont="1" applyFill="1" applyBorder="1" applyAlignment="1" applyProtection="1">
      <alignment horizontal="right"/>
    </xf>
    <xf numFmtId="169" fontId="18" fillId="0" borderId="8" xfId="16" applyNumberFormat="1" applyFont="1" applyFill="1" applyBorder="1" applyAlignment="1" applyProtection="1">
      <alignment horizontal="right"/>
    </xf>
    <xf numFmtId="0" fontId="18" fillId="0" borderId="7" xfId="75" applyFont="1" applyFill="1" applyBorder="1" applyProtection="1"/>
    <xf numFmtId="17" fontId="13" fillId="0" borderId="0" xfId="1" applyNumberFormat="1" applyFont="1"/>
    <xf numFmtId="169" fontId="18" fillId="0" borderId="8" xfId="0" applyNumberFormat="1" applyFont="1" applyFill="1" applyBorder="1" applyProtection="1"/>
    <xf numFmtId="181" fontId="18" fillId="0" borderId="8" xfId="1" applyNumberFormat="1" applyFont="1" applyFill="1" applyBorder="1" applyAlignment="1" applyProtection="1"/>
    <xf numFmtId="181" fontId="18" fillId="0" borderId="12" xfId="1" applyNumberFormat="1" applyFont="1" applyFill="1" applyBorder="1" applyAlignment="1" applyProtection="1"/>
    <xf numFmtId="183" fontId="18" fillId="0" borderId="0" xfId="0" applyFont="1" applyFill="1" applyBorder="1" applyAlignment="1" applyProtection="1">
      <alignment wrapText="1"/>
    </xf>
    <xf numFmtId="181" fontId="18" fillId="0" borderId="9" xfId="1" applyNumberFormat="1" applyFont="1" applyFill="1" applyBorder="1" applyAlignment="1" applyProtection="1"/>
    <xf numFmtId="183" fontId="24" fillId="0" borderId="0" xfId="0" applyFont="1" applyFill="1" applyProtection="1"/>
    <xf numFmtId="183" fontId="18" fillId="0" borderId="11" xfId="0" applyFont="1" applyFill="1" applyBorder="1" applyProtection="1">
      <protection locked="0"/>
    </xf>
    <xf numFmtId="183" fontId="18" fillId="0" borderId="10" xfId="0" applyFont="1" applyFill="1" applyBorder="1" applyProtection="1">
      <protection locked="0"/>
    </xf>
    <xf numFmtId="183" fontId="18" fillId="0" borderId="11" xfId="0" applyFont="1" applyFill="1" applyBorder="1" applyAlignment="1" applyProtection="1">
      <alignment horizontal="right"/>
    </xf>
    <xf numFmtId="181" fontId="18" fillId="0" borderId="9" xfId="0" applyNumberFormat="1" applyFont="1" applyFill="1" applyBorder="1" applyAlignment="1" applyProtection="1">
      <alignment horizontal="right"/>
      <protection locked="0"/>
    </xf>
    <xf numFmtId="181" fontId="18" fillId="0" borderId="1" xfId="1" applyNumberFormat="1" applyFont="1" applyFill="1" applyBorder="1" applyAlignment="1" applyProtection="1"/>
    <xf numFmtId="181" fontId="18" fillId="0" borderId="8" xfId="0" applyNumberFormat="1" applyFont="1" applyFill="1" applyBorder="1" applyAlignment="1" applyProtection="1">
      <alignment horizontal="right"/>
      <protection locked="0"/>
    </xf>
    <xf numFmtId="169" fontId="18" fillId="0" borderId="9" xfId="0" applyNumberFormat="1" applyFont="1" applyFill="1" applyBorder="1" applyAlignment="1" applyProtection="1">
      <alignment horizontal="right"/>
      <protection locked="0"/>
    </xf>
    <xf numFmtId="181" fontId="18" fillId="0" borderId="14" xfId="1" applyNumberFormat="1" applyFont="1" applyFill="1" applyBorder="1" applyProtection="1">
      <protection locked="0"/>
    </xf>
    <xf numFmtId="181" fontId="18" fillId="0" borderId="14" xfId="1" applyNumberFormat="1" applyFont="1" applyFill="1" applyBorder="1" applyAlignment="1" applyProtection="1">
      <alignment horizontal="right"/>
      <protection locked="0"/>
    </xf>
    <xf numFmtId="181" fontId="18" fillId="0" borderId="15" xfId="1" applyNumberFormat="1" applyFont="1" applyFill="1" applyBorder="1" applyAlignment="1" applyProtection="1"/>
    <xf numFmtId="181" fontId="18" fillId="0" borderId="13" xfId="1" applyNumberFormat="1" applyFont="1" applyFill="1" applyBorder="1" applyAlignment="1" applyProtection="1"/>
    <xf numFmtId="181" fontId="18" fillId="0" borderId="4" xfId="1" applyNumberFormat="1" applyFont="1" applyFill="1" applyBorder="1" applyAlignment="1" applyProtection="1">
      <alignment horizontal="right"/>
      <protection locked="0"/>
    </xf>
    <xf numFmtId="181" fontId="18" fillId="0" borderId="9" xfId="1" applyNumberFormat="1" applyFont="1" applyFill="1" applyBorder="1" applyAlignment="1" applyProtection="1">
      <alignment horizontal="center"/>
      <protection locked="0"/>
    </xf>
    <xf numFmtId="181" fontId="18" fillId="0" borderId="1" xfId="1" applyNumberFormat="1" applyFont="1" applyFill="1" applyBorder="1" applyAlignment="1" applyProtection="1">
      <alignment horizontal="right"/>
      <protection locked="0"/>
    </xf>
    <xf numFmtId="181" fontId="18" fillId="0" borderId="4" xfId="1" applyNumberFormat="1" applyFont="1" applyFill="1" applyBorder="1" applyAlignment="1" applyProtection="1">
      <alignment horizontal="center"/>
      <protection locked="0"/>
    </xf>
    <xf numFmtId="181" fontId="18" fillId="0" borderId="15" xfId="1" applyNumberFormat="1" applyFont="1" applyFill="1" applyBorder="1" applyAlignment="1" applyProtection="1">
      <alignment horizontal="center"/>
      <protection locked="0"/>
    </xf>
    <xf numFmtId="181" fontId="18" fillId="0" borderId="36" xfId="1" applyNumberFormat="1" applyFont="1" applyFill="1" applyBorder="1" applyAlignment="1" applyProtection="1">
      <alignment horizontal="right"/>
      <protection locked="0"/>
    </xf>
    <xf numFmtId="181" fontId="18" fillId="0" borderId="50" xfId="1" applyNumberFormat="1" applyFont="1" applyFill="1" applyBorder="1" applyAlignment="1" applyProtection="1">
      <alignment horizontal="right"/>
      <protection locked="0"/>
    </xf>
    <xf numFmtId="181" fontId="18" fillId="0" borderId="50" xfId="1" applyNumberFormat="1" applyFont="1" applyFill="1" applyBorder="1" applyAlignment="1" applyProtection="1">
      <alignment horizontal="center"/>
      <protection locked="0"/>
    </xf>
    <xf numFmtId="181" fontId="18" fillId="0" borderId="17" xfId="1" applyNumberFormat="1" applyFont="1" applyFill="1" applyBorder="1" applyAlignment="1" applyProtection="1">
      <alignment horizontal="center"/>
      <protection locked="0"/>
    </xf>
    <xf numFmtId="169" fontId="18" fillId="0" borderId="7" xfId="0" applyNumberFormat="1" applyFont="1" applyFill="1" applyBorder="1" applyProtection="1"/>
    <xf numFmtId="183" fontId="24" fillId="0" borderId="11" xfId="0" applyFont="1" applyFill="1" applyBorder="1" applyProtection="1"/>
    <xf numFmtId="183" fontId="24" fillId="0" borderId="0" xfId="0" applyFont="1" applyFill="1" applyAlignment="1" applyProtection="1">
      <alignment wrapText="1"/>
    </xf>
    <xf numFmtId="181" fontId="23" fillId="0" borderId="10" xfId="1" applyNumberFormat="1" applyFont="1" applyFill="1" applyBorder="1" applyProtection="1"/>
    <xf numFmtId="181" fontId="23" fillId="0" borderId="11" xfId="1" applyNumberFormat="1" applyFont="1" applyFill="1" applyBorder="1" applyAlignment="1" applyProtection="1">
      <alignment horizontal="right"/>
    </xf>
    <xf numFmtId="181" fontId="23" fillId="0" borderId="9" xfId="1" applyNumberFormat="1" applyFont="1" applyFill="1" applyBorder="1" applyProtection="1"/>
    <xf numFmtId="181" fontId="23" fillId="0" borderId="9" xfId="1" applyNumberFormat="1" applyFont="1" applyFill="1" applyBorder="1" applyAlignment="1" applyProtection="1">
      <alignment horizontal="right"/>
    </xf>
    <xf numFmtId="167" fontId="18" fillId="0" borderId="0" xfId="0" applyNumberFormat="1" applyFont="1" applyFill="1" applyAlignment="1" applyProtection="1">
      <alignment wrapText="1"/>
    </xf>
    <xf numFmtId="183" fontId="25" fillId="0" borderId="11" xfId="0" applyFont="1" applyFill="1" applyBorder="1" applyAlignment="1" applyProtection="1">
      <alignment horizontal="center"/>
      <protection locked="0"/>
    </xf>
    <xf numFmtId="37" fontId="18" fillId="0" borderId="0" xfId="7" applyNumberFormat="1" applyFont="1" applyFill="1" applyBorder="1" applyAlignment="1" applyProtection="1"/>
    <xf numFmtId="37" fontId="18" fillId="0" borderId="0" xfId="0" applyNumberFormat="1" applyFont="1" applyFill="1" applyBorder="1" applyAlignment="1" applyProtection="1"/>
    <xf numFmtId="181" fontId="18" fillId="0" borderId="7" xfId="1" applyNumberFormat="1" applyFont="1" applyFill="1" applyBorder="1" applyProtection="1"/>
    <xf numFmtId="183" fontId="24" fillId="0" borderId="11" xfId="0" applyFont="1" applyFill="1" applyBorder="1" applyAlignment="1" applyProtection="1">
      <alignment horizontal="center"/>
      <protection locked="0"/>
    </xf>
    <xf numFmtId="168" fontId="18" fillId="0" borderId="11" xfId="7" applyNumberFormat="1" applyFont="1" applyFill="1" applyBorder="1" applyAlignment="1" applyProtection="1">
      <alignment horizontal="left"/>
      <protection locked="0"/>
    </xf>
    <xf numFmtId="183" fontId="18" fillId="0" borderId="11" xfId="0" applyFont="1" applyFill="1" applyBorder="1" applyAlignment="1" applyProtection="1">
      <alignment horizontal="center"/>
      <protection locked="0"/>
    </xf>
    <xf numFmtId="168" fontId="18" fillId="0" borderId="11" xfId="0" applyNumberFormat="1" applyFont="1" applyFill="1" applyBorder="1" applyProtection="1">
      <protection locked="0"/>
    </xf>
    <xf numFmtId="0" fontId="24" fillId="0" borderId="0" xfId="75" applyFont="1" applyFill="1" applyBorder="1" applyAlignment="1" applyProtection="1">
      <alignment wrapText="1"/>
    </xf>
    <xf numFmtId="183" fontId="17" fillId="0" borderId="0" xfId="0" applyFont="1" applyBorder="1" applyProtection="1"/>
    <xf numFmtId="183" fontId="24" fillId="0" borderId="14" xfId="0" applyFont="1" applyFill="1" applyBorder="1" applyAlignment="1" applyProtection="1">
      <alignment horizontal="center" wrapText="1"/>
    </xf>
    <xf numFmtId="43" fontId="0" fillId="0" borderId="0" xfId="1" applyFont="1" applyFill="1" applyBorder="1" applyProtection="1">
      <protection locked="0"/>
    </xf>
    <xf numFmtId="171" fontId="18" fillId="0" borderId="11" xfId="1" applyNumberFormat="1" applyFont="1" applyFill="1" applyBorder="1" applyAlignment="1" applyProtection="1">
      <alignment horizontal="right"/>
    </xf>
    <xf numFmtId="183" fontId="27" fillId="0" borderId="15" xfId="0" applyFont="1" applyFill="1" applyBorder="1" applyAlignment="1" applyProtection="1">
      <alignment horizontal="center" wrapText="1"/>
    </xf>
    <xf numFmtId="183" fontId="13" fillId="0" borderId="0" xfId="0" applyFont="1" applyFill="1" applyAlignment="1" applyProtection="1">
      <alignment horizontal="left" wrapText="1"/>
      <protection locked="0"/>
    </xf>
    <xf numFmtId="183" fontId="35" fillId="0" borderId="0" xfId="0" applyFont="1" applyFill="1" applyAlignment="1"/>
    <xf numFmtId="183" fontId="15" fillId="0" borderId="11" xfId="0" applyFont="1" applyBorder="1" applyProtection="1"/>
    <xf numFmtId="183" fontId="24" fillId="0" borderId="6" xfId="0" applyFont="1" applyFill="1" applyBorder="1" applyAlignment="1" applyProtection="1">
      <alignment horizontal="center" wrapText="1"/>
    </xf>
    <xf numFmtId="183" fontId="24" fillId="0" borderId="1" xfId="0" applyFont="1" applyFill="1" applyBorder="1" applyAlignment="1" applyProtection="1">
      <alignment horizontal="center" wrapText="1"/>
    </xf>
    <xf numFmtId="181" fontId="142" fillId="0" borderId="0" xfId="1" applyNumberFormat="1" applyFont="1" applyAlignment="1">
      <alignment horizontal="right" vertical="center" wrapText="1"/>
    </xf>
    <xf numFmtId="43" fontId="0" fillId="4" borderId="34" xfId="1" applyFont="1" applyFill="1" applyBorder="1"/>
    <xf numFmtId="183" fontId="24" fillId="4" borderId="34" xfId="0" applyFont="1" applyFill="1" applyBorder="1" applyAlignment="1" applyProtection="1">
      <alignment horizontal="centerContinuous"/>
    </xf>
    <xf numFmtId="43" fontId="56" fillId="0" borderId="0" xfId="1" applyFont="1"/>
    <xf numFmtId="183" fontId="143" fillId="0" borderId="0" xfId="412" applyFont="1" applyAlignment="1">
      <alignment vertical="center"/>
    </xf>
    <xf numFmtId="183" fontId="144" fillId="0" borderId="0" xfId="412" applyFont="1" applyAlignment="1">
      <alignment vertical="center"/>
    </xf>
    <xf numFmtId="183" fontId="146" fillId="0" borderId="0" xfId="0" applyFont="1" applyAlignment="1">
      <alignment vertical="center"/>
    </xf>
    <xf numFmtId="15" fontId="147" fillId="0" borderId="61" xfId="0" applyNumberFormat="1" applyFont="1" applyBorder="1" applyAlignment="1">
      <alignment vertical="center" wrapText="1"/>
    </xf>
    <xf numFmtId="183" fontId="148" fillId="0" borderId="0" xfId="0" applyFont="1" applyAlignment="1">
      <alignment vertical="center" wrapText="1"/>
    </xf>
    <xf numFmtId="15" fontId="142" fillId="0" borderId="61" xfId="0" applyNumberFormat="1" applyFont="1" applyBorder="1" applyAlignment="1">
      <alignment vertical="center" wrapText="1"/>
    </xf>
    <xf numFmtId="183" fontId="142" fillId="0" borderId="0" xfId="0" applyFont="1" applyAlignment="1">
      <alignment horizontal="center" vertical="center" wrapText="1"/>
    </xf>
    <xf numFmtId="183" fontId="142" fillId="0" borderId="0" xfId="0" applyFont="1" applyAlignment="1">
      <alignment horizontal="justify" vertical="center" wrapText="1"/>
    </xf>
    <xf numFmtId="183" fontId="142" fillId="0" borderId="0" xfId="0" applyFont="1" applyAlignment="1">
      <alignment vertical="center" wrapText="1"/>
    </xf>
    <xf numFmtId="183" fontId="146" fillId="0" borderId="0" xfId="0" applyFont="1" applyAlignment="1">
      <alignment vertical="top" wrapText="1"/>
    </xf>
    <xf numFmtId="183" fontId="148" fillId="0" borderId="0" xfId="0" applyFont="1" applyAlignment="1">
      <alignment vertical="top" wrapText="1"/>
    </xf>
    <xf numFmtId="183" fontId="142" fillId="0" borderId="24" xfId="0" applyFont="1" applyBorder="1" applyAlignment="1">
      <alignment horizontal="justify" vertical="center"/>
    </xf>
    <xf numFmtId="183" fontId="100" fillId="0" borderId="24" xfId="0" applyFont="1" applyBorder="1" applyAlignment="1">
      <alignment horizontal="center" vertical="center" wrapText="1"/>
    </xf>
    <xf numFmtId="183" fontId="149" fillId="0" borderId="24" xfId="0" applyFont="1" applyBorder="1" applyAlignment="1">
      <alignment horizontal="center" vertical="center" wrapText="1"/>
    </xf>
    <xf numFmtId="183" fontId="147" fillId="0" borderId="0" xfId="0" applyFont="1" applyAlignment="1">
      <alignment horizontal="justify" vertical="center" wrapText="1"/>
    </xf>
    <xf numFmtId="183" fontId="150" fillId="0" borderId="0" xfId="0" applyFont="1" applyAlignment="1">
      <alignment vertical="center" wrapText="1"/>
    </xf>
    <xf numFmtId="3" fontId="142" fillId="0" borderId="0" xfId="0" applyNumberFormat="1" applyFont="1" applyAlignment="1">
      <alignment horizontal="right" vertical="center" wrapText="1"/>
    </xf>
    <xf numFmtId="3" fontId="149" fillId="0" borderId="0" xfId="0" applyNumberFormat="1" applyFont="1" applyAlignment="1">
      <alignment horizontal="right" vertical="center" wrapText="1"/>
    </xf>
    <xf numFmtId="3" fontId="100" fillId="0" borderId="0" xfId="0" applyNumberFormat="1" applyFont="1" applyAlignment="1">
      <alignment horizontal="right" vertical="center" wrapText="1"/>
    </xf>
    <xf numFmtId="15" fontId="147" fillId="0" borderId="0" xfId="0" applyNumberFormat="1" applyFont="1" applyAlignment="1">
      <alignment horizontal="right" vertical="center" wrapText="1"/>
    </xf>
    <xf numFmtId="15" fontId="147" fillId="0" borderId="0" xfId="0" quotePrefix="1" applyNumberFormat="1" applyFont="1" applyAlignment="1">
      <alignment horizontal="center" vertical="center" wrapText="1"/>
    </xf>
    <xf numFmtId="15" fontId="147" fillId="0" borderId="0" xfId="0" applyNumberFormat="1" applyFont="1" applyAlignment="1">
      <alignment horizontal="center" vertical="center" wrapText="1"/>
    </xf>
    <xf numFmtId="183" fontId="147" fillId="0" borderId="0" xfId="0" applyFont="1" applyAlignment="1">
      <alignment horizontal="center" vertical="center" wrapText="1"/>
    </xf>
    <xf numFmtId="183" fontId="116" fillId="0" borderId="0" xfId="0" applyFont="1" applyAlignment="1">
      <alignment horizontal="left" vertical="center" wrapText="1" indent="1"/>
    </xf>
    <xf numFmtId="3" fontId="100" fillId="0" borderId="0" xfId="0" applyNumberFormat="1" applyFont="1" applyAlignment="1">
      <alignment vertical="center" wrapText="1"/>
    </xf>
    <xf numFmtId="3" fontId="100" fillId="0" borderId="74" xfId="0" applyNumberFormat="1" applyFont="1" applyBorder="1" applyAlignment="1">
      <alignment horizontal="right" vertical="center" wrapText="1"/>
    </xf>
    <xf numFmtId="183" fontId="100" fillId="0" borderId="24" xfId="0" applyFont="1" applyBorder="1" applyAlignment="1">
      <alignment vertical="center"/>
    </xf>
    <xf numFmtId="3" fontId="142" fillId="0" borderId="24" xfId="0" applyNumberFormat="1" applyFont="1" applyBorder="1" applyAlignment="1">
      <alignment horizontal="right" vertical="center" wrapText="1"/>
    </xf>
    <xf numFmtId="183" fontId="100" fillId="0" borderId="74" xfId="0" applyFont="1" applyBorder="1" applyAlignment="1">
      <alignment vertical="center"/>
    </xf>
    <xf numFmtId="3" fontId="142" fillId="0" borderId="74" xfId="0" applyNumberFormat="1" applyFont="1" applyBorder="1" applyAlignment="1">
      <alignment horizontal="right" vertical="center" wrapText="1"/>
    </xf>
    <xf numFmtId="183" fontId="142" fillId="0" borderId="74" xfId="0" applyFont="1" applyBorder="1" applyAlignment="1">
      <alignment horizontal="right" vertical="center" wrapText="1"/>
    </xf>
    <xf numFmtId="183" fontId="150" fillId="0" borderId="74" xfId="0" applyFont="1" applyBorder="1" applyAlignment="1">
      <alignment horizontal="right" vertical="center" wrapText="1"/>
    </xf>
    <xf numFmtId="3" fontId="142" fillId="0" borderId="74" xfId="0" applyNumberFormat="1" applyFont="1" applyFill="1" applyBorder="1" applyAlignment="1">
      <alignment horizontal="right" vertical="center" wrapText="1"/>
    </xf>
    <xf numFmtId="3" fontId="0" fillId="0" borderId="0" xfId="0" applyNumberFormat="1"/>
    <xf numFmtId="183" fontId="151" fillId="0" borderId="0" xfId="0" applyFont="1"/>
    <xf numFmtId="3" fontId="112" fillId="4" borderId="0" xfId="0" applyNumberFormat="1" applyFont="1" applyFill="1"/>
    <xf numFmtId="183" fontId="153" fillId="0" borderId="0" xfId="0" applyFont="1" applyAlignment="1">
      <alignment horizontal="center" vertical="center" wrapText="1"/>
    </xf>
    <xf numFmtId="183" fontId="152" fillId="0" borderId="0" xfId="0" applyFont="1" applyAlignment="1">
      <alignment vertical="center" wrapText="1"/>
    </xf>
    <xf numFmtId="183" fontId="147" fillId="0" borderId="27" xfId="0" applyFont="1" applyBorder="1" applyAlignment="1">
      <alignment horizontal="center" vertical="center" wrapText="1"/>
    </xf>
    <xf numFmtId="183" fontId="147" fillId="0" borderId="27" xfId="0" applyFont="1" applyBorder="1" applyAlignment="1">
      <alignment vertical="center" wrapText="1"/>
    </xf>
    <xf numFmtId="183" fontId="147" fillId="0" borderId="0" xfId="0" applyFont="1" applyAlignment="1">
      <alignment vertical="center" wrapText="1"/>
    </xf>
    <xf numFmtId="183" fontId="147" fillId="0" borderId="0" xfId="0" applyFont="1" applyFill="1" applyBorder="1" applyAlignment="1">
      <alignment horizontal="justify" vertical="center" wrapText="1"/>
    </xf>
    <xf numFmtId="183" fontId="147" fillId="0" borderId="0" xfId="0" applyFont="1" applyFill="1" applyBorder="1" applyAlignment="1">
      <alignment horizontal="center" vertical="center" wrapText="1"/>
    </xf>
    <xf numFmtId="15" fontId="147" fillId="0" borderId="0" xfId="0" applyNumberFormat="1" applyFont="1" applyFill="1" applyBorder="1" applyAlignment="1">
      <alignment horizontal="center" vertical="center" wrapText="1"/>
    </xf>
    <xf numFmtId="183" fontId="147" fillId="0" borderId="24" xfId="0" applyFont="1" applyBorder="1" applyAlignment="1">
      <alignment horizontal="justify" vertical="center" wrapText="1"/>
    </xf>
    <xf numFmtId="183" fontId="116" fillId="0" borderId="24" xfId="0" applyFont="1" applyBorder="1" applyAlignment="1">
      <alignment horizontal="center" vertical="center" wrapText="1"/>
    </xf>
    <xf numFmtId="183" fontId="116" fillId="0" borderId="24" xfId="0" applyFont="1" applyBorder="1" applyAlignment="1">
      <alignment vertical="center" wrapText="1"/>
    </xf>
    <xf numFmtId="183" fontId="116" fillId="0" borderId="0" xfId="0" applyFont="1" applyAlignment="1">
      <alignment horizontal="justify" vertical="center" wrapText="1"/>
    </xf>
    <xf numFmtId="183" fontId="149" fillId="0" borderId="0" xfId="0" applyFont="1" applyAlignment="1">
      <alignment horizontal="justify" vertical="center" wrapText="1"/>
    </xf>
    <xf numFmtId="183" fontId="116" fillId="0" borderId="27" xfId="0" applyFont="1" applyBorder="1" applyAlignment="1">
      <alignment vertical="center" wrapText="1"/>
    </xf>
    <xf numFmtId="183" fontId="116" fillId="0" borderId="0" xfId="0" applyFont="1" applyFill="1" applyBorder="1" applyAlignment="1">
      <alignment horizontal="justify" vertical="center" wrapText="1"/>
    </xf>
    <xf numFmtId="181" fontId="147" fillId="0" borderId="0" xfId="1" applyNumberFormat="1" applyFont="1" applyFill="1" applyBorder="1" applyAlignment="1">
      <alignment horizontal="right" vertical="center" wrapText="1"/>
    </xf>
    <xf numFmtId="6" fontId="116" fillId="0" borderId="0" xfId="0" applyNumberFormat="1" applyFont="1" applyFill="1" applyBorder="1" applyAlignment="1">
      <alignment horizontal="right" vertical="center" wrapText="1"/>
    </xf>
    <xf numFmtId="183" fontId="116" fillId="0" borderId="0" xfId="0" applyFont="1" applyFill="1" applyBorder="1" applyAlignment="1">
      <alignment horizontal="left" vertical="center" wrapText="1" indent="1"/>
    </xf>
    <xf numFmtId="181" fontId="142" fillId="0" borderId="0" xfId="1" applyNumberFormat="1" applyFont="1" applyFill="1" applyBorder="1" applyAlignment="1">
      <alignment horizontal="right" vertical="center" wrapText="1"/>
    </xf>
    <xf numFmtId="3" fontId="100" fillId="0" borderId="0" xfId="0" applyNumberFormat="1" applyFont="1" applyFill="1" applyBorder="1" applyAlignment="1">
      <alignment horizontal="right" vertical="center" wrapText="1"/>
    </xf>
    <xf numFmtId="183" fontId="116" fillId="0" borderId="74" xfId="0" applyFont="1" applyBorder="1" applyAlignment="1">
      <alignment vertical="center" wrapText="1"/>
    </xf>
    <xf numFmtId="183" fontId="116" fillId="0" borderId="26" xfId="0" applyFont="1" applyBorder="1" applyAlignment="1">
      <alignment horizontal="left" vertical="center" wrapText="1"/>
    </xf>
    <xf numFmtId="183" fontId="116" fillId="0" borderId="74" xfId="0" applyFont="1" applyBorder="1" applyAlignment="1">
      <alignment horizontal="left" vertical="center" wrapText="1"/>
    </xf>
    <xf numFmtId="183" fontId="150" fillId="0" borderId="74" xfId="0" applyFont="1" applyBorder="1" applyAlignment="1">
      <alignment vertical="center" wrapText="1"/>
    </xf>
    <xf numFmtId="43" fontId="155" fillId="0" borderId="20" xfId="1" applyFont="1" applyFill="1" applyBorder="1" applyAlignment="1">
      <alignment vertical="center"/>
    </xf>
    <xf numFmtId="43" fontId="156" fillId="0" borderId="0" xfId="1" applyNumberFormat="1" applyFont="1" applyFill="1" applyAlignment="1">
      <alignment vertical="center" wrapText="1"/>
    </xf>
    <xf numFmtId="43" fontId="157" fillId="0" borderId="0" xfId="1" applyNumberFormat="1" applyFont="1" applyFill="1" applyAlignment="1">
      <alignment vertical="center" wrapText="1"/>
    </xf>
    <xf numFmtId="168" fontId="157" fillId="0" borderId="0" xfId="7" applyNumberFormat="1" applyFont="1" applyFill="1" applyAlignment="1">
      <alignment horizontal="right" vertical="center" wrapText="1"/>
    </xf>
    <xf numFmtId="171" fontId="156" fillId="0" borderId="0" xfId="7" applyNumberFormat="1" applyFont="1" applyFill="1" applyAlignment="1">
      <alignment horizontal="right" vertical="center" wrapText="1"/>
    </xf>
    <xf numFmtId="196" fontId="155" fillId="0" borderId="0" xfId="1" applyNumberFormat="1" applyFont="1" applyFill="1"/>
    <xf numFmtId="43" fontId="157" fillId="0" borderId="0" xfId="1" applyNumberFormat="1" applyFont="1" applyFill="1" applyAlignment="1">
      <alignment horizontal="right" vertical="center" wrapText="1"/>
    </xf>
    <xf numFmtId="2" fontId="53" fillId="0" borderId="24" xfId="1" applyNumberFormat="1" applyFont="1" applyFill="1" applyBorder="1" applyAlignment="1">
      <alignment horizontal="right" vertical="center"/>
    </xf>
    <xf numFmtId="43" fontId="53" fillId="0" borderId="27" xfId="1" applyFont="1" applyFill="1" applyBorder="1" applyAlignment="1">
      <alignment horizontal="center" vertical="center"/>
    </xf>
    <xf numFmtId="43" fontId="54" fillId="0" borderId="21" xfId="1" applyFont="1" applyFill="1" applyBorder="1" applyAlignment="1">
      <alignment horizontal="right" vertical="center"/>
    </xf>
    <xf numFmtId="168" fontId="132" fillId="0" borderId="21" xfId="7" applyNumberFormat="1" applyFont="1" applyFill="1" applyBorder="1" applyAlignment="1">
      <alignment horizontal="right" vertical="center" wrapText="1"/>
    </xf>
    <xf numFmtId="168" fontId="132" fillId="0" borderId="64" xfId="7" applyNumberFormat="1" applyFont="1" applyFill="1" applyBorder="1" applyAlignment="1">
      <alignment horizontal="right" vertical="center" wrapText="1"/>
    </xf>
    <xf numFmtId="43" fontId="0" fillId="0" borderId="0" xfId="1" applyFont="1" applyFill="1"/>
    <xf numFmtId="43" fontId="155" fillId="0" borderId="0" xfId="1" applyNumberFormat="1" applyFont="1" applyFill="1" applyBorder="1" applyAlignment="1">
      <alignment horizontal="right" vertical="center" wrapText="1"/>
    </xf>
    <xf numFmtId="168" fontId="157" fillId="0" borderId="21" xfId="7" applyNumberFormat="1" applyFont="1" applyFill="1" applyBorder="1" applyAlignment="1">
      <alignment horizontal="right" vertical="center" wrapText="1"/>
    </xf>
    <xf numFmtId="171" fontId="156" fillId="0" borderId="0" xfId="7" applyNumberFormat="1" applyFont="1" applyFill="1" applyAlignment="1">
      <alignment vertical="center" wrapText="1"/>
    </xf>
    <xf numFmtId="43" fontId="132" fillId="0" borderId="0" xfId="1" applyNumberFormat="1" applyFont="1" applyFill="1" applyBorder="1" applyAlignment="1">
      <alignment horizontal="right" vertical="center" wrapText="1"/>
    </xf>
    <xf numFmtId="43" fontId="132" fillId="0" borderId="60" xfId="1" applyFont="1" applyFill="1" applyBorder="1" applyAlignment="1">
      <alignment horizontal="right" vertical="center" wrapText="1"/>
    </xf>
    <xf numFmtId="43" fontId="132" fillId="0" borderId="21" xfId="1" applyFont="1" applyFill="1" applyBorder="1" applyAlignment="1">
      <alignment horizontal="right" vertical="center" wrapText="1"/>
    </xf>
    <xf numFmtId="43" fontId="0" fillId="0" borderId="0" xfId="1" applyFont="1" applyFill="1" applyBorder="1"/>
    <xf numFmtId="181" fontId="133" fillId="0" borderId="0" xfId="1" applyNumberFormat="1" applyFont="1" applyFill="1" applyBorder="1" applyAlignment="1">
      <alignment horizontal="right" vertical="center"/>
    </xf>
    <xf numFmtId="43" fontId="133" fillId="0" borderId="61" xfId="1" applyFont="1" applyFill="1" applyBorder="1" applyAlignment="1">
      <alignment horizontal="right" vertical="center"/>
    </xf>
    <xf numFmtId="43" fontId="132" fillId="0" borderId="61" xfId="1" applyFont="1" applyFill="1" applyBorder="1" applyAlignment="1">
      <alignment horizontal="right" vertical="center" wrapText="1"/>
    </xf>
    <xf numFmtId="168" fontId="132" fillId="0" borderId="37" xfId="7" applyNumberFormat="1" applyFont="1" applyFill="1" applyBorder="1" applyAlignment="1">
      <alignment horizontal="right" vertical="center" wrapText="1"/>
    </xf>
    <xf numFmtId="181" fontId="54" fillId="0" borderId="27" xfId="1" applyNumberFormat="1" applyFont="1" applyFill="1" applyBorder="1" applyAlignment="1">
      <alignment horizontal="right" vertical="center"/>
    </xf>
    <xf numFmtId="168" fontId="132" fillId="0" borderId="28" xfId="7" applyNumberFormat="1" applyFont="1" applyFill="1" applyBorder="1" applyAlignment="1">
      <alignment horizontal="right" vertical="center" wrapText="1"/>
    </xf>
    <xf numFmtId="181" fontId="54" fillId="0" borderId="24" xfId="1" applyNumberFormat="1" applyFont="1" applyFill="1" applyBorder="1" applyAlignment="1">
      <alignment horizontal="right" vertical="center"/>
    </xf>
    <xf numFmtId="168" fontId="132" fillId="0" borderId="23" xfId="7" applyNumberFormat="1" applyFont="1" applyFill="1" applyBorder="1" applyAlignment="1">
      <alignment horizontal="right" vertical="center" wrapText="1"/>
    </xf>
    <xf numFmtId="181" fontId="53" fillId="0" borderId="66" xfId="1" applyNumberFormat="1" applyFont="1" applyFill="1" applyBorder="1" applyAlignment="1">
      <alignment horizontal="right" vertical="center"/>
    </xf>
    <xf numFmtId="181" fontId="54" fillId="0" borderId="66" xfId="1" applyNumberFormat="1" applyFont="1" applyFill="1" applyBorder="1" applyAlignment="1">
      <alignment horizontal="right" vertical="center"/>
    </xf>
    <xf numFmtId="196" fontId="0" fillId="0" borderId="0" xfId="1" applyNumberFormat="1" applyFont="1" applyFill="1"/>
    <xf numFmtId="2" fontId="13" fillId="0" borderId="0" xfId="412" applyNumberFormat="1" applyFill="1"/>
    <xf numFmtId="2" fontId="53" fillId="0" borderId="27" xfId="412" applyNumberFormat="1" applyFont="1" applyFill="1" applyBorder="1" applyAlignment="1">
      <alignment horizontal="center" vertical="center"/>
    </xf>
    <xf numFmtId="1" fontId="53" fillId="0" borderId="24" xfId="412" applyNumberFormat="1" applyFont="1" applyFill="1" applyBorder="1" applyAlignment="1">
      <alignment horizontal="right" vertical="center"/>
    </xf>
    <xf numFmtId="171" fontId="53" fillId="0" borderId="0" xfId="7" applyNumberFormat="1" applyFont="1" applyFill="1" applyAlignment="1">
      <alignment horizontal="right" vertical="center" wrapText="1"/>
    </xf>
    <xf numFmtId="171" fontId="54" fillId="0" borderId="0" xfId="7" applyNumberFormat="1" applyFont="1" applyFill="1" applyAlignment="1">
      <alignment horizontal="right" vertical="center" wrapText="1"/>
    </xf>
    <xf numFmtId="196" fontId="54" fillId="0" borderId="21" xfId="1" applyNumberFormat="1" applyFont="1" applyFill="1" applyBorder="1"/>
    <xf numFmtId="171" fontId="53" fillId="0" borderId="61" xfId="7" applyNumberFormat="1" applyFont="1" applyFill="1" applyBorder="1" applyAlignment="1">
      <alignment horizontal="right" vertical="center" wrapText="1"/>
    </xf>
    <xf numFmtId="171" fontId="54" fillId="0" borderId="61" xfId="7" applyNumberFormat="1" applyFont="1" applyFill="1" applyBorder="1" applyAlignment="1">
      <alignment horizontal="right" vertical="center" wrapText="1"/>
    </xf>
    <xf numFmtId="183" fontId="13" fillId="0" borderId="0" xfId="412" applyFill="1"/>
    <xf numFmtId="2" fontId="53" fillId="0" borderId="27" xfId="1" applyNumberFormat="1" applyFont="1" applyFill="1" applyBorder="1" applyAlignment="1">
      <alignment horizontal="center" vertical="center"/>
    </xf>
    <xf numFmtId="49" fontId="0" fillId="0" borderId="27" xfId="1" applyNumberFormat="1" applyFont="1" applyFill="1" applyBorder="1"/>
    <xf numFmtId="1" fontId="53" fillId="0" borderId="24" xfId="1" applyNumberFormat="1" applyFont="1" applyFill="1" applyBorder="1" applyAlignment="1">
      <alignment horizontal="right" vertical="center"/>
    </xf>
    <xf numFmtId="181" fontId="53" fillId="0" borderId="0" xfId="1" applyNumberFormat="1" applyFont="1" applyFill="1" applyAlignment="1">
      <alignment horizontal="right" vertical="center"/>
    </xf>
    <xf numFmtId="181" fontId="54" fillId="0" borderId="0" xfId="1" applyNumberFormat="1" applyFont="1" applyFill="1" applyAlignment="1">
      <alignment horizontal="right" vertical="center"/>
    </xf>
    <xf numFmtId="181" fontId="53" fillId="0" borderId="61" xfId="1" applyNumberFormat="1" applyFont="1" applyFill="1" applyBorder="1" applyAlignment="1">
      <alignment horizontal="right" vertical="center"/>
    </xf>
    <xf numFmtId="181" fontId="54" fillId="0" borderId="61" xfId="1" applyNumberFormat="1" applyFont="1" applyFill="1" applyBorder="1" applyAlignment="1">
      <alignment horizontal="right" vertical="center"/>
    </xf>
    <xf numFmtId="0" fontId="13" fillId="0" borderId="27" xfId="412" applyNumberFormat="1" applyFill="1" applyBorder="1"/>
    <xf numFmtId="0" fontId="53" fillId="0" borderId="28" xfId="412" applyNumberFormat="1" applyFont="1" applyFill="1" applyBorder="1" applyAlignment="1">
      <alignment vertical="center" wrapText="1"/>
    </xf>
    <xf numFmtId="0" fontId="53" fillId="0" borderId="21" xfId="412" applyNumberFormat="1" applyFont="1" applyFill="1" applyBorder="1" applyAlignment="1">
      <alignment vertical="center" wrapText="1"/>
    </xf>
    <xf numFmtId="0" fontId="53" fillId="0" borderId="24" xfId="412" applyNumberFormat="1" applyFont="1" applyFill="1" applyBorder="1" applyAlignment="1">
      <alignment horizontal="right" vertical="center"/>
    </xf>
    <xf numFmtId="0" fontId="53" fillId="0" borderId="23" xfId="412" applyNumberFormat="1" applyFont="1" applyFill="1" applyBorder="1" applyAlignment="1">
      <alignment vertical="center" wrapText="1"/>
    </xf>
    <xf numFmtId="181" fontId="53" fillId="0" borderId="27" xfId="1" applyNumberFormat="1" applyFont="1" applyFill="1" applyBorder="1" applyAlignment="1">
      <alignment horizontal="right" vertical="center" wrapText="1"/>
    </xf>
    <xf numFmtId="181" fontId="53" fillId="0" borderId="0" xfId="1" applyNumberFormat="1" applyFont="1" applyFill="1" applyBorder="1" applyAlignment="1">
      <alignment horizontal="right" vertical="center" wrapText="1"/>
    </xf>
    <xf numFmtId="183" fontId="54" fillId="0" borderId="0" xfId="412" applyFont="1" applyFill="1" applyAlignment="1">
      <alignment horizontal="right" vertical="center" wrapText="1"/>
    </xf>
    <xf numFmtId="183" fontId="54" fillId="0" borderId="21" xfId="412" applyFont="1" applyFill="1" applyBorder="1" applyAlignment="1">
      <alignment horizontal="right" vertical="center" wrapText="1"/>
    </xf>
    <xf numFmtId="171" fontId="53" fillId="0" borderId="0" xfId="7" applyNumberFormat="1" applyFont="1" applyFill="1" applyBorder="1" applyAlignment="1">
      <alignment horizontal="right" vertical="center" wrapText="1"/>
    </xf>
    <xf numFmtId="171" fontId="54" fillId="0" borderId="0" xfId="7" applyNumberFormat="1" applyFont="1" applyFill="1" applyBorder="1" applyAlignment="1">
      <alignment horizontal="right" vertical="center" wrapText="1"/>
    </xf>
    <xf numFmtId="171" fontId="53" fillId="0" borderId="24" xfId="7" applyNumberFormat="1" applyFont="1" applyFill="1" applyBorder="1" applyAlignment="1">
      <alignment horizontal="right" vertical="center" wrapText="1"/>
    </xf>
    <xf numFmtId="171" fontId="54" fillId="0" borderId="24" xfId="7" applyNumberFormat="1" applyFont="1" applyFill="1" applyBorder="1" applyAlignment="1">
      <alignment horizontal="right" vertical="center" wrapText="1"/>
    </xf>
    <xf numFmtId="196" fontId="54" fillId="0" borderId="23" xfId="1" applyNumberFormat="1" applyFont="1" applyFill="1" applyBorder="1"/>
    <xf numFmtId="9" fontId="53" fillId="0" borderId="24" xfId="7" applyFont="1" applyFill="1" applyBorder="1" applyAlignment="1">
      <alignment horizontal="right" vertical="center" wrapText="1"/>
    </xf>
    <xf numFmtId="9" fontId="54" fillId="0" borderId="24" xfId="7" applyFont="1" applyFill="1" applyBorder="1" applyAlignment="1">
      <alignment horizontal="right" vertical="center" wrapText="1"/>
    </xf>
    <xf numFmtId="183" fontId="54" fillId="0" borderId="23" xfId="412" applyFont="1" applyFill="1" applyBorder="1" applyAlignment="1">
      <alignment horizontal="right" vertical="center" wrapText="1"/>
    </xf>
    <xf numFmtId="2" fontId="53" fillId="0" borderId="27" xfId="412" applyNumberFormat="1" applyFont="1" applyFill="1" applyBorder="1" applyAlignment="1">
      <alignment horizontal="center" vertical="center" wrapText="1"/>
    </xf>
    <xf numFmtId="0" fontId="13" fillId="0" borderId="27" xfId="412" applyNumberFormat="1" applyFill="1" applyBorder="1" applyAlignment="1">
      <alignment wrapText="1"/>
    </xf>
    <xf numFmtId="0" fontId="53" fillId="0" borderId="24" xfId="412" applyNumberFormat="1" applyFont="1" applyFill="1" applyBorder="1" applyAlignment="1">
      <alignment horizontal="right" vertical="center" wrapText="1"/>
    </xf>
    <xf numFmtId="196" fontId="54" fillId="0" borderId="21" xfId="1" applyNumberFormat="1" applyFont="1" applyFill="1" applyBorder="1" applyAlignment="1">
      <alignment horizontal="right"/>
    </xf>
    <xf numFmtId="171" fontId="53" fillId="0" borderId="24" xfId="7" applyNumberFormat="1" applyFont="1" applyFill="1" applyBorder="1" applyAlignment="1">
      <alignment horizontal="right" vertical="center"/>
    </xf>
    <xf numFmtId="171" fontId="54" fillId="0" borderId="24" xfId="7" applyNumberFormat="1" applyFont="1" applyFill="1" applyBorder="1" applyAlignment="1">
      <alignment horizontal="right" vertical="center"/>
    </xf>
    <xf numFmtId="196" fontId="54" fillId="0" borderId="23" xfId="1" applyNumberFormat="1" applyFont="1" applyFill="1" applyBorder="1" applyAlignment="1">
      <alignment horizontal="right"/>
    </xf>
    <xf numFmtId="2" fontId="53" fillId="0" borderId="27" xfId="1" applyNumberFormat="1" applyFont="1" applyFill="1" applyBorder="1" applyAlignment="1">
      <alignment vertical="center" wrapText="1"/>
    </xf>
    <xf numFmtId="0" fontId="53" fillId="0" borderId="27" xfId="1" applyNumberFormat="1" applyFont="1" applyFill="1" applyBorder="1" applyAlignment="1">
      <alignment vertical="center" wrapText="1"/>
    </xf>
    <xf numFmtId="0" fontId="53" fillId="0" borderId="24" xfId="1" applyNumberFormat="1" applyFont="1" applyFill="1" applyBorder="1" applyAlignment="1">
      <alignment horizontal="right" vertical="center"/>
    </xf>
    <xf numFmtId="168" fontId="54" fillId="0" borderId="21" xfId="7" applyNumberFormat="1" applyFont="1" applyFill="1" applyBorder="1" applyAlignment="1">
      <alignment horizontal="right" vertical="center"/>
    </xf>
    <xf numFmtId="168" fontId="54" fillId="0" borderId="28" xfId="7" applyNumberFormat="1" applyFont="1" applyFill="1" applyBorder="1" applyAlignment="1">
      <alignment horizontal="right" vertical="center"/>
    </xf>
    <xf numFmtId="168" fontId="54" fillId="0" borderId="23" xfId="7" applyNumberFormat="1" applyFont="1" applyFill="1" applyBorder="1" applyAlignment="1">
      <alignment horizontal="right" vertical="center"/>
    </xf>
    <xf numFmtId="168" fontId="54" fillId="0" borderId="21" xfId="7" applyNumberFormat="1" applyFont="1" applyFill="1" applyBorder="1" applyAlignment="1">
      <alignment horizontal="right" vertical="center" wrapText="1"/>
    </xf>
    <xf numFmtId="2" fontId="53" fillId="0" borderId="27" xfId="412" applyNumberFormat="1" applyFont="1" applyFill="1" applyBorder="1" applyAlignment="1">
      <alignment vertical="center" wrapText="1"/>
    </xf>
    <xf numFmtId="0" fontId="53" fillId="0" borderId="27" xfId="412" applyNumberFormat="1" applyFont="1" applyFill="1" applyBorder="1" applyAlignment="1">
      <alignment vertical="center" wrapText="1"/>
    </xf>
    <xf numFmtId="0" fontId="0" fillId="0" borderId="27" xfId="1" applyNumberFormat="1" applyFont="1" applyFill="1" applyBorder="1"/>
    <xf numFmtId="43" fontId="147" fillId="0" borderId="0" xfId="1" applyFont="1" applyAlignment="1">
      <alignment horizontal="right" vertical="center" wrapText="1"/>
    </xf>
    <xf numFmtId="43" fontId="147" fillId="0" borderId="0" xfId="1" quotePrefix="1" applyFont="1" applyAlignment="1">
      <alignment horizontal="center" vertical="center" wrapText="1"/>
    </xf>
    <xf numFmtId="43" fontId="147" fillId="0" borderId="0" xfId="1" applyFont="1" applyAlignment="1">
      <alignment horizontal="center" vertical="center" wrapText="1"/>
    </xf>
    <xf numFmtId="0" fontId="142" fillId="0" borderId="74" xfId="0" applyNumberFormat="1" applyFont="1" applyBorder="1" applyAlignment="1">
      <alignment horizontal="right" vertical="center" wrapText="1"/>
    </xf>
    <xf numFmtId="43" fontId="150" fillId="0" borderId="74" xfId="1" applyFont="1" applyBorder="1" applyAlignment="1">
      <alignment horizontal="right" vertical="center" wrapText="1"/>
    </xf>
    <xf numFmtId="181" fontId="150" fillId="0" borderId="74" xfId="1" applyNumberFormat="1" applyFont="1" applyBorder="1" applyAlignment="1">
      <alignment horizontal="right" vertical="center" wrapText="1"/>
    </xf>
    <xf numFmtId="43" fontId="18" fillId="0" borderId="0" xfId="1" applyFont="1" applyFill="1" applyProtection="1">
      <protection locked="0"/>
    </xf>
    <xf numFmtId="43" fontId="0" fillId="0" borderId="0" xfId="1" applyFont="1" applyFill="1" applyProtection="1"/>
    <xf numFmtId="43" fontId="23" fillId="0" borderId="0" xfId="1" applyFont="1" applyFill="1" applyBorder="1" applyProtection="1">
      <protection locked="0"/>
    </xf>
    <xf numFmtId="43" fontId="100" fillId="0" borderId="0" xfId="1" applyFont="1" applyFill="1" applyAlignment="1" applyProtection="1">
      <alignment horizontal="right" vertical="center" wrapText="1"/>
    </xf>
    <xf numFmtId="43" fontId="0" fillId="0" borderId="0" xfId="1" applyFont="1" applyFill="1" applyBorder="1" applyAlignment="1" applyProtection="1">
      <protection locked="0"/>
    </xf>
    <xf numFmtId="43" fontId="24" fillId="0" borderId="0" xfId="1" applyFont="1" applyFill="1" applyBorder="1" applyAlignment="1" applyProtection="1">
      <alignment horizontal="center"/>
    </xf>
    <xf numFmtId="43" fontId="23" fillId="0" borderId="0" xfId="1" applyFont="1" applyFill="1" applyBorder="1" applyAlignment="1" applyProtection="1">
      <alignment horizontal="right"/>
    </xf>
    <xf numFmtId="43" fontId="13" fillId="0" borderId="0" xfId="1" applyProtection="1">
      <protection locked="0"/>
    </xf>
    <xf numFmtId="43" fontId="13" fillId="0" borderId="0" xfId="1" applyFill="1" applyProtection="1">
      <protection locked="0"/>
    </xf>
    <xf numFmtId="43" fontId="13" fillId="0" borderId="0" xfId="1" applyFill="1" applyBorder="1" applyProtection="1">
      <protection locked="0"/>
    </xf>
    <xf numFmtId="43" fontId="24" fillId="5" borderId="10" xfId="1" applyFont="1" applyFill="1" applyBorder="1" applyAlignment="1" applyProtection="1">
      <alignment horizontal="center"/>
    </xf>
    <xf numFmtId="43" fontId="0" fillId="5" borderId="0" xfId="1" applyFont="1" applyFill="1" applyBorder="1" applyProtection="1">
      <protection locked="0"/>
    </xf>
    <xf numFmtId="43" fontId="0" fillId="5" borderId="0" xfId="1" applyFont="1" applyFill="1" applyProtection="1">
      <protection locked="0"/>
    </xf>
    <xf numFmtId="43" fontId="44" fillId="0" borderId="0" xfId="1" applyFont="1" applyProtection="1">
      <protection locked="0"/>
    </xf>
    <xf numFmtId="43" fontId="27" fillId="0" borderId="0" xfId="1" applyFont="1" applyFill="1" applyBorder="1" applyProtection="1">
      <protection locked="0"/>
    </xf>
    <xf numFmtId="43" fontId="13" fillId="0" borderId="0" xfId="1" applyBorder="1" applyProtection="1">
      <protection locked="0"/>
    </xf>
    <xf numFmtId="43" fontId="13" fillId="0" borderId="0" xfId="1" applyFill="1" applyProtection="1"/>
    <xf numFmtId="43" fontId="13" fillId="0" borderId="0" xfId="1" applyFill="1" applyBorder="1" applyProtection="1"/>
    <xf numFmtId="43" fontId="13" fillId="0" borderId="0" xfId="1" applyFill="1" applyBorder="1" applyAlignment="1" applyProtection="1"/>
    <xf numFmtId="43" fontId="18" fillId="0" borderId="0" xfId="1" applyFont="1" applyFill="1" applyAlignment="1" applyProtection="1"/>
    <xf numFmtId="43" fontId="13" fillId="0" borderId="0" xfId="1" applyFill="1" applyAlignment="1" applyProtection="1"/>
    <xf numFmtId="43" fontId="13" fillId="0" borderId="0" xfId="1" applyProtection="1"/>
    <xf numFmtId="43" fontId="13" fillId="0" borderId="0" xfId="1" applyBorder="1" applyProtection="1"/>
    <xf numFmtId="43" fontId="13" fillId="0" borderId="0" xfId="1" applyAlignment="1" applyProtection="1"/>
    <xf numFmtId="43" fontId="44" fillId="0" borderId="0" xfId="1" applyFont="1" applyBorder="1" applyProtection="1">
      <protection locked="0"/>
    </xf>
    <xf numFmtId="43" fontId="13" fillId="0" borderId="0" xfId="1" applyAlignment="1" applyProtection="1">
      <protection locked="0"/>
    </xf>
    <xf numFmtId="43" fontId="13" fillId="0" borderId="0" xfId="1" applyBorder="1" applyAlignment="1" applyProtection="1"/>
    <xf numFmtId="43" fontId="18" fillId="0" borderId="0" xfId="1" applyFont="1" applyAlignment="1" applyProtection="1"/>
    <xf numFmtId="43" fontId="18" fillId="0" borderId="0" xfId="1" applyFont="1" applyProtection="1">
      <protection locked="0"/>
    </xf>
    <xf numFmtId="43" fontId="13" fillId="0" borderId="0" xfId="1" applyFont="1" applyBorder="1" applyProtection="1">
      <protection locked="0"/>
    </xf>
    <xf numFmtId="43" fontId="27" fillId="0" borderId="0" xfId="1" applyFont="1" applyFill="1" applyProtection="1">
      <protection locked="0"/>
    </xf>
    <xf numFmtId="43" fontId="24" fillId="0" borderId="0" xfId="1" applyFont="1" applyFill="1" applyBorder="1" applyAlignment="1" applyProtection="1">
      <alignment horizontal="right"/>
    </xf>
    <xf numFmtId="43" fontId="18" fillId="0" borderId="0" xfId="1" applyFont="1" applyFill="1" applyAlignment="1" applyProtection="1">
      <alignment horizontal="right"/>
    </xf>
    <xf numFmtId="43" fontId="18" fillId="0" borderId="0" xfId="1" applyFont="1" applyAlignment="1" applyProtection="1">
      <alignment horizontal="right"/>
    </xf>
    <xf numFmtId="43" fontId="18" fillId="0" borderId="0" xfId="1" applyFont="1" applyAlignment="1" applyProtection="1">
      <alignment horizontal="right"/>
      <protection locked="0"/>
    </xf>
    <xf numFmtId="43" fontId="18" fillId="0" borderId="0" xfId="1" applyFont="1" applyBorder="1" applyAlignment="1" applyProtection="1">
      <alignment horizontal="right"/>
      <protection locked="0"/>
    </xf>
    <xf numFmtId="43" fontId="18" fillId="0" borderId="0" xfId="1" applyFont="1" applyBorder="1" applyAlignment="1" applyProtection="1">
      <alignment horizontal="right"/>
    </xf>
    <xf numFmtId="43" fontId="54" fillId="0" borderId="0" xfId="1" applyFont="1" applyAlignment="1" applyProtection="1">
      <alignment horizontal="right"/>
    </xf>
    <xf numFmtId="43" fontId="54" fillId="0" borderId="0" xfId="1" applyFont="1" applyFill="1" applyAlignment="1" applyProtection="1">
      <alignment horizontal="right"/>
    </xf>
    <xf numFmtId="43" fontId="53" fillId="0" borderId="0" xfId="1" applyFont="1" applyFill="1" applyAlignment="1" applyProtection="1">
      <alignment horizontal="right"/>
    </xf>
    <xf numFmtId="43" fontId="27" fillId="0" borderId="0" xfId="1" applyFont="1" applyProtection="1"/>
    <xf numFmtId="43" fontId="27" fillId="0" borderId="0" xfId="1" applyFont="1" applyFill="1" applyProtection="1"/>
    <xf numFmtId="183" fontId="147" fillId="0" borderId="0" xfId="0" applyFont="1" applyAlignment="1">
      <alignment horizontal="center" vertical="center" wrapText="1"/>
    </xf>
    <xf numFmtId="183" fontId="147" fillId="0" borderId="0" xfId="0" applyFont="1" applyBorder="1" applyAlignment="1">
      <alignment horizontal="center" vertical="center" wrapText="1"/>
    </xf>
    <xf numFmtId="183" fontId="54" fillId="0" borderId="0" xfId="0" applyFont="1"/>
    <xf numFmtId="183" fontId="147" fillId="0" borderId="0" xfId="0" applyFont="1" applyBorder="1" applyAlignment="1">
      <alignment vertical="center" wrapText="1"/>
    </xf>
    <xf numFmtId="169" fontId="18" fillId="0" borderId="47" xfId="13" applyNumberFormat="1" applyFont="1" applyFill="1" applyBorder="1" applyAlignment="1" applyProtection="1"/>
    <xf numFmtId="169" fontId="18" fillId="0" borderId="10" xfId="16" applyNumberFormat="1" applyFont="1" applyFill="1" applyBorder="1" applyAlignment="1" applyProtection="1">
      <alignment horizontal="right"/>
    </xf>
    <xf numFmtId="181" fontId="18" fillId="0" borderId="13" xfId="13" applyNumberFormat="1" applyFont="1" applyFill="1" applyBorder="1" applyAlignment="1" applyProtection="1"/>
    <xf numFmtId="181" fontId="18" fillId="0" borderId="6" xfId="13" applyNumberFormat="1" applyFont="1" applyFill="1" applyBorder="1" applyAlignment="1" applyProtection="1"/>
    <xf numFmtId="183" fontId="13" fillId="0" borderId="0" xfId="0" applyFont="1" applyFill="1" applyBorder="1" applyAlignment="1"/>
    <xf numFmtId="181" fontId="18" fillId="0" borderId="2" xfId="1" applyNumberFormat="1" applyFont="1" applyFill="1" applyBorder="1" applyProtection="1"/>
    <xf numFmtId="181" fontId="18" fillId="0" borderId="6" xfId="0" applyNumberFormat="1" applyFont="1" applyBorder="1" applyProtection="1"/>
    <xf numFmtId="37" fontId="18" fillId="0" borderId="2" xfId="16" applyNumberFormat="1" applyFont="1" applyFill="1" applyBorder="1" applyAlignment="1" applyProtection="1">
      <alignment horizontal="right"/>
    </xf>
    <xf numFmtId="0" fontId="79" fillId="0" borderId="2" xfId="75" applyFont="1" applyFill="1" applyBorder="1" applyAlignment="1" applyProtection="1">
      <alignment horizontal="center"/>
    </xf>
    <xf numFmtId="169" fontId="18" fillId="0" borderId="3" xfId="13" applyNumberFormat="1" applyFont="1" applyFill="1" applyBorder="1" applyAlignment="1" applyProtection="1"/>
    <xf numFmtId="168" fontId="18" fillId="0" borderId="4" xfId="7" quotePrefix="1" applyNumberFormat="1" applyFont="1" applyFill="1" applyBorder="1" applyAlignment="1" applyProtection="1">
      <alignment horizontal="right"/>
    </xf>
    <xf numFmtId="183" fontId="25" fillId="0" borderId="2" xfId="0" applyFont="1" applyFill="1" applyBorder="1" applyAlignment="1" applyProtection="1">
      <alignment horizontal="center"/>
    </xf>
    <xf numFmtId="169" fontId="18" fillId="0" borderId="3" xfId="0" applyNumberFormat="1" applyFont="1" applyBorder="1" applyProtection="1"/>
    <xf numFmtId="43" fontId="132" fillId="0" borderId="75" xfId="1" applyFont="1" applyFill="1" applyBorder="1" applyAlignment="1">
      <alignment horizontal="right" vertical="center" wrapText="1"/>
    </xf>
    <xf numFmtId="10" fontId="16" fillId="0" borderId="0" xfId="7" applyNumberFormat="1" applyFont="1" applyFill="1" applyBorder="1" applyAlignment="1" applyProtection="1">
      <alignment horizontal="left"/>
    </xf>
    <xf numFmtId="181" fontId="23" fillId="0" borderId="8" xfId="1" applyNumberFormat="1" applyFont="1" applyFill="1" applyBorder="1" applyProtection="1"/>
    <xf numFmtId="181" fontId="0" fillId="0" borderId="10" xfId="1" applyNumberFormat="1" applyFont="1" applyBorder="1" applyProtection="1"/>
    <xf numFmtId="181" fontId="18" fillId="0" borderId="19" xfId="1" applyNumberFormat="1" applyFont="1" applyBorder="1" applyProtection="1"/>
    <xf numFmtId="181" fontId="18" fillId="0" borderId="17" xfId="1" applyNumberFormat="1" applyFont="1" applyBorder="1" applyProtection="1"/>
    <xf numFmtId="181" fontId="18" fillId="0" borderId="18" xfId="1" applyNumberFormat="1" applyFont="1" applyBorder="1" applyProtection="1"/>
    <xf numFmtId="181" fontId="0" fillId="0" borderId="0" xfId="1" applyNumberFormat="1" applyFont="1" applyFill="1" applyProtection="1"/>
    <xf numFmtId="171" fontId="18" fillId="0" borderId="11" xfId="7" applyNumberFormat="1" applyFont="1" applyFill="1" applyBorder="1" applyAlignment="1" applyProtection="1">
      <alignment horizontal="right"/>
    </xf>
    <xf numFmtId="171" fontId="18" fillId="0" borderId="11" xfId="7" applyNumberFormat="1" applyFont="1" applyBorder="1" applyAlignment="1" applyProtection="1">
      <alignment horizontal="right"/>
    </xf>
    <xf numFmtId="171" fontId="18" fillId="0" borderId="14" xfId="7" applyNumberFormat="1" applyFont="1" applyBorder="1" applyAlignment="1" applyProtection="1">
      <alignment horizontal="right"/>
    </xf>
    <xf numFmtId="171" fontId="18" fillId="0" borderId="11" xfId="7" applyNumberFormat="1" applyFont="1" applyBorder="1" applyProtection="1"/>
    <xf numFmtId="198" fontId="54" fillId="0" borderId="0" xfId="1" applyNumberFormat="1" applyFont="1"/>
    <xf numFmtId="198" fontId="0" fillId="0" borderId="61" xfId="1" applyNumberFormat="1" applyFont="1" applyBorder="1"/>
    <xf numFmtId="198" fontId="54" fillId="0" borderId="28" xfId="1" applyNumberFormat="1" applyFont="1" applyFill="1" applyBorder="1"/>
    <xf numFmtId="198" fontId="54" fillId="0" borderId="21" xfId="1" applyNumberFormat="1" applyFont="1" applyFill="1" applyBorder="1"/>
    <xf numFmtId="198" fontId="0" fillId="0" borderId="37" xfId="1" applyNumberFormat="1" applyFont="1" applyFill="1" applyBorder="1"/>
    <xf numFmtId="43" fontId="158" fillId="0" borderId="20" xfId="1" applyFont="1" applyBorder="1" applyAlignment="1">
      <alignment horizontal="left" vertical="center" indent="1"/>
    </xf>
    <xf numFmtId="43" fontId="54" fillId="0" borderId="69" xfId="1" applyFont="1" applyBorder="1" applyAlignment="1">
      <alignment horizontal="left" vertical="center"/>
    </xf>
    <xf numFmtId="168" fontId="54" fillId="0" borderId="0" xfId="7" applyNumberFormat="1" applyFont="1" applyFill="1" applyAlignment="1">
      <alignment horizontal="right" vertical="center" wrapText="1"/>
    </xf>
    <xf numFmtId="168" fontId="54" fillId="0" borderId="24" xfId="7" applyNumberFormat="1" applyFont="1" applyFill="1" applyBorder="1" applyAlignment="1">
      <alignment horizontal="right" vertical="center" wrapText="1"/>
    </xf>
    <xf numFmtId="168" fontId="54" fillId="0" borderId="0" xfId="7" applyNumberFormat="1" applyFont="1" applyFill="1" applyBorder="1" applyAlignment="1">
      <alignment horizontal="right" vertical="center" wrapText="1"/>
    </xf>
    <xf numFmtId="168" fontId="54" fillId="0" borderId="70" xfId="7" applyNumberFormat="1" applyFont="1" applyFill="1" applyBorder="1" applyAlignment="1">
      <alignment horizontal="right" vertical="center" wrapText="1"/>
    </xf>
    <xf numFmtId="168" fontId="54" fillId="0" borderId="66" xfId="7" applyNumberFormat="1" applyFont="1" applyFill="1" applyBorder="1" applyAlignment="1">
      <alignment horizontal="right" vertical="center" wrapText="1"/>
    </xf>
    <xf numFmtId="168" fontId="54" fillId="0" borderId="65" xfId="7" applyNumberFormat="1" applyFont="1" applyFill="1" applyBorder="1" applyAlignment="1">
      <alignment horizontal="right" vertical="center" wrapText="1"/>
    </xf>
    <xf numFmtId="168" fontId="54" fillId="0" borderId="28" xfId="7" applyNumberFormat="1" applyFont="1" applyFill="1" applyBorder="1" applyAlignment="1">
      <alignment horizontal="right" vertical="center" wrapText="1"/>
    </xf>
    <xf numFmtId="168" fontId="54" fillId="0" borderId="23" xfId="7" applyNumberFormat="1" applyFont="1" applyFill="1" applyBorder="1" applyAlignment="1">
      <alignment horizontal="right" vertical="center" wrapText="1"/>
    </xf>
    <xf numFmtId="168" fontId="54" fillId="0" borderId="64" xfId="7" applyNumberFormat="1" applyFont="1" applyFill="1" applyBorder="1" applyAlignment="1">
      <alignment horizontal="right" vertical="center" wrapText="1"/>
    </xf>
    <xf numFmtId="168" fontId="54" fillId="0" borderId="71" xfId="7" applyNumberFormat="1" applyFont="1" applyFill="1" applyBorder="1" applyAlignment="1">
      <alignment horizontal="right" vertical="center" wrapText="1"/>
    </xf>
    <xf numFmtId="168" fontId="54" fillId="0" borderId="73" xfId="7" applyNumberFormat="1" applyFont="1" applyFill="1" applyBorder="1" applyAlignment="1">
      <alignment horizontal="right" vertical="center" wrapText="1"/>
    </xf>
    <xf numFmtId="171" fontId="18" fillId="0" borderId="4" xfId="7" applyNumberFormat="1" applyFont="1" applyFill="1" applyBorder="1" applyProtection="1"/>
    <xf numFmtId="171" fontId="18" fillId="0" borderId="1" xfId="7" applyNumberFormat="1" applyFont="1" applyFill="1" applyBorder="1" applyAlignment="1" applyProtection="1">
      <alignment horizontal="right"/>
    </xf>
    <xf numFmtId="170" fontId="23" fillId="0" borderId="10" xfId="1" applyNumberFormat="1" applyFont="1" applyFill="1" applyBorder="1" applyProtection="1"/>
    <xf numFmtId="183" fontId="24" fillId="0" borderId="7" xfId="0" applyFont="1" applyBorder="1" applyAlignment="1" applyProtection="1">
      <alignment horizontal="center"/>
    </xf>
    <xf numFmtId="43" fontId="18" fillId="0" borderId="0" xfId="1" applyFont="1" applyFill="1" applyBorder="1" applyAlignment="1" applyProtection="1">
      <alignment horizontal="center"/>
    </xf>
    <xf numFmtId="170" fontId="18" fillId="0" borderId="10" xfId="0" applyNumberFormat="1" applyFont="1" applyFill="1" applyBorder="1" applyAlignment="1" applyProtection="1"/>
    <xf numFmtId="43" fontId="18" fillId="0" borderId="10" xfId="1" applyFont="1" applyFill="1" applyBorder="1" applyAlignment="1" applyProtection="1">
      <alignment horizontal="center"/>
    </xf>
    <xf numFmtId="183" fontId="18" fillId="0" borderId="5" xfId="0" applyFont="1" applyFill="1" applyBorder="1" applyAlignment="1" applyProtection="1"/>
    <xf numFmtId="181" fontId="23" fillId="0" borderId="0" xfId="1" applyNumberFormat="1" applyFont="1" applyFill="1" applyBorder="1" applyAlignment="1" applyProtection="1">
      <alignment horizontal="right"/>
    </xf>
    <xf numFmtId="183" fontId="24" fillId="0" borderId="8" xfId="0" applyFont="1" applyBorder="1" applyAlignment="1" applyProtection="1">
      <alignment horizontal="center"/>
    </xf>
    <xf numFmtId="183" fontId="24" fillId="0" borderId="9" xfId="0" applyFont="1" applyBorder="1" applyAlignment="1" applyProtection="1">
      <alignment horizontal="center"/>
    </xf>
    <xf numFmtId="169" fontId="18" fillId="0" borderId="10" xfId="0" applyNumberFormat="1" applyFont="1" applyBorder="1" applyProtection="1"/>
    <xf numFmtId="169" fontId="18" fillId="0" borderId="18" xfId="1" applyNumberFormat="1" applyFont="1" applyFill="1" applyBorder="1" applyProtection="1"/>
    <xf numFmtId="37" fontId="18" fillId="0" borderId="18" xfId="1" applyNumberFormat="1" applyFont="1" applyFill="1" applyBorder="1" applyProtection="1"/>
    <xf numFmtId="170" fontId="18" fillId="0" borderId="0" xfId="7" applyNumberFormat="1" applyFont="1" applyFill="1" applyBorder="1" applyProtection="1"/>
    <xf numFmtId="183" fontId="18" fillId="0" borderId="2" xfId="0" applyFont="1" applyFill="1" applyBorder="1" applyProtection="1"/>
    <xf numFmtId="43" fontId="0" fillId="0" borderId="0" xfId="1" applyFont="1" applyAlignment="1" applyProtection="1"/>
    <xf numFmtId="183" fontId="24" fillId="0" borderId="15" xfId="0" applyFont="1" applyFill="1" applyBorder="1" applyAlignment="1" applyProtection="1">
      <alignment horizontal="center"/>
    </xf>
    <xf numFmtId="181" fontId="18" fillId="0" borderId="16" xfId="1" applyNumberFormat="1" applyFont="1" applyFill="1" applyBorder="1" applyAlignment="1" applyProtection="1"/>
    <xf numFmtId="181" fontId="18" fillId="0" borderId="19" xfId="1" applyNumberFormat="1" applyFont="1" applyFill="1" applyBorder="1" applyAlignment="1" applyProtection="1"/>
    <xf numFmtId="181" fontId="18" fillId="0" borderId="18" xfId="1" applyNumberFormat="1" applyFont="1" applyFill="1" applyBorder="1" applyAlignment="1" applyProtection="1"/>
    <xf numFmtId="171" fontId="13" fillId="0" borderId="0" xfId="7" applyNumberFormat="1" applyFont="1" applyBorder="1" applyProtection="1"/>
    <xf numFmtId="180" fontId="18" fillId="0" borderId="10" xfId="7" applyNumberFormat="1" applyFont="1" applyFill="1" applyBorder="1" applyAlignment="1" applyProtection="1">
      <alignment horizontal="right"/>
    </xf>
    <xf numFmtId="43" fontId="18" fillId="0" borderId="19" xfId="1" applyFont="1" applyFill="1" applyBorder="1" applyAlignment="1" applyProtection="1">
      <alignment horizontal="right"/>
    </xf>
    <xf numFmtId="37" fontId="18" fillId="0" borderId="13" xfId="0" applyNumberFormat="1" applyFont="1" applyFill="1" applyBorder="1" applyProtection="1"/>
    <xf numFmtId="0" fontId="27" fillId="0" borderId="0" xfId="75" applyFont="1" applyFill="1" applyBorder="1" applyProtection="1"/>
    <xf numFmtId="0" fontId="27" fillId="0" borderId="0" xfId="75" applyFont="1" applyBorder="1" applyProtection="1"/>
    <xf numFmtId="169" fontId="18" fillId="0" borderId="13" xfId="157" applyNumberFormat="1" applyFont="1" applyFill="1" applyBorder="1" applyProtection="1"/>
    <xf numFmtId="181" fontId="13" fillId="0" borderId="0" xfId="75" applyNumberFormat="1" applyFill="1" applyBorder="1" applyProtection="1"/>
    <xf numFmtId="167" fontId="18" fillId="0" borderId="12" xfId="13" applyNumberFormat="1" applyFont="1" applyFill="1" applyBorder="1" applyAlignment="1" applyProtection="1">
      <alignment horizontal="right"/>
    </xf>
    <xf numFmtId="37" fontId="18" fillId="0" borderId="2" xfId="75" applyNumberFormat="1" applyFont="1" applyFill="1" applyBorder="1" applyProtection="1"/>
    <xf numFmtId="181" fontId="18" fillId="0" borderId="10" xfId="16" applyNumberFormat="1" applyFont="1" applyFill="1" applyBorder="1" applyAlignment="1" applyProtection="1">
      <alignment horizontal="right"/>
    </xf>
    <xf numFmtId="169" fontId="18" fillId="0" borderId="12" xfId="13" applyNumberFormat="1" applyFont="1" applyFill="1" applyBorder="1" applyAlignment="1" applyProtection="1">
      <alignment horizontal="right"/>
    </xf>
    <xf numFmtId="183" fontId="27" fillId="0" borderId="0" xfId="0" applyFont="1" applyFill="1" applyBorder="1" applyProtection="1"/>
    <xf numFmtId="37" fontId="18" fillId="0" borderId="1" xfId="7" applyNumberFormat="1" applyFont="1" applyFill="1" applyBorder="1" applyAlignment="1" applyProtection="1">
      <alignment horizontal="right"/>
    </xf>
    <xf numFmtId="181" fontId="18" fillId="0" borderId="0" xfId="0" applyNumberFormat="1" applyFont="1" applyFill="1" applyBorder="1" applyProtection="1"/>
    <xf numFmtId="197" fontId="18" fillId="0" borderId="0" xfId="0" applyNumberFormat="1" applyFont="1" applyFill="1" applyBorder="1" applyProtection="1"/>
    <xf numFmtId="168" fontId="23" fillId="0" borderId="11" xfId="7" applyNumberFormat="1" applyFont="1" applyFill="1" applyBorder="1" applyAlignment="1" applyProtection="1">
      <alignment horizontal="right"/>
      <protection locked="0"/>
    </xf>
    <xf numFmtId="183" fontId="18" fillId="0" borderId="11" xfId="0" applyFont="1" applyFill="1" applyBorder="1" applyAlignment="1" applyProtection="1">
      <protection locked="0"/>
    </xf>
    <xf numFmtId="168" fontId="18" fillId="0" borderId="11" xfId="16" applyNumberFormat="1" applyFont="1" applyFill="1" applyBorder="1" applyAlignment="1" applyProtection="1">
      <alignment horizontal="left"/>
      <protection locked="0"/>
    </xf>
    <xf numFmtId="0" fontId="79" fillId="0" borderId="11" xfId="75" applyFont="1" applyFill="1" applyBorder="1" applyAlignment="1" applyProtection="1">
      <alignment horizontal="center"/>
      <protection locked="0"/>
    </xf>
    <xf numFmtId="0" fontId="18" fillId="0" borderId="11" xfId="75" applyFont="1" applyFill="1" applyBorder="1" applyProtection="1">
      <protection locked="0"/>
    </xf>
    <xf numFmtId="183" fontId="14" fillId="0" borderId="11" xfId="0" applyFont="1" applyFill="1" applyBorder="1" applyAlignment="1" applyProtection="1">
      <alignment horizontal="center"/>
      <protection locked="0"/>
    </xf>
    <xf numFmtId="183" fontId="14" fillId="0" borderId="2" xfId="0" applyFont="1" applyFill="1" applyBorder="1" applyAlignment="1" applyProtection="1">
      <alignment horizontal="center"/>
    </xf>
    <xf numFmtId="2" fontId="156" fillId="0" borderId="0" xfId="7" applyNumberFormat="1" applyFont="1" applyFill="1" applyAlignment="1">
      <alignment horizontal="right" vertical="center" wrapText="1"/>
    </xf>
    <xf numFmtId="183" fontId="159" fillId="0" borderId="0" xfId="0" applyFont="1" applyFill="1"/>
    <xf numFmtId="181" fontId="54" fillId="0" borderId="65" xfId="1" applyNumberFormat="1" applyFont="1" applyFill="1" applyBorder="1" applyAlignment="1">
      <alignment horizontal="right" vertical="center" wrapText="1"/>
    </xf>
    <xf numFmtId="187" fontId="36" fillId="0" borderId="0" xfId="0" applyNumberFormat="1" applyFont="1" applyFill="1" applyAlignment="1">
      <alignment horizontal="right"/>
    </xf>
    <xf numFmtId="183" fontId="36" fillId="0" borderId="0" xfId="0" applyFont="1" applyFill="1" applyAlignment="1">
      <alignment horizontal="right"/>
    </xf>
    <xf numFmtId="187" fontId="37" fillId="0" borderId="0" xfId="0" applyNumberFormat="1" applyFont="1" applyFill="1" applyAlignment="1">
      <alignment vertical="center"/>
    </xf>
    <xf numFmtId="187" fontId="36" fillId="0" borderId="0" xfId="4" applyNumberFormat="1" applyFont="1" applyFill="1" applyBorder="1" applyAlignment="1"/>
    <xf numFmtId="187" fontId="36" fillId="0" borderId="0" xfId="0" applyNumberFormat="1" applyFont="1" applyFill="1" applyAlignment="1"/>
    <xf numFmtId="187" fontId="36" fillId="0" borderId="0" xfId="4" quotePrefix="1" applyNumberFormat="1" applyFont="1" applyFill="1" applyBorder="1" applyAlignment="1"/>
    <xf numFmtId="187" fontId="36" fillId="0" borderId="0" xfId="0" applyNumberFormat="1" applyFont="1" applyFill="1" applyAlignment="1">
      <alignment vertical="center"/>
    </xf>
    <xf numFmtId="0" fontId="24" fillId="0" borderId="0" xfId="75" applyFont="1" applyFill="1" applyBorder="1" applyAlignment="1" applyProtection="1">
      <alignment wrapText="1"/>
    </xf>
    <xf numFmtId="183" fontId="25" fillId="0" borderId="11" xfId="0" applyFont="1" applyFill="1" applyBorder="1" applyAlignment="1" applyProtection="1">
      <alignment horizontal="center"/>
      <protection locked="0"/>
    </xf>
    <xf numFmtId="183" fontId="24" fillId="0" borderId="2" xfId="0" applyFont="1" applyFill="1" applyBorder="1" applyAlignment="1" applyProtection="1">
      <alignment horizontal="center"/>
    </xf>
    <xf numFmtId="167" fontId="18" fillId="0" borderId="5" xfId="13" applyNumberFormat="1" applyFont="1" applyFill="1" applyBorder="1" applyProtection="1"/>
    <xf numFmtId="0" fontId="18" fillId="0" borderId="11" xfId="75" applyFont="1" applyBorder="1" applyProtection="1">
      <protection locked="0"/>
    </xf>
    <xf numFmtId="0" fontId="18" fillId="0" borderId="11" xfId="75" applyFont="1" applyFill="1" applyBorder="1" applyAlignment="1" applyProtection="1">
      <protection locked="0"/>
    </xf>
    <xf numFmtId="0" fontId="18" fillId="0" borderId="10" xfId="75" applyFont="1" applyBorder="1" applyProtection="1"/>
    <xf numFmtId="168" fontId="18" fillId="0" borderId="11" xfId="75" applyNumberFormat="1" applyFont="1" applyFill="1" applyBorder="1" applyProtection="1">
      <protection locked="0"/>
    </xf>
    <xf numFmtId="183" fontId="24" fillId="0" borderId="0" xfId="0" applyFont="1" applyFill="1" applyBorder="1" applyAlignment="1" applyProtection="1">
      <alignment horizontal="center" wrapText="1"/>
    </xf>
    <xf numFmtId="183" fontId="24" fillId="0" borderId="4" xfId="0" applyFont="1" applyFill="1" applyBorder="1" applyAlignment="1" applyProtection="1">
      <alignment horizontal="center" wrapText="1"/>
    </xf>
    <xf numFmtId="183" fontId="24" fillId="0" borderId="3" xfId="0" applyFont="1" applyFill="1" applyBorder="1" applyAlignment="1" applyProtection="1">
      <alignment horizontal="center" wrapText="1"/>
    </xf>
    <xf numFmtId="169" fontId="23" fillId="0" borderId="8" xfId="1" applyNumberFormat="1" applyFont="1" applyFill="1" applyBorder="1" applyProtection="1"/>
    <xf numFmtId="2" fontId="18" fillId="0" borderId="0" xfId="7" applyNumberFormat="1" applyFont="1" applyBorder="1" applyProtection="1"/>
    <xf numFmtId="181" fontId="18" fillId="0" borderId="2" xfId="1" applyNumberFormat="1" applyFont="1" applyBorder="1" applyProtection="1"/>
    <xf numFmtId="167" fontId="18" fillId="0" borderId="11" xfId="16" applyNumberFormat="1" applyFont="1" applyFill="1" applyBorder="1" applyAlignment="1" applyProtection="1">
      <alignment horizontal="right"/>
    </xf>
    <xf numFmtId="167" fontId="18" fillId="0" borderId="1" xfId="16" applyNumberFormat="1" applyFont="1" applyFill="1" applyBorder="1" applyAlignment="1" applyProtection="1">
      <alignment horizontal="right"/>
    </xf>
    <xf numFmtId="183" fontId="17" fillId="0" borderId="4" xfId="29" applyFont="1" applyFill="1" applyBorder="1" applyAlignment="1" applyProtection="1">
      <alignment horizontal="center"/>
    </xf>
    <xf numFmtId="167" fontId="18" fillId="0" borderId="18" xfId="13" applyNumberFormat="1" applyFont="1" applyFill="1" applyBorder="1" applyProtection="1"/>
    <xf numFmtId="37" fontId="18" fillId="0" borderId="7" xfId="16" applyNumberFormat="1" applyFont="1" applyFill="1" applyBorder="1" applyAlignment="1" applyProtection="1">
      <alignment horizontal="right"/>
    </xf>
    <xf numFmtId="37" fontId="18" fillId="0" borderId="8" xfId="16" applyNumberFormat="1" applyFont="1" applyFill="1" applyBorder="1" applyAlignment="1" applyProtection="1">
      <alignment horizontal="right"/>
    </xf>
    <xf numFmtId="169" fontId="18" fillId="0" borderId="15" xfId="16" applyNumberFormat="1" applyFont="1" applyFill="1" applyBorder="1" applyAlignment="1" applyProtection="1">
      <alignment horizontal="right"/>
    </xf>
    <xf numFmtId="169" fontId="18" fillId="0" borderId="10" xfId="13" applyNumberFormat="1" applyFont="1" applyFill="1" applyBorder="1" applyAlignment="1" applyProtection="1"/>
    <xf numFmtId="169" fontId="18" fillId="0" borderId="5" xfId="13" applyNumberFormat="1" applyFont="1" applyFill="1" applyBorder="1" applyAlignment="1" applyProtection="1"/>
    <xf numFmtId="181" fontId="18" fillId="0" borderId="2" xfId="1" applyNumberFormat="1" applyFont="1" applyFill="1" applyBorder="1" applyAlignment="1" applyProtection="1"/>
    <xf numFmtId="181" fontId="18" fillId="0" borderId="5" xfId="1" applyNumberFormat="1" applyFont="1" applyFill="1" applyBorder="1" applyAlignment="1" applyProtection="1"/>
    <xf numFmtId="0" fontId="18" fillId="0" borderId="11" xfId="75" applyFont="1" applyFill="1" applyBorder="1" applyAlignment="1" applyProtection="1">
      <alignment horizontal="right"/>
    </xf>
    <xf numFmtId="0" fontId="18" fillId="0" borderId="7" xfId="75" applyFont="1" applyFill="1" applyBorder="1" applyAlignment="1" applyProtection="1">
      <alignment horizontal="right"/>
    </xf>
    <xf numFmtId="37" fontId="18" fillId="0" borderId="18" xfId="75" applyNumberFormat="1" applyFont="1" applyFill="1" applyBorder="1" applyProtection="1"/>
    <xf numFmtId="37" fontId="18" fillId="0" borderId="4" xfId="75" applyNumberFormat="1" applyFont="1" applyBorder="1" applyProtection="1"/>
    <xf numFmtId="37" fontId="18" fillId="0" borderId="7" xfId="75" applyNumberFormat="1" applyFont="1" applyFill="1" applyBorder="1" applyProtection="1"/>
    <xf numFmtId="181" fontId="18" fillId="0" borderId="7" xfId="1" applyNumberFormat="1" applyFont="1" applyBorder="1" applyAlignment="1" applyProtection="1"/>
    <xf numFmtId="181" fontId="18" fillId="0" borderId="15" xfId="1" applyNumberFormat="1" applyFont="1" applyBorder="1" applyAlignment="1" applyProtection="1"/>
    <xf numFmtId="169" fontId="18" fillId="0" borderId="18" xfId="0" applyNumberFormat="1" applyFont="1" applyFill="1" applyBorder="1" applyProtection="1"/>
    <xf numFmtId="183" fontId="18" fillId="0" borderId="7" xfId="0" applyFont="1" applyFill="1" applyBorder="1" applyAlignment="1" applyProtection="1">
      <alignment horizontal="right"/>
    </xf>
    <xf numFmtId="37" fontId="18" fillId="0" borderId="2" xfId="16" applyNumberFormat="1" applyFont="1" applyFill="1" applyBorder="1" applyAlignment="1" applyProtection="1">
      <alignment horizontal="right"/>
      <protection locked="0"/>
    </xf>
    <xf numFmtId="37" fontId="18" fillId="0" borderId="10" xfId="16" applyNumberFormat="1" applyFont="1" applyFill="1" applyBorder="1" applyAlignment="1" applyProtection="1">
      <alignment horizontal="right"/>
      <protection locked="0"/>
    </xf>
    <xf numFmtId="37" fontId="18" fillId="0" borderId="5" xfId="16" applyNumberFormat="1" applyFont="1" applyFill="1" applyBorder="1" applyAlignment="1" applyProtection="1">
      <alignment horizontal="right"/>
      <protection locked="0"/>
    </xf>
    <xf numFmtId="181" fontId="18" fillId="0" borderId="2" xfId="1" applyNumberFormat="1" applyFont="1" applyFill="1" applyBorder="1" applyAlignment="1" applyProtection="1">
      <alignment horizontal="right"/>
      <protection locked="0"/>
    </xf>
    <xf numFmtId="43" fontId="18" fillId="0" borderId="2" xfId="1" applyFont="1" applyFill="1" applyBorder="1" applyAlignment="1" applyProtection="1">
      <alignment horizontal="right"/>
      <protection locked="0"/>
    </xf>
    <xf numFmtId="37" fontId="18" fillId="0" borderId="3" xfId="7" applyNumberFormat="1" applyFont="1" applyFill="1" applyBorder="1" applyAlignment="1" applyProtection="1">
      <alignment horizontal="right"/>
    </xf>
    <xf numFmtId="37" fontId="18" fillId="0" borderId="4" xfId="7" applyNumberFormat="1" applyFont="1" applyFill="1" applyBorder="1" applyAlignment="1" applyProtection="1">
      <alignment horizontal="right"/>
    </xf>
    <xf numFmtId="168" fontId="18" fillId="0" borderId="11" xfId="16" applyNumberFormat="1" applyFont="1" applyFill="1" applyBorder="1" applyAlignment="1" applyProtection="1"/>
    <xf numFmtId="197" fontId="18" fillId="0" borderId="9" xfId="0" applyNumberFormat="1" applyFont="1" applyFill="1" applyBorder="1" applyProtection="1"/>
    <xf numFmtId="183" fontId="18" fillId="0" borderId="8" xfId="0" applyFont="1" applyFill="1" applyBorder="1" applyProtection="1"/>
    <xf numFmtId="183" fontId="14" fillId="0" borderId="0" xfId="0" applyFont="1" applyFill="1" applyBorder="1" applyAlignment="1" applyProtection="1">
      <alignment horizontal="center"/>
    </xf>
    <xf numFmtId="183" fontId="24" fillId="0" borderId="2" xfId="0" applyFont="1" applyFill="1" applyBorder="1" applyAlignment="1" applyProtection="1">
      <alignment horizontal="center"/>
    </xf>
    <xf numFmtId="183" fontId="18" fillId="0" borderId="10" xfId="0" applyFont="1" applyFill="1" applyBorder="1" applyAlignment="1" applyProtection="1">
      <alignment horizontal="center"/>
    </xf>
    <xf numFmtId="183" fontId="18" fillId="0" borderId="11" xfId="0" applyFont="1" applyFill="1" applyBorder="1" applyAlignment="1" applyProtection="1">
      <alignment horizontal="center"/>
    </xf>
    <xf numFmtId="183" fontId="24" fillId="0" borderId="3" xfId="0" applyFont="1" applyFill="1" applyBorder="1" applyAlignment="1" applyProtection="1">
      <alignment horizontal="center"/>
    </xf>
    <xf numFmtId="183" fontId="27" fillId="0" borderId="13" xfId="0" applyFont="1" applyFill="1" applyBorder="1" applyAlignment="1" applyProtection="1">
      <alignment horizontal="center"/>
    </xf>
    <xf numFmtId="169" fontId="45" fillId="0" borderId="9" xfId="1" applyNumberFormat="1" applyFont="1" applyFill="1" applyBorder="1" applyProtection="1"/>
    <xf numFmtId="169" fontId="23" fillId="0" borderId="9" xfId="1" applyNumberFormat="1" applyFont="1" applyFill="1" applyBorder="1" applyAlignment="1" applyProtection="1">
      <alignment horizontal="center"/>
    </xf>
    <xf numFmtId="169" fontId="46" fillId="0" borderId="9" xfId="1" applyNumberFormat="1" applyFont="1" applyFill="1" applyBorder="1" applyProtection="1"/>
    <xf numFmtId="172" fontId="18" fillId="0" borderId="9" xfId="0" applyNumberFormat="1" applyFont="1" applyFill="1" applyBorder="1" applyProtection="1"/>
    <xf numFmtId="2" fontId="23" fillId="0" borderId="9" xfId="0" applyNumberFormat="1" applyFont="1" applyFill="1" applyBorder="1" applyProtection="1"/>
    <xf numFmtId="172" fontId="23" fillId="0" borderId="9" xfId="0" applyNumberFormat="1" applyFont="1" applyFill="1" applyBorder="1" applyProtection="1"/>
    <xf numFmtId="183" fontId="47" fillId="0" borderId="7" xfId="0" applyFont="1" applyFill="1" applyBorder="1" applyAlignment="1" applyProtection="1">
      <alignment horizontal="center"/>
    </xf>
    <xf numFmtId="183" fontId="47" fillId="0" borderId="5" xfId="0" applyFont="1" applyFill="1" applyBorder="1" applyAlignment="1" applyProtection="1">
      <alignment horizontal="center"/>
    </xf>
    <xf numFmtId="172" fontId="23" fillId="0" borderId="9" xfId="7" applyNumberFormat="1" applyFont="1" applyFill="1" applyBorder="1" applyAlignment="1" applyProtection="1">
      <alignment horizontal="right"/>
    </xf>
    <xf numFmtId="199" fontId="18" fillId="0" borderId="0" xfId="1" applyNumberFormat="1" applyFont="1" applyFill="1" applyBorder="1" applyProtection="1"/>
    <xf numFmtId="181" fontId="18" fillId="0" borderId="0" xfId="0" applyNumberFormat="1" applyFont="1" applyFill="1" applyBorder="1" applyProtection="1">
      <protection locked="0"/>
    </xf>
    <xf numFmtId="183" fontId="24" fillId="0" borderId="15" xfId="0" applyFont="1" applyFill="1" applyBorder="1" applyAlignment="1" applyProtection="1">
      <alignment horizontal="center" wrapText="1"/>
    </xf>
    <xf numFmtId="169" fontId="18" fillId="0" borderId="13" xfId="76" applyNumberFormat="1" applyFont="1" applyFill="1" applyBorder="1" applyProtection="1">
      <protection locked="0"/>
    </xf>
    <xf numFmtId="9" fontId="18" fillId="0" borderId="11" xfId="7" applyFont="1" applyFill="1" applyBorder="1" applyAlignment="1" applyProtection="1">
      <alignment horizontal="right"/>
    </xf>
    <xf numFmtId="9" fontId="18" fillId="0" borderId="1" xfId="7" applyFont="1" applyFill="1" applyBorder="1" applyAlignment="1" applyProtection="1">
      <alignment horizontal="right"/>
    </xf>
    <xf numFmtId="181" fontId="16" fillId="0" borderId="0" xfId="1" applyNumberFormat="1" applyFont="1" applyFill="1" applyBorder="1" applyAlignment="1" applyProtection="1">
      <alignment horizontal="left"/>
      <protection locked="0"/>
    </xf>
    <xf numFmtId="43" fontId="53" fillId="0" borderId="0" xfId="1" applyFont="1" applyAlignment="1">
      <alignment horizontal="right" vertical="center"/>
    </xf>
    <xf numFmtId="43" fontId="54" fillId="0" borderId="0" xfId="1" applyFont="1" applyAlignment="1">
      <alignment horizontal="right" vertical="center"/>
    </xf>
    <xf numFmtId="183" fontId="25" fillId="0" borderId="11" xfId="0" applyFont="1" applyFill="1" applyBorder="1" applyAlignment="1" applyProtection="1">
      <alignment horizontal="center"/>
      <protection locked="0"/>
    </xf>
    <xf numFmtId="200" fontId="23" fillId="0" borderId="10" xfId="0" applyNumberFormat="1" applyFont="1" applyFill="1" applyBorder="1" applyAlignment="1" applyProtection="1">
      <alignment horizontal="right"/>
    </xf>
    <xf numFmtId="169" fontId="23" fillId="0" borderId="9" xfId="1" applyNumberFormat="1" applyFont="1" applyFill="1" applyBorder="1" applyProtection="1">
      <protection locked="0"/>
    </xf>
    <xf numFmtId="43" fontId="14" fillId="0" borderId="9" xfId="1" applyFont="1" applyFill="1" applyBorder="1" applyAlignment="1" applyProtection="1">
      <alignment horizontal="right"/>
      <protection locked="0"/>
    </xf>
    <xf numFmtId="169" fontId="23" fillId="0" borderId="9" xfId="1" applyNumberFormat="1" applyFont="1" applyFill="1" applyBorder="1" applyAlignment="1" applyProtection="1">
      <alignment horizontal="right"/>
      <protection locked="0"/>
    </xf>
    <xf numFmtId="170" fontId="23" fillId="0" borderId="9" xfId="0" applyNumberFormat="1" applyFont="1" applyFill="1" applyBorder="1" applyProtection="1">
      <protection locked="0"/>
    </xf>
    <xf numFmtId="2" fontId="23" fillId="0" borderId="9" xfId="0" applyNumberFormat="1" applyFont="1" applyFill="1" applyBorder="1" applyProtection="1">
      <protection locked="0"/>
    </xf>
    <xf numFmtId="168" fontId="18" fillId="0" borderId="9" xfId="7" applyNumberFormat="1" applyFont="1" applyFill="1" applyBorder="1" applyAlignment="1" applyProtection="1">
      <protection locked="0"/>
    </xf>
    <xf numFmtId="170" fontId="18" fillId="0" borderId="9" xfId="0" applyNumberFormat="1" applyFont="1" applyFill="1" applyBorder="1" applyAlignment="1" applyProtection="1">
      <protection locked="0"/>
    </xf>
    <xf numFmtId="183" fontId="18" fillId="0" borderId="8" xfId="0" applyFont="1" applyFill="1" applyBorder="1" applyAlignment="1" applyProtection="1">
      <protection locked="0"/>
    </xf>
    <xf numFmtId="183" fontId="47" fillId="0" borderId="3" xfId="0" applyFont="1" applyFill="1" applyBorder="1" applyAlignment="1" applyProtection="1">
      <alignment horizontal="center"/>
      <protection locked="0"/>
    </xf>
    <xf numFmtId="39" fontId="23" fillId="0" borderId="0" xfId="0" applyNumberFormat="1" applyFont="1" applyFill="1" applyBorder="1" applyProtection="1">
      <protection locked="0"/>
    </xf>
    <xf numFmtId="183" fontId="47" fillId="0" borderId="7" xfId="0" applyFont="1" applyFill="1" applyBorder="1" applyAlignment="1" applyProtection="1">
      <alignment horizontal="center"/>
      <protection locked="0"/>
    </xf>
    <xf numFmtId="181" fontId="23" fillId="0" borderId="9" xfId="1" applyNumberFormat="1" applyFont="1" applyFill="1" applyBorder="1" applyProtection="1">
      <protection locked="0"/>
    </xf>
    <xf numFmtId="43" fontId="23" fillId="0" borderId="9" xfId="1" applyFont="1" applyFill="1" applyBorder="1" applyProtection="1">
      <protection locked="0"/>
    </xf>
    <xf numFmtId="39" fontId="23" fillId="0" borderId="9" xfId="0" applyNumberFormat="1" applyFont="1" applyFill="1" applyBorder="1" applyProtection="1">
      <protection locked="0"/>
    </xf>
    <xf numFmtId="168" fontId="18" fillId="0" borderId="9" xfId="7" applyNumberFormat="1" applyFont="1" applyFill="1" applyBorder="1" applyAlignment="1" applyProtection="1">
      <alignment horizontal="center"/>
      <protection locked="0"/>
    </xf>
    <xf numFmtId="168" fontId="118" fillId="0" borderId="9" xfId="7" applyNumberFormat="1" applyFont="1" applyFill="1" applyBorder="1" applyAlignment="1" applyProtection="1">
      <alignment horizontal="right"/>
      <protection locked="0"/>
    </xf>
    <xf numFmtId="173" fontId="18" fillId="0" borderId="9" xfId="0" applyNumberFormat="1" applyFont="1" applyFill="1" applyBorder="1" applyAlignment="1" applyProtection="1">
      <alignment horizontal="center"/>
      <protection locked="0"/>
    </xf>
    <xf numFmtId="183" fontId="23" fillId="0" borderId="8" xfId="0" applyFont="1" applyFill="1" applyBorder="1" applyProtection="1">
      <protection locked="0"/>
    </xf>
    <xf numFmtId="183" fontId="0" fillId="0" borderId="7" xfId="0" applyFill="1" applyBorder="1" applyProtection="1">
      <protection locked="0"/>
    </xf>
    <xf numFmtId="37" fontId="18" fillId="0" borderId="15" xfId="7" applyNumberFormat="1" applyFont="1" applyFill="1" applyBorder="1" applyAlignment="1" applyProtection="1">
      <alignment horizontal="right"/>
      <protection locked="0"/>
    </xf>
    <xf numFmtId="181" fontId="18" fillId="0" borderId="9" xfId="0" applyNumberFormat="1" applyFont="1" applyFill="1" applyBorder="1" applyProtection="1">
      <protection locked="0"/>
    </xf>
    <xf numFmtId="37" fontId="18" fillId="0" borderId="9" xfId="0" applyNumberFormat="1" applyFont="1" applyFill="1" applyBorder="1" applyProtection="1">
      <protection locked="0"/>
    </xf>
    <xf numFmtId="181" fontId="18" fillId="0" borderId="8" xfId="1" applyNumberFormat="1" applyFont="1" applyFill="1" applyBorder="1" applyProtection="1">
      <protection locked="0"/>
    </xf>
    <xf numFmtId="180" fontId="18" fillId="0" borderId="9" xfId="7" applyNumberFormat="1" applyFont="1" applyFill="1" applyBorder="1" applyAlignment="1" applyProtection="1">
      <alignment horizontal="right"/>
      <protection locked="0"/>
    </xf>
    <xf numFmtId="43" fontId="18" fillId="0" borderId="7" xfId="1" applyFont="1" applyFill="1" applyBorder="1" applyAlignment="1" applyProtection="1">
      <alignment horizontal="right"/>
      <protection locked="0"/>
    </xf>
    <xf numFmtId="43" fontId="18" fillId="0" borderId="9" xfId="1" applyFont="1" applyFill="1" applyBorder="1" applyAlignment="1" applyProtection="1">
      <alignment horizontal="right"/>
      <protection locked="0"/>
    </xf>
    <xf numFmtId="37" fontId="18" fillId="0" borderId="7" xfId="0" applyNumberFormat="1" applyFont="1" applyBorder="1" applyProtection="1">
      <protection locked="0"/>
    </xf>
    <xf numFmtId="37" fontId="18" fillId="0" borderId="3" xfId="7" applyNumberFormat="1" applyFont="1" applyFill="1" applyBorder="1" applyAlignment="1" applyProtection="1">
      <alignment horizontal="right"/>
      <protection locked="0"/>
    </xf>
    <xf numFmtId="183" fontId="24" fillId="0" borderId="8" xfId="0" applyNumberFormat="1" applyFont="1" applyFill="1" applyBorder="1" applyAlignment="1" applyProtection="1">
      <alignment horizontal="center"/>
      <protection locked="0"/>
    </xf>
    <xf numFmtId="169" fontId="24" fillId="0" borderId="12" xfId="1" applyNumberFormat="1" applyFont="1" applyFill="1" applyBorder="1" applyProtection="1"/>
    <xf numFmtId="168" fontId="24" fillId="0" borderId="14" xfId="7" applyNumberFormat="1" applyFont="1" applyFill="1" applyBorder="1" applyAlignment="1" applyProtection="1">
      <alignment horizontal="right"/>
    </xf>
    <xf numFmtId="167" fontId="18" fillId="0" borderId="10" xfId="16" applyNumberFormat="1" applyFont="1" applyFill="1" applyBorder="1" applyAlignment="1" applyProtection="1">
      <alignment horizontal="right"/>
      <protection locked="0"/>
    </xf>
    <xf numFmtId="43" fontId="18" fillId="0" borderId="10" xfId="1" applyFont="1" applyFill="1" applyBorder="1" applyAlignment="1" applyProtection="1">
      <alignment horizontal="right"/>
      <protection locked="0"/>
    </xf>
    <xf numFmtId="169" fontId="18" fillId="0" borderId="10" xfId="75" applyNumberFormat="1" applyFont="1" applyFill="1" applyBorder="1" applyAlignment="1" applyProtection="1">
      <alignment horizontal="right"/>
      <protection locked="0"/>
    </xf>
    <xf numFmtId="167" fontId="18" fillId="0" borderId="5" xfId="13" applyNumberFormat="1" applyFont="1" applyFill="1" applyBorder="1" applyAlignment="1" applyProtection="1">
      <alignment horizontal="right"/>
      <protection locked="0"/>
    </xf>
    <xf numFmtId="167" fontId="18" fillId="0" borderId="16" xfId="13" applyNumberFormat="1" applyFont="1" applyFill="1" applyBorder="1" applyAlignment="1" applyProtection="1">
      <alignment horizontal="right"/>
      <protection locked="0"/>
    </xf>
    <xf numFmtId="37" fontId="18" fillId="0" borderId="10" xfId="75" applyNumberFormat="1" applyFont="1" applyFill="1" applyBorder="1" applyProtection="1">
      <protection locked="0"/>
    </xf>
    <xf numFmtId="37" fontId="18" fillId="0" borderId="12" xfId="75" applyNumberFormat="1" applyFont="1" applyFill="1" applyBorder="1" applyProtection="1">
      <protection locked="0"/>
    </xf>
    <xf numFmtId="169" fontId="18" fillId="0" borderId="12" xfId="76" applyNumberFormat="1" applyFont="1" applyFill="1" applyBorder="1" applyProtection="1">
      <protection locked="0"/>
    </xf>
    <xf numFmtId="37" fontId="18" fillId="0" borderId="12" xfId="13" applyNumberFormat="1" applyFont="1" applyFill="1" applyBorder="1" applyProtection="1">
      <protection locked="0"/>
    </xf>
    <xf numFmtId="169" fontId="18" fillId="0" borderId="12" xfId="13" applyNumberFormat="1" applyFont="1" applyFill="1" applyBorder="1" applyAlignment="1" applyProtection="1">
      <alignment horizontal="right"/>
      <protection locked="0"/>
    </xf>
    <xf numFmtId="37" fontId="18" fillId="0" borderId="12" xfId="75" applyNumberFormat="1" applyFont="1" applyBorder="1" applyProtection="1">
      <protection locked="0"/>
    </xf>
    <xf numFmtId="169" fontId="18" fillId="0" borderId="12" xfId="157" applyNumberFormat="1" applyFont="1" applyFill="1" applyBorder="1" applyProtection="1">
      <protection locked="0"/>
    </xf>
    <xf numFmtId="181" fontId="18" fillId="0" borderId="12" xfId="1" applyNumberFormat="1" applyFont="1" applyBorder="1" applyProtection="1">
      <protection locked="0"/>
    </xf>
    <xf numFmtId="181" fontId="18" fillId="0" borderId="10" xfId="1" applyNumberFormat="1" applyFont="1" applyBorder="1" applyProtection="1">
      <protection locked="0"/>
    </xf>
    <xf numFmtId="37" fontId="18" fillId="0" borderId="8" xfId="16" applyNumberFormat="1" applyFont="1" applyFill="1" applyBorder="1" applyAlignment="1" applyProtection="1">
      <alignment horizontal="right"/>
      <protection locked="0"/>
    </xf>
    <xf numFmtId="183" fontId="24" fillId="0" borderId="12" xfId="0" applyFont="1" applyFill="1" applyBorder="1" applyAlignment="1" applyProtection="1">
      <alignment horizontal="center"/>
    </xf>
    <xf numFmtId="181" fontId="18" fillId="0" borderId="15" xfId="0" applyNumberFormat="1" applyFont="1" applyBorder="1" applyProtection="1">
      <protection locked="0"/>
    </xf>
    <xf numFmtId="181" fontId="0" fillId="0" borderId="0" xfId="0" applyNumberFormat="1" applyFill="1" applyBorder="1" applyAlignment="1" applyProtection="1">
      <protection locked="0"/>
    </xf>
    <xf numFmtId="181" fontId="0" fillId="0" borderId="0" xfId="0" applyNumberFormat="1" applyBorder="1" applyProtection="1">
      <protection locked="0"/>
    </xf>
    <xf numFmtId="181" fontId="18" fillId="0" borderId="18" xfId="1" applyNumberFormat="1" applyFont="1" applyFill="1" applyBorder="1" applyProtection="1">
      <protection locked="0"/>
    </xf>
    <xf numFmtId="169" fontId="18" fillId="0" borderId="5" xfId="1" applyNumberFormat="1" applyFont="1" applyFill="1" applyBorder="1" applyProtection="1">
      <protection locked="0"/>
    </xf>
    <xf numFmtId="0" fontId="24" fillId="0" borderId="0" xfId="75" applyFont="1" applyFill="1" applyAlignment="1" applyProtection="1">
      <alignment wrapText="1"/>
    </xf>
    <xf numFmtId="183" fontId="24" fillId="0" borderId="0" xfId="0" applyFont="1" applyFill="1" applyAlignment="1" applyProtection="1">
      <alignment wrapText="1"/>
    </xf>
    <xf numFmtId="170" fontId="122" fillId="0" borderId="9" xfId="0" applyNumberFormat="1" applyFont="1" applyFill="1" applyBorder="1" applyProtection="1">
      <protection locked="0"/>
    </xf>
    <xf numFmtId="168" fontId="18" fillId="0" borderId="3" xfId="7" applyNumberFormat="1" applyFont="1" applyFill="1" applyBorder="1" applyAlignment="1" applyProtection="1">
      <alignment horizontal="center"/>
    </xf>
    <xf numFmtId="169" fontId="18" fillId="0" borderId="13" xfId="157" applyNumberFormat="1" applyFont="1" applyFill="1" applyBorder="1" applyProtection="1">
      <protection locked="0"/>
    </xf>
    <xf numFmtId="169" fontId="18" fillId="0" borderId="10" xfId="0" applyNumberFormat="1" applyFont="1" applyFill="1" applyBorder="1" applyProtection="1">
      <protection locked="0"/>
    </xf>
    <xf numFmtId="183" fontId="59" fillId="0" borderId="0" xfId="0" applyFont="1" applyBorder="1" applyProtection="1">
      <protection locked="0"/>
    </xf>
    <xf numFmtId="171" fontId="18" fillId="0" borderId="9" xfId="1" applyNumberFormat="1" applyFont="1" applyFill="1" applyBorder="1" applyAlignment="1" applyProtection="1">
      <alignment horizontal="right"/>
    </xf>
    <xf numFmtId="171" fontId="18" fillId="0" borderId="9" xfId="7" applyNumberFormat="1" applyFont="1" applyFill="1" applyBorder="1" applyProtection="1"/>
    <xf numFmtId="183" fontId="13" fillId="0" borderId="0" xfId="0" applyFont="1" applyFill="1" applyAlignment="1" applyProtection="1">
      <alignment horizontal="left" wrapText="1"/>
      <protection locked="0"/>
    </xf>
    <xf numFmtId="9" fontId="13" fillId="0" borderId="0" xfId="7" applyFill="1" applyBorder="1" applyProtection="1">
      <protection locked="0"/>
    </xf>
    <xf numFmtId="181" fontId="13" fillId="0" borderId="0" xfId="1" applyNumberFormat="1" applyFill="1" applyBorder="1" applyProtection="1">
      <protection locked="0"/>
    </xf>
    <xf numFmtId="183" fontId="34" fillId="0" borderId="0" xfId="0" applyFont="1" applyBorder="1" applyAlignment="1">
      <alignment horizontal="left" indent="2"/>
    </xf>
    <xf numFmtId="183" fontId="13" fillId="0" borderId="10" xfId="0" applyFont="1" applyBorder="1" applyAlignment="1">
      <alignment horizontal="left" indent="2"/>
    </xf>
    <xf numFmtId="183" fontId="15" fillId="0" borderId="0" xfId="0" applyFont="1" applyBorder="1" applyProtection="1"/>
    <xf numFmtId="183" fontId="162" fillId="0" borderId="28" xfId="0" applyFont="1" applyFill="1" applyBorder="1" applyAlignment="1">
      <alignment horizontal="center" vertical="center" wrapText="1"/>
    </xf>
    <xf numFmtId="183" fontId="162" fillId="0" borderId="23" xfId="0" applyFont="1" applyFill="1" applyBorder="1" applyAlignment="1">
      <alignment horizontal="center" vertical="center" wrapText="1"/>
    </xf>
    <xf numFmtId="183" fontId="161" fillId="0" borderId="22" xfId="0" applyFont="1" applyFill="1" applyBorder="1" applyAlignment="1">
      <alignment vertical="center" wrapText="1"/>
    </xf>
    <xf numFmtId="183" fontId="160" fillId="0" borderId="22" xfId="0" applyFont="1" applyFill="1" applyBorder="1" applyAlignment="1">
      <alignment horizontal="center" vertical="center" wrapText="1"/>
    </xf>
    <xf numFmtId="183" fontId="160" fillId="0" borderId="24" xfId="0" applyFont="1" applyFill="1" applyBorder="1" applyAlignment="1">
      <alignment horizontal="center" vertical="center" wrapText="1"/>
    </xf>
    <xf numFmtId="183" fontId="160" fillId="0" borderId="23" xfId="0" applyFont="1" applyFill="1" applyBorder="1" applyAlignment="1">
      <alignment horizontal="center" vertical="center" wrapText="1"/>
    </xf>
    <xf numFmtId="183" fontId="160" fillId="0" borderId="35" xfId="0" applyFont="1" applyFill="1" applyBorder="1" applyAlignment="1">
      <alignment horizontal="center" vertical="center" wrapText="1"/>
    </xf>
    <xf numFmtId="183" fontId="161" fillId="0" borderId="33" xfId="0" applyFont="1" applyFill="1" applyBorder="1" applyAlignment="1">
      <alignment vertical="center"/>
    </xf>
    <xf numFmtId="201" fontId="36" fillId="0" borderId="20" xfId="0" applyNumberFormat="1" applyFont="1" applyFill="1" applyBorder="1" applyAlignment="1">
      <alignment horizontal="right" vertical="center"/>
    </xf>
    <xf numFmtId="202" fontId="36" fillId="0" borderId="0" xfId="0" applyNumberFormat="1" applyFont="1" applyFill="1" applyBorder="1" applyAlignment="1">
      <alignment horizontal="right" vertical="center"/>
    </xf>
    <xf numFmtId="201" fontId="36" fillId="0" borderId="21" xfId="0" applyNumberFormat="1" applyFont="1" applyFill="1" applyBorder="1" applyAlignment="1">
      <alignment horizontal="right" vertical="center"/>
    </xf>
    <xf numFmtId="201" fontId="36" fillId="0" borderId="33" xfId="0" applyNumberFormat="1" applyFont="1" applyFill="1" applyBorder="1" applyAlignment="1">
      <alignment horizontal="right" vertical="center"/>
    </xf>
    <xf numFmtId="183" fontId="161" fillId="0" borderId="32" xfId="0" applyFont="1" applyFill="1" applyBorder="1" applyAlignment="1">
      <alignment vertical="center" wrapText="1"/>
    </xf>
    <xf numFmtId="201" fontId="36" fillId="0" borderId="29" xfId="0" applyNumberFormat="1" applyFont="1" applyFill="1" applyBorder="1" applyAlignment="1">
      <alignment horizontal="right" vertical="center"/>
    </xf>
    <xf numFmtId="201" fontId="36" fillId="0" borderId="27" xfId="0" applyNumberFormat="1" applyFont="1" applyFill="1" applyBorder="1" applyAlignment="1">
      <alignment horizontal="right" vertical="center"/>
    </xf>
    <xf numFmtId="201" fontId="36" fillId="0" borderId="28" xfId="0" applyNumberFormat="1" applyFont="1" applyFill="1" applyBorder="1" applyAlignment="1">
      <alignment horizontal="right" vertical="center"/>
    </xf>
    <xf numFmtId="201" fontId="36" fillId="0" borderId="32" xfId="0" applyNumberFormat="1" applyFont="1" applyFill="1" applyBorder="1" applyAlignment="1">
      <alignment horizontal="right" vertical="center"/>
    </xf>
    <xf numFmtId="183" fontId="162" fillId="0" borderId="33" xfId="0" applyFont="1" applyFill="1" applyBorder="1" applyAlignment="1">
      <alignment vertical="center"/>
    </xf>
    <xf numFmtId="201" fontId="36" fillId="0" borderId="0" xfId="0" applyNumberFormat="1" applyFont="1" applyFill="1" applyBorder="1" applyAlignment="1">
      <alignment vertical="center"/>
    </xf>
    <xf numFmtId="201" fontId="36" fillId="0" borderId="21" xfId="0" applyNumberFormat="1" applyFont="1" applyFill="1" applyBorder="1" applyAlignment="1">
      <alignment vertical="center"/>
    </xf>
    <xf numFmtId="201" fontId="36" fillId="0" borderId="33" xfId="0" applyNumberFormat="1" applyFont="1" applyFill="1" applyBorder="1" applyAlignment="1">
      <alignment vertical="center"/>
    </xf>
    <xf numFmtId="183" fontId="161" fillId="0" borderId="33" xfId="0" applyFont="1" applyFill="1" applyBorder="1" applyAlignment="1">
      <alignment horizontal="left" vertical="center" indent="1"/>
    </xf>
    <xf numFmtId="201" fontId="36" fillId="0" borderId="0" xfId="0" applyNumberFormat="1" applyFont="1" applyFill="1" applyBorder="1" applyAlignment="1">
      <alignment horizontal="right" vertical="center"/>
    </xf>
    <xf numFmtId="201" fontId="40" fillId="0" borderId="21" xfId="0" applyNumberFormat="1" applyFont="1" applyFill="1" applyBorder="1" applyAlignment="1">
      <alignment horizontal="right" vertical="center"/>
    </xf>
    <xf numFmtId="183" fontId="161" fillId="0" borderId="34" xfId="0" applyFont="1" applyFill="1" applyBorder="1" applyAlignment="1">
      <alignment vertical="center"/>
    </xf>
    <xf numFmtId="201" fontId="40" fillId="0" borderId="28" xfId="0" applyNumberFormat="1" applyFont="1" applyFill="1" applyBorder="1" applyAlignment="1">
      <alignment horizontal="right" vertical="center"/>
    </xf>
    <xf numFmtId="183" fontId="161" fillId="0" borderId="33" xfId="0" applyFont="1" applyFill="1" applyBorder="1" applyAlignment="1">
      <alignment vertical="center" wrapText="1"/>
    </xf>
    <xf numFmtId="201" fontId="36" fillId="0" borderId="20" xfId="0" applyNumberFormat="1" applyFont="1" applyFill="1" applyBorder="1" applyAlignment="1">
      <alignment vertical="center"/>
    </xf>
    <xf numFmtId="183" fontId="161" fillId="0" borderId="76" xfId="0" applyFont="1" applyFill="1" applyBorder="1" applyAlignment="1">
      <alignment vertical="center"/>
    </xf>
    <xf numFmtId="201" fontId="36" fillId="0" borderId="77" xfId="0" applyNumberFormat="1" applyFont="1" applyFill="1" applyBorder="1" applyAlignment="1">
      <alignment horizontal="right" vertical="center"/>
    </xf>
    <xf numFmtId="201" fontId="36" fillId="0" borderId="78" xfId="0" applyNumberFormat="1" applyFont="1" applyFill="1" applyBorder="1" applyAlignment="1">
      <alignment horizontal="right" vertical="center"/>
    </xf>
    <xf numFmtId="201" fontId="40" fillId="0" borderId="79" xfId="0" applyNumberFormat="1" applyFont="1" applyFill="1" applyBorder="1" applyAlignment="1">
      <alignment horizontal="right" vertical="center"/>
    </xf>
    <xf numFmtId="201" fontId="36" fillId="0" borderId="76" xfId="0" applyNumberFormat="1" applyFont="1" applyFill="1" applyBorder="1" applyAlignment="1">
      <alignment horizontal="right" vertical="center"/>
    </xf>
    <xf numFmtId="201" fontId="36" fillId="0" borderId="79" xfId="0" applyNumberFormat="1" applyFont="1" applyFill="1" applyBorder="1" applyAlignment="1">
      <alignment horizontal="right" vertical="center"/>
    </xf>
    <xf numFmtId="44" fontId="40" fillId="0" borderId="20" xfId="2239" applyFont="1" applyFill="1" applyBorder="1" applyAlignment="1">
      <alignment vertical="center"/>
    </xf>
    <xf numFmtId="44" fontId="40" fillId="0" borderId="0" xfId="2239" applyFont="1" applyFill="1" applyBorder="1" applyAlignment="1">
      <alignment vertical="center"/>
    </xf>
    <xf numFmtId="44" fontId="40" fillId="0" borderId="33" xfId="2239" applyFont="1" applyFill="1" applyBorder="1" applyAlignment="1">
      <alignment vertical="center"/>
    </xf>
    <xf numFmtId="183" fontId="161" fillId="0" borderId="35" xfId="0" applyFont="1" applyFill="1" applyBorder="1" applyAlignment="1">
      <alignment vertical="center"/>
    </xf>
    <xf numFmtId="203" fontId="40" fillId="0" borderId="22" xfId="0" applyNumberFormat="1" applyFont="1" applyFill="1" applyBorder="1" applyAlignment="1">
      <alignment vertical="center"/>
    </xf>
    <xf numFmtId="203" fontId="40" fillId="0" borderId="24" xfId="0" applyNumberFormat="1" applyFont="1" applyFill="1" applyBorder="1" applyAlignment="1">
      <alignment vertical="center"/>
    </xf>
    <xf numFmtId="203" fontId="40" fillId="0" borderId="23" xfId="0" applyNumberFormat="1" applyFont="1" applyFill="1" applyBorder="1" applyAlignment="1">
      <alignment vertical="center"/>
    </xf>
    <xf numFmtId="44" fontId="40" fillId="0" borderId="35" xfId="2239" applyFont="1" applyFill="1" applyBorder="1" applyAlignment="1">
      <alignment horizontal="right" vertical="center"/>
    </xf>
    <xf numFmtId="44" fontId="40" fillId="0" borderId="23" xfId="2239" applyFont="1" applyFill="1" applyBorder="1" applyAlignment="1">
      <alignment horizontal="right" vertical="center"/>
    </xf>
    <xf numFmtId="183" fontId="122" fillId="0" borderId="0" xfId="0" applyFont="1" applyFill="1" applyAlignment="1">
      <alignment horizontal="left" vertical="center" indent="2"/>
    </xf>
    <xf numFmtId="187" fontId="36" fillId="0" borderId="0" xfId="4" applyNumberFormat="1" applyFont="1" applyFill="1" applyBorder="1" applyAlignment="1">
      <alignment horizontal="right" vertical="center"/>
    </xf>
    <xf numFmtId="171" fontId="18" fillId="0" borderId="0" xfId="2917" applyNumberFormat="1" applyFont="1" applyFill="1" applyBorder="1" applyAlignment="1" applyProtection="1">
      <alignment horizontal="right"/>
    </xf>
    <xf numFmtId="183" fontId="30" fillId="0" borderId="0" xfId="0" applyFont="1" applyAlignment="1">
      <alignment horizontal="center" wrapText="1"/>
    </xf>
    <xf numFmtId="183" fontId="0" fillId="0" borderId="0" xfId="0" applyAlignment="1">
      <alignment wrapText="1"/>
    </xf>
    <xf numFmtId="183" fontId="29" fillId="0" borderId="0" xfId="0" applyFont="1" applyAlignment="1">
      <alignment horizontal="center" wrapText="1"/>
    </xf>
    <xf numFmtId="183" fontId="13" fillId="0" borderId="10" xfId="0" applyFont="1" applyBorder="1" applyAlignment="1">
      <alignment horizontal="left" wrapText="1" indent="2"/>
    </xf>
    <xf numFmtId="183" fontId="0" fillId="0" borderId="0" xfId="0" applyBorder="1" applyAlignment="1">
      <alignment horizontal="left" indent="2"/>
    </xf>
    <xf numFmtId="183" fontId="34" fillId="0" borderId="10" xfId="0" applyFont="1" applyBorder="1" applyAlignment="1">
      <alignment horizontal="left" indent="2"/>
    </xf>
    <xf numFmtId="183" fontId="34" fillId="0" borderId="0" xfId="0" applyFont="1" applyBorder="1" applyAlignment="1">
      <alignment horizontal="left" indent="2"/>
    </xf>
    <xf numFmtId="183" fontId="13" fillId="0" borderId="10" xfId="0" applyFont="1" applyBorder="1" applyAlignment="1">
      <alignment horizontal="left" indent="2"/>
    </xf>
    <xf numFmtId="183" fontId="13" fillId="0" borderId="0" xfId="0" applyFont="1" applyFill="1" applyAlignment="1" applyProtection="1">
      <alignment horizontal="left" wrapText="1"/>
      <protection locked="0"/>
    </xf>
    <xf numFmtId="183" fontId="13" fillId="0" borderId="0" xfId="0" applyFont="1" applyFill="1" applyAlignment="1" applyProtection="1">
      <alignment horizontal="left" vertical="top" wrapText="1"/>
      <protection locked="0"/>
    </xf>
    <xf numFmtId="183" fontId="34" fillId="0" borderId="0" xfId="0" applyFont="1" applyFill="1" applyAlignment="1" applyProtection="1">
      <alignment horizontal="left" vertical="top" wrapText="1"/>
      <protection locked="0"/>
    </xf>
    <xf numFmtId="183" fontId="0" fillId="0" borderId="0" xfId="0" applyFill="1" applyAlignment="1" applyProtection="1">
      <alignment horizontal="left" vertical="top" wrapText="1"/>
      <protection locked="0"/>
    </xf>
    <xf numFmtId="183" fontId="13" fillId="0" borderId="0" xfId="0" applyFont="1" applyFill="1" applyAlignment="1">
      <alignment horizontal="left" wrapText="1"/>
    </xf>
    <xf numFmtId="183" fontId="34" fillId="0" borderId="0" xfId="0" applyFont="1" applyFill="1" applyAlignment="1">
      <alignment horizontal="left" wrapText="1"/>
    </xf>
    <xf numFmtId="183" fontId="0" fillId="0" borderId="0" xfId="0" applyFill="1" applyAlignment="1">
      <alignment horizontal="left" wrapText="1"/>
    </xf>
    <xf numFmtId="183" fontId="34" fillId="0" borderId="10" xfId="0" applyFont="1" applyBorder="1" applyAlignment="1">
      <alignment horizontal="left" wrapText="1" indent="2"/>
    </xf>
    <xf numFmtId="183" fontId="34" fillId="0" borderId="5" xfId="0" applyFont="1" applyBorder="1" applyAlignment="1">
      <alignment horizontal="left" wrapText="1" indent="2"/>
    </xf>
    <xf numFmtId="183" fontId="0" fillId="0" borderId="6" xfId="0" applyBorder="1" applyAlignment="1">
      <alignment horizontal="left" indent="2"/>
    </xf>
    <xf numFmtId="183" fontId="14" fillId="0" borderId="0" xfId="0" applyFont="1" applyFill="1" applyBorder="1" applyAlignment="1" applyProtection="1">
      <alignment horizontal="center"/>
    </xf>
    <xf numFmtId="183" fontId="25" fillId="0" borderId="11" xfId="0" applyFont="1" applyFill="1" applyBorder="1" applyAlignment="1" applyProtection="1">
      <alignment horizontal="center"/>
    </xf>
    <xf numFmtId="183" fontId="24" fillId="0" borderId="2" xfId="0" applyFont="1" applyFill="1" applyBorder="1" applyAlignment="1" applyProtection="1">
      <alignment horizontal="center"/>
    </xf>
    <xf numFmtId="183" fontId="24" fillId="0" borderId="4" xfId="0" applyFont="1" applyFill="1" applyBorder="1" applyAlignment="1" applyProtection="1">
      <alignment horizontal="center"/>
    </xf>
    <xf numFmtId="183" fontId="14" fillId="0" borderId="5" xfId="0" applyFont="1" applyFill="1" applyBorder="1" applyAlignment="1" applyProtection="1">
      <alignment horizontal="center"/>
    </xf>
    <xf numFmtId="183" fontId="25" fillId="0" borderId="1" xfId="0" applyFont="1" applyFill="1" applyBorder="1" applyAlignment="1" applyProtection="1">
      <alignment horizontal="center"/>
    </xf>
    <xf numFmtId="183" fontId="14" fillId="0" borderId="1" xfId="0" applyFont="1" applyFill="1" applyBorder="1" applyAlignment="1" applyProtection="1">
      <alignment horizontal="center"/>
    </xf>
    <xf numFmtId="183" fontId="18" fillId="0" borderId="10" xfId="0" applyFont="1" applyFill="1" applyBorder="1" applyAlignment="1" applyProtection="1">
      <alignment horizontal="center"/>
    </xf>
    <xf numFmtId="183" fontId="18" fillId="0" borderId="11" xfId="0" applyFont="1" applyFill="1" applyBorder="1" applyAlignment="1" applyProtection="1">
      <alignment horizontal="center"/>
    </xf>
    <xf numFmtId="183" fontId="24" fillId="0" borderId="3" xfId="0" applyFont="1" applyFill="1" applyBorder="1" applyAlignment="1" applyProtection="1">
      <alignment horizontal="center"/>
    </xf>
    <xf numFmtId="183" fontId="153" fillId="0" borderId="0" xfId="0" applyFont="1" applyAlignment="1">
      <alignment horizontal="center" vertical="center" wrapText="1"/>
    </xf>
    <xf numFmtId="183" fontId="147" fillId="0" borderId="0" xfId="0" applyFont="1" applyFill="1" applyBorder="1" applyAlignment="1">
      <alignment horizontal="center" vertical="center" wrapText="1"/>
    </xf>
    <xf numFmtId="183" fontId="147" fillId="0" borderId="0" xfId="0" applyFont="1" applyFill="1" applyBorder="1" applyAlignment="1">
      <alignment horizontal="justify" vertical="center" wrapText="1"/>
    </xf>
    <xf numFmtId="2" fontId="53" fillId="0" borderId="0" xfId="1" applyNumberFormat="1" applyFont="1" applyFill="1" applyAlignment="1">
      <alignment horizontal="center" vertical="center" wrapText="1"/>
    </xf>
    <xf numFmtId="2" fontId="53" fillId="0" borderId="0" xfId="1" applyNumberFormat="1" applyFont="1" applyAlignment="1">
      <alignment horizontal="center" vertical="center" wrapText="1"/>
    </xf>
    <xf numFmtId="2" fontId="53" fillId="0" borderId="0" xfId="412" applyNumberFormat="1" applyFont="1" applyAlignment="1">
      <alignment horizontal="center" vertical="center" wrapText="1"/>
    </xf>
    <xf numFmtId="2" fontId="53" fillId="0" borderId="0" xfId="412" applyNumberFormat="1" applyFont="1" applyFill="1" applyAlignment="1">
      <alignment horizontal="center" vertical="center" wrapText="1"/>
    </xf>
    <xf numFmtId="0" fontId="53" fillId="0" borderId="0" xfId="412" applyNumberFormat="1" applyFont="1" applyAlignment="1">
      <alignment horizontal="center" vertical="center" wrapText="1"/>
    </xf>
    <xf numFmtId="0" fontId="53" fillId="0" borderId="0" xfId="1" applyNumberFormat="1" applyFont="1" applyAlignment="1">
      <alignment horizontal="center" vertical="center" wrapText="1"/>
    </xf>
    <xf numFmtId="2" fontId="53" fillId="0" borderId="0" xfId="1" applyNumberFormat="1" applyFont="1" applyFill="1" applyBorder="1" applyAlignment="1">
      <alignment horizontal="center" vertical="center" wrapText="1"/>
    </xf>
    <xf numFmtId="183" fontId="147" fillId="0" borderId="24" xfId="0" applyFont="1" applyBorder="1" applyAlignment="1">
      <alignment horizontal="center" vertical="center" wrapText="1"/>
    </xf>
    <xf numFmtId="183" fontId="147" fillId="0" borderId="0" xfId="0" applyFont="1" applyAlignment="1">
      <alignment horizontal="justify" vertical="center" wrapText="1"/>
    </xf>
    <xf numFmtId="183" fontId="147" fillId="0" borderId="0" xfId="0" applyFont="1" applyAlignment="1">
      <alignment horizontal="center" vertical="center" wrapText="1"/>
    </xf>
    <xf numFmtId="183" fontId="152" fillId="0" borderId="0" xfId="0" applyFont="1" applyAlignment="1">
      <alignment vertical="center" wrapText="1"/>
    </xf>
    <xf numFmtId="0" fontId="53" fillId="0" borderId="28" xfId="412" applyNumberFormat="1" applyFont="1" applyFill="1" applyBorder="1" applyAlignment="1">
      <alignment horizontal="right" vertical="center" wrapText="1"/>
    </xf>
    <xf numFmtId="0" fontId="53" fillId="0" borderId="21" xfId="412" applyNumberFormat="1" applyFont="1" applyFill="1" applyBorder="1" applyAlignment="1">
      <alignment horizontal="right" vertical="center" wrapText="1"/>
    </xf>
    <xf numFmtId="0" fontId="53" fillId="0" borderId="23" xfId="412" applyNumberFormat="1" applyFont="1" applyFill="1" applyBorder="1" applyAlignment="1">
      <alignment horizontal="right" vertical="center" wrapText="1"/>
    </xf>
    <xf numFmtId="43" fontId="53" fillId="0" borderId="61" xfId="1" applyFont="1" applyFill="1" applyBorder="1" applyAlignment="1">
      <alignment horizontal="center" vertical="center"/>
    </xf>
    <xf numFmtId="43" fontId="133" fillId="0" borderId="63" xfId="1" applyFont="1" applyFill="1" applyBorder="1" applyAlignment="1">
      <alignment vertical="center" wrapText="1"/>
    </xf>
    <xf numFmtId="43" fontId="133" fillId="0" borderId="62" xfId="1" applyFont="1" applyFill="1" applyBorder="1" applyAlignment="1">
      <alignment vertical="center" wrapText="1"/>
    </xf>
    <xf numFmtId="43" fontId="53" fillId="0" borderId="27" xfId="1" applyFont="1" applyFill="1" applyBorder="1" applyAlignment="1">
      <alignment horizontal="center" vertical="center" wrapText="1"/>
    </xf>
    <xf numFmtId="43" fontId="53" fillId="0" borderId="27" xfId="1" applyFont="1" applyFill="1" applyBorder="1" applyAlignment="1">
      <alignment horizontal="right" vertical="center" wrapText="1"/>
    </xf>
    <xf numFmtId="43" fontId="53" fillId="0" borderId="24" xfId="1" applyFont="1" applyFill="1" applyBorder="1" applyAlignment="1">
      <alignment horizontal="right" vertical="center" wrapText="1"/>
    </xf>
    <xf numFmtId="43" fontId="53" fillId="0" borderId="28" xfId="1" applyFont="1" applyFill="1" applyBorder="1" applyAlignment="1">
      <alignment horizontal="right" vertical="center" wrapText="1"/>
    </xf>
    <xf numFmtId="43" fontId="53" fillId="0" borderId="23" xfId="1" applyFont="1" applyFill="1" applyBorder="1" applyAlignment="1">
      <alignment horizontal="right" vertical="center" wrapText="1"/>
    </xf>
    <xf numFmtId="43" fontId="53" fillId="0" borderId="24" xfId="1" applyFont="1" applyFill="1" applyBorder="1" applyAlignment="1">
      <alignment horizontal="center" vertical="center" wrapText="1"/>
    </xf>
    <xf numFmtId="2" fontId="53" fillId="0" borderId="0" xfId="412" applyNumberFormat="1" applyFont="1" applyFill="1" applyBorder="1" applyAlignment="1">
      <alignment horizontal="center" vertical="center" wrapText="1"/>
    </xf>
    <xf numFmtId="183" fontId="53" fillId="0" borderId="29" xfId="412" applyFont="1" applyBorder="1" applyAlignment="1">
      <alignment vertical="center"/>
    </xf>
    <xf numFmtId="183" fontId="53" fillId="0" borderId="20" xfId="412" applyFont="1" applyBorder="1" applyAlignment="1">
      <alignment vertical="center"/>
    </xf>
    <xf numFmtId="0" fontId="53" fillId="0" borderId="27" xfId="412" applyNumberFormat="1" applyFont="1" applyBorder="1" applyAlignment="1">
      <alignment horizontal="right" vertical="center" wrapText="1"/>
    </xf>
    <xf numFmtId="0" fontId="53" fillId="0" borderId="0" xfId="412" applyNumberFormat="1" applyFont="1" applyBorder="1" applyAlignment="1">
      <alignment horizontal="right" vertical="center" wrapText="1"/>
    </xf>
    <xf numFmtId="0" fontId="53" fillId="0" borderId="24" xfId="412" applyNumberFormat="1" applyFont="1" applyBorder="1" applyAlignment="1">
      <alignment horizontal="right" vertical="center" wrapText="1"/>
    </xf>
    <xf numFmtId="0" fontId="53" fillId="0" borderId="28" xfId="412" applyNumberFormat="1" applyFont="1" applyFill="1" applyBorder="1" applyAlignment="1">
      <alignment horizontal="right" vertical="center"/>
    </xf>
    <xf numFmtId="0" fontId="53" fillId="0" borderId="21" xfId="412" applyNumberFormat="1" applyFont="1" applyFill="1" applyBorder="1" applyAlignment="1">
      <alignment horizontal="right" vertical="center"/>
    </xf>
    <xf numFmtId="0" fontId="53" fillId="0" borderId="23" xfId="412" applyNumberFormat="1" applyFont="1" applyFill="1" applyBorder="1" applyAlignment="1">
      <alignment horizontal="right" vertical="center"/>
    </xf>
    <xf numFmtId="2" fontId="53" fillId="0" borderId="29" xfId="412" applyNumberFormat="1" applyFont="1" applyBorder="1" applyAlignment="1">
      <alignment vertical="center"/>
    </xf>
    <xf numFmtId="2" fontId="53" fillId="0" borderId="20" xfId="412" applyNumberFormat="1" applyFont="1" applyBorder="1" applyAlignment="1">
      <alignment vertical="center"/>
    </xf>
    <xf numFmtId="2" fontId="53" fillId="0" borderId="27" xfId="412" applyNumberFormat="1" applyFont="1" applyBorder="1" applyAlignment="1">
      <alignment horizontal="right" vertical="center" wrapText="1"/>
    </xf>
    <xf numFmtId="2" fontId="53" fillId="0" borderId="0" xfId="412" applyNumberFormat="1" applyFont="1" applyBorder="1" applyAlignment="1">
      <alignment horizontal="right" vertical="center" wrapText="1"/>
    </xf>
    <xf numFmtId="2" fontId="53" fillId="0" borderId="24" xfId="412" applyNumberFormat="1" applyFont="1" applyBorder="1" applyAlignment="1">
      <alignment horizontal="right" vertical="center" wrapText="1"/>
    </xf>
    <xf numFmtId="2" fontId="53" fillId="0" borderId="28" xfId="412" applyNumberFormat="1" applyFont="1" applyFill="1" applyBorder="1" applyAlignment="1">
      <alignment horizontal="right" vertical="center" wrapText="1"/>
    </xf>
    <xf numFmtId="2" fontId="53" fillId="0" borderId="21" xfId="412" applyNumberFormat="1" applyFont="1" applyFill="1" applyBorder="1" applyAlignment="1">
      <alignment horizontal="right" vertical="center" wrapText="1"/>
    </xf>
    <xf numFmtId="2" fontId="53" fillId="0" borderId="23" xfId="412" applyNumberFormat="1" applyFont="1" applyFill="1" applyBorder="1" applyAlignment="1">
      <alignment horizontal="right" vertical="center" wrapText="1"/>
    </xf>
    <xf numFmtId="183" fontId="136" fillId="0" borderId="29" xfId="412" applyFont="1" applyBorder="1" applyAlignment="1">
      <alignment vertical="center"/>
    </xf>
    <xf numFmtId="183" fontId="136" fillId="0" borderId="20" xfId="412" applyFont="1" applyBorder="1" applyAlignment="1">
      <alignment vertical="center"/>
    </xf>
    <xf numFmtId="49" fontId="53" fillId="0" borderId="27" xfId="1" applyNumberFormat="1" applyFont="1" applyBorder="1" applyAlignment="1">
      <alignment horizontal="right" vertical="center" wrapText="1"/>
    </xf>
    <xf numFmtId="49" fontId="53" fillId="0" borderId="0" xfId="1" applyNumberFormat="1" applyFont="1" applyBorder="1" applyAlignment="1">
      <alignment horizontal="right" vertical="center" wrapText="1"/>
    </xf>
    <xf numFmtId="49" fontId="53" fillId="0" borderId="24" xfId="1" applyNumberFormat="1" applyFont="1" applyBorder="1" applyAlignment="1">
      <alignment horizontal="right" vertical="center" wrapText="1"/>
    </xf>
    <xf numFmtId="43" fontId="53" fillId="0" borderId="21" xfId="1" applyFont="1" applyFill="1" applyBorder="1" applyAlignment="1">
      <alignment horizontal="right" vertical="center" wrapText="1"/>
    </xf>
    <xf numFmtId="2" fontId="53" fillId="0" borderId="27" xfId="412" applyNumberFormat="1" applyFont="1" applyFill="1" applyBorder="1" applyAlignment="1">
      <alignment horizontal="center" vertical="center" wrapText="1"/>
    </xf>
    <xf numFmtId="43" fontId="53" fillId="0" borderId="28" xfId="1" applyFont="1" applyFill="1" applyBorder="1" applyAlignment="1">
      <alignment horizontal="center" vertical="center" wrapText="1"/>
    </xf>
    <xf numFmtId="43" fontId="53" fillId="0" borderId="23" xfId="1" applyFont="1" applyFill="1" applyBorder="1" applyAlignment="1">
      <alignment horizontal="center" vertical="center" wrapText="1"/>
    </xf>
    <xf numFmtId="183" fontId="147" fillId="0" borderId="27" xfId="0" applyFont="1" applyBorder="1" applyAlignment="1">
      <alignment horizontal="center" vertical="center" wrapText="1"/>
    </xf>
    <xf numFmtId="183" fontId="147" fillId="0" borderId="0" xfId="0" applyFont="1" applyBorder="1" applyAlignment="1">
      <alignment horizontal="center" vertical="center" wrapText="1"/>
    </xf>
    <xf numFmtId="0" fontId="53" fillId="0" borderId="27" xfId="1" applyNumberFormat="1" applyFont="1" applyBorder="1" applyAlignment="1">
      <alignment horizontal="right" vertical="center" wrapText="1"/>
    </xf>
    <xf numFmtId="0" fontId="53" fillId="0" borderId="0" xfId="1" applyNumberFormat="1" applyFont="1" applyBorder="1" applyAlignment="1">
      <alignment horizontal="right" vertical="center" wrapText="1"/>
    </xf>
    <xf numFmtId="0" fontId="53" fillId="0" borderId="24" xfId="1" applyNumberFormat="1" applyFont="1" applyBorder="1" applyAlignment="1">
      <alignment horizontal="right" vertical="center" wrapText="1"/>
    </xf>
    <xf numFmtId="183" fontId="53" fillId="0" borderId="28" xfId="412" applyFont="1" applyFill="1" applyBorder="1" applyAlignment="1">
      <alignment horizontal="right" vertical="center" wrapText="1"/>
    </xf>
    <xf numFmtId="183" fontId="53" fillId="0" borderId="21" xfId="412" applyFont="1" applyFill="1" applyBorder="1" applyAlignment="1">
      <alignment horizontal="right" vertical="center" wrapText="1"/>
    </xf>
    <xf numFmtId="183" fontId="53" fillId="0" borderId="23" xfId="412" applyFont="1" applyFill="1" applyBorder="1" applyAlignment="1">
      <alignment horizontal="right" vertical="center" wrapText="1"/>
    </xf>
    <xf numFmtId="49" fontId="132" fillId="0" borderId="29" xfId="412" applyNumberFormat="1" applyFont="1" applyBorder="1" applyAlignment="1">
      <alignment vertical="center" wrapText="1"/>
    </xf>
    <xf numFmtId="49" fontId="132" fillId="0" borderId="20" xfId="412" applyNumberFormat="1" applyFont="1" applyBorder="1" applyAlignment="1">
      <alignment vertical="center" wrapText="1"/>
    </xf>
    <xf numFmtId="49" fontId="132" fillId="0" borderId="22" xfId="412" applyNumberFormat="1" applyFont="1" applyBorder="1" applyAlignment="1">
      <alignment vertical="center" wrapText="1"/>
    </xf>
    <xf numFmtId="183" fontId="132" fillId="0" borderId="29" xfId="412" applyFont="1" applyBorder="1" applyAlignment="1">
      <alignment vertical="center"/>
    </xf>
    <xf numFmtId="183" fontId="132" fillId="0" borderId="20" xfId="412" applyFont="1" applyBorder="1" applyAlignment="1">
      <alignment vertical="center"/>
    </xf>
    <xf numFmtId="183" fontId="132" fillId="0" borderId="22" xfId="412" applyFont="1" applyBorder="1" applyAlignment="1">
      <alignment vertical="center"/>
    </xf>
    <xf numFmtId="49" fontId="53" fillId="0" borderId="28" xfId="412" applyNumberFormat="1" applyFont="1" applyFill="1" applyBorder="1" applyAlignment="1">
      <alignment horizontal="right" vertical="center" wrapText="1"/>
    </xf>
    <xf numFmtId="49" fontId="53" fillId="0" borderId="21" xfId="412" applyNumberFormat="1" applyFont="1" applyFill="1" applyBorder="1" applyAlignment="1">
      <alignment horizontal="right" vertical="center" wrapText="1"/>
    </xf>
    <xf numFmtId="49" fontId="53" fillId="0" borderId="23" xfId="412" applyNumberFormat="1" applyFont="1" applyFill="1" applyBorder="1" applyAlignment="1">
      <alignment horizontal="right" vertical="center" wrapText="1"/>
    </xf>
    <xf numFmtId="0" fontId="24" fillId="0" borderId="0" xfId="75" applyFont="1" applyFill="1" applyBorder="1" applyAlignment="1" applyProtection="1">
      <alignment wrapText="1"/>
    </xf>
    <xf numFmtId="0" fontId="13" fillId="0" borderId="0" xfId="75" applyFill="1" applyBorder="1" applyAlignment="1" applyProtection="1">
      <alignment wrapText="1"/>
    </xf>
    <xf numFmtId="183" fontId="27" fillId="0" borderId="12" xfId="0" applyFont="1" applyFill="1" applyBorder="1" applyAlignment="1" applyProtection="1">
      <alignment horizontal="center"/>
    </xf>
    <xf numFmtId="183" fontId="27" fillId="0" borderId="13" xfId="0" applyFont="1" applyFill="1" applyBorder="1" applyAlignment="1" applyProtection="1">
      <alignment horizontal="center"/>
    </xf>
    <xf numFmtId="183" fontId="27" fillId="0" borderId="14" xfId="0" applyFont="1" applyFill="1" applyBorder="1" applyAlignment="1" applyProtection="1">
      <alignment horizontal="center"/>
    </xf>
    <xf numFmtId="183" fontId="27" fillId="0" borderId="7" xfId="0" applyFont="1" applyFill="1" applyBorder="1" applyAlignment="1" applyProtection="1">
      <alignment horizontal="center" vertical="center"/>
    </xf>
    <xf numFmtId="183" fontId="27" fillId="0" borderId="8" xfId="0" applyFont="1" applyFill="1" applyBorder="1" applyAlignment="1" applyProtection="1">
      <alignment horizontal="center" vertical="center"/>
    </xf>
    <xf numFmtId="0" fontId="24" fillId="0" borderId="0" xfId="75" applyFont="1" applyFill="1" applyAlignment="1" applyProtection="1">
      <alignment wrapText="1"/>
    </xf>
    <xf numFmtId="183" fontId="27" fillId="0" borderId="12" xfId="0" applyFont="1" applyFill="1" applyBorder="1" applyAlignment="1" applyProtection="1">
      <alignment horizontal="center" wrapText="1"/>
    </xf>
    <xf numFmtId="183" fontId="27" fillId="0" borderId="13" xfId="0" applyFont="1" applyFill="1" applyBorder="1" applyAlignment="1" applyProtection="1">
      <alignment horizontal="center" wrapText="1"/>
    </xf>
    <xf numFmtId="183" fontId="27" fillId="0" borderId="14" xfId="0" applyFont="1" applyFill="1" applyBorder="1" applyAlignment="1" applyProtection="1">
      <alignment horizontal="center" wrapText="1"/>
    </xf>
    <xf numFmtId="0" fontId="14" fillId="0" borderId="5" xfId="75" applyFont="1" applyFill="1" applyBorder="1" applyAlignment="1">
      <alignment horizontal="center"/>
    </xf>
    <xf numFmtId="0" fontId="14" fillId="0" borderId="1" xfId="75" applyFont="1" applyFill="1" applyBorder="1" applyAlignment="1">
      <alignment horizontal="center"/>
    </xf>
    <xf numFmtId="183" fontId="14" fillId="0" borderId="0" xfId="0" applyFont="1" applyFill="1" applyBorder="1" applyAlignment="1">
      <alignment horizontal="center"/>
    </xf>
    <xf numFmtId="183" fontId="14" fillId="0" borderId="11" xfId="0" applyFont="1" applyFill="1" applyBorder="1" applyAlignment="1">
      <alignment horizontal="center"/>
    </xf>
    <xf numFmtId="0" fontId="24" fillId="0" borderId="2" xfId="158" applyFont="1" applyFill="1" applyBorder="1" applyAlignment="1">
      <alignment horizontal="center"/>
    </xf>
    <xf numFmtId="0" fontId="24" fillId="0" borderId="4" xfId="158" applyFont="1" applyFill="1" applyBorder="1" applyAlignment="1">
      <alignment horizontal="center"/>
    </xf>
    <xf numFmtId="0" fontId="24" fillId="0" borderId="0" xfId="75" applyFont="1" applyAlignment="1">
      <alignment wrapText="1"/>
    </xf>
    <xf numFmtId="0" fontId="13" fillId="0" borderId="0" xfId="75" applyBorder="1" applyAlignment="1">
      <alignment wrapText="1"/>
    </xf>
    <xf numFmtId="0" fontId="13" fillId="0" borderId="0" xfId="75" applyAlignment="1">
      <alignment wrapText="1"/>
    </xf>
    <xf numFmtId="183" fontId="160" fillId="0" borderId="32" xfId="0" applyFont="1" applyFill="1" applyBorder="1" applyAlignment="1">
      <alignment vertical="center"/>
    </xf>
    <xf numFmtId="183" fontId="160" fillId="0" borderId="35" xfId="0" applyFont="1" applyFill="1" applyBorder="1" applyAlignment="1">
      <alignment vertical="center"/>
    </xf>
    <xf numFmtId="183" fontId="161" fillId="0" borderId="29" xfId="0" applyFont="1" applyFill="1" applyBorder="1" applyAlignment="1">
      <alignment vertical="center"/>
    </xf>
    <xf numFmtId="183" fontId="161" fillId="0" borderId="22" xfId="0" applyFont="1" applyFill="1" applyBorder="1" applyAlignment="1">
      <alignment vertical="center"/>
    </xf>
    <xf numFmtId="183" fontId="161" fillId="0" borderId="27" xfId="0" applyFont="1" applyFill="1" applyBorder="1" applyAlignment="1">
      <alignment vertical="center"/>
    </xf>
    <xf numFmtId="183" fontId="161" fillId="0" borderId="24" xfId="0" applyFont="1" applyFill="1" applyBorder="1" applyAlignment="1">
      <alignment vertical="center"/>
    </xf>
    <xf numFmtId="183" fontId="161" fillId="0" borderId="28" xfId="0" applyFont="1" applyFill="1" applyBorder="1" applyAlignment="1">
      <alignment vertical="center"/>
    </xf>
    <xf numFmtId="183" fontId="161" fillId="0" borderId="23" xfId="0" applyFont="1" applyFill="1" applyBorder="1" applyAlignment="1">
      <alignment vertical="center"/>
    </xf>
    <xf numFmtId="183" fontId="162" fillId="0" borderId="32" xfId="0" applyFont="1" applyFill="1" applyBorder="1" applyAlignment="1">
      <alignment horizontal="center" vertical="center" wrapText="1"/>
    </xf>
    <xf numFmtId="183" fontId="162" fillId="0" borderId="35" xfId="0" applyFont="1" applyFill="1" applyBorder="1" applyAlignment="1">
      <alignment horizontal="center" vertical="center" wrapText="1"/>
    </xf>
    <xf numFmtId="183" fontId="24" fillId="0" borderId="0" xfId="0" applyFont="1" applyAlignment="1" applyProtection="1">
      <alignment wrapText="1"/>
    </xf>
    <xf numFmtId="183" fontId="0" fillId="0" borderId="0" xfId="0" applyBorder="1" applyAlignment="1" applyProtection="1">
      <alignment wrapText="1"/>
    </xf>
    <xf numFmtId="0" fontId="24" fillId="0" borderId="0" xfId="75" applyFont="1" applyAlignment="1" applyProtection="1">
      <alignment wrapText="1"/>
    </xf>
    <xf numFmtId="0" fontId="13" fillId="0" borderId="0" xfId="75" applyBorder="1" applyAlignment="1" applyProtection="1">
      <alignment wrapText="1"/>
    </xf>
    <xf numFmtId="183" fontId="14" fillId="0" borderId="10" xfId="0" applyFont="1" applyFill="1" applyBorder="1" applyAlignment="1" applyProtection="1">
      <alignment horizontal="center"/>
    </xf>
    <xf numFmtId="183" fontId="14" fillId="0" borderId="11" xfId="0" applyFont="1" applyFill="1" applyBorder="1" applyAlignment="1" applyProtection="1">
      <alignment horizontal="center"/>
    </xf>
    <xf numFmtId="0" fontId="14" fillId="0" borderId="5" xfId="75" applyFont="1" applyFill="1" applyBorder="1" applyAlignment="1" applyProtection="1">
      <alignment horizontal="center"/>
    </xf>
    <xf numFmtId="0" fontId="14" fillId="0" borderId="1" xfId="75" applyFont="1" applyFill="1" applyBorder="1" applyAlignment="1" applyProtection="1">
      <alignment horizontal="center"/>
    </xf>
    <xf numFmtId="0" fontId="24" fillId="0" borderId="2" xfId="76" applyFont="1" applyFill="1" applyBorder="1" applyAlignment="1" applyProtection="1">
      <alignment horizontal="center"/>
    </xf>
    <xf numFmtId="0" fontId="24" fillId="0" borderId="4" xfId="76" applyFont="1" applyFill="1" applyBorder="1" applyAlignment="1" applyProtection="1">
      <alignment horizontal="center"/>
    </xf>
    <xf numFmtId="0" fontId="24" fillId="0" borderId="3" xfId="76" applyFont="1" applyFill="1" applyBorder="1" applyAlignment="1" applyProtection="1">
      <alignment horizontal="center"/>
    </xf>
    <xf numFmtId="0" fontId="13" fillId="0" borderId="0" xfId="75" applyFill="1" applyAlignment="1" applyProtection="1">
      <alignment wrapText="1"/>
    </xf>
    <xf numFmtId="0" fontId="24" fillId="0" borderId="2" xfId="157" applyFont="1" applyFill="1" applyBorder="1" applyAlignment="1" applyProtection="1">
      <alignment horizontal="center"/>
    </xf>
    <xf numFmtId="0" fontId="24" fillId="0" borderId="4" xfId="157" applyFont="1" applyFill="1" applyBorder="1" applyAlignment="1" applyProtection="1">
      <alignment horizontal="center"/>
    </xf>
    <xf numFmtId="183" fontId="14" fillId="0" borderId="6" xfId="0" applyFont="1" applyFill="1" applyBorder="1" applyAlignment="1" applyProtection="1">
      <alignment horizontal="center"/>
    </xf>
    <xf numFmtId="0" fontId="24" fillId="0" borderId="2" xfId="156" applyFont="1" applyFill="1" applyBorder="1" applyAlignment="1" applyProtection="1">
      <alignment horizontal="center"/>
    </xf>
    <xf numFmtId="0" fontId="24" fillId="0" borderId="4" xfId="156" applyFont="1" applyFill="1" applyBorder="1" applyAlignment="1" applyProtection="1">
      <alignment horizontal="center"/>
    </xf>
    <xf numFmtId="0" fontId="18" fillId="0" borderId="5" xfId="75" applyFont="1" applyFill="1" applyBorder="1" applyAlignment="1" applyProtection="1">
      <alignment horizontal="center"/>
    </xf>
    <xf numFmtId="0" fontId="18" fillId="0" borderId="1" xfId="75" applyFont="1" applyFill="1" applyBorder="1" applyAlignment="1" applyProtection="1">
      <alignment horizontal="center"/>
    </xf>
    <xf numFmtId="183" fontId="24" fillId="0" borderId="0" xfId="0" applyFont="1" applyFill="1" applyAlignment="1" applyProtection="1">
      <alignment wrapText="1"/>
    </xf>
    <xf numFmtId="183" fontId="0" fillId="0" borderId="0" xfId="0" applyFill="1" applyBorder="1" applyAlignment="1" applyProtection="1">
      <alignment wrapText="1"/>
    </xf>
    <xf numFmtId="183" fontId="14" fillId="0" borderId="5" xfId="0" applyFont="1" applyFill="1" applyBorder="1" applyAlignment="1">
      <alignment horizontal="center"/>
    </xf>
    <xf numFmtId="183" fontId="25" fillId="0" borderId="1" xfId="0" applyFont="1" applyFill="1" applyBorder="1" applyAlignment="1">
      <alignment horizontal="center"/>
    </xf>
    <xf numFmtId="183" fontId="25" fillId="0" borderId="6" xfId="0" applyFont="1" applyFill="1" applyBorder="1" applyAlignment="1">
      <alignment horizontal="center"/>
    </xf>
    <xf numFmtId="183" fontId="24" fillId="0" borderId="2" xfId="0" applyFont="1" applyFill="1" applyBorder="1" applyAlignment="1">
      <alignment horizontal="center"/>
    </xf>
    <xf numFmtId="183" fontId="24" fillId="0" borderId="4" xfId="0" applyFont="1" applyFill="1" applyBorder="1" applyAlignment="1">
      <alignment horizontal="center"/>
    </xf>
    <xf numFmtId="183" fontId="25" fillId="0" borderId="0" xfId="0" applyFont="1" applyFill="1" applyBorder="1" applyAlignment="1">
      <alignment horizontal="center"/>
    </xf>
    <xf numFmtId="183" fontId="25" fillId="0" borderId="11" xfId="0" applyFont="1" applyFill="1" applyBorder="1" applyAlignment="1">
      <alignment horizontal="center"/>
    </xf>
    <xf numFmtId="183" fontId="24" fillId="0" borderId="0" xfId="0" applyFont="1" applyAlignment="1">
      <alignment wrapText="1"/>
    </xf>
    <xf numFmtId="183" fontId="0" fillId="0" borderId="0" xfId="0" applyBorder="1" applyAlignment="1">
      <alignment wrapText="1"/>
    </xf>
    <xf numFmtId="183" fontId="25" fillId="0" borderId="5" xfId="0" applyFont="1" applyFill="1" applyBorder="1" applyAlignment="1" applyProtection="1">
      <alignment horizontal="center"/>
    </xf>
    <xf numFmtId="183" fontId="24" fillId="0" borderId="2" xfId="0" applyFont="1" applyFill="1" applyBorder="1" applyAlignment="1" applyProtection="1">
      <alignment horizontal="center"/>
      <protection locked="0"/>
    </xf>
    <xf numFmtId="183" fontId="24" fillId="0" borderId="4" xfId="0" applyFont="1" applyFill="1" applyBorder="1" applyAlignment="1" applyProtection="1">
      <alignment horizontal="center"/>
      <protection locked="0"/>
    </xf>
    <xf numFmtId="183" fontId="25" fillId="0" borderId="10" xfId="0" applyFont="1" applyFill="1" applyBorder="1" applyAlignment="1" applyProtection="1">
      <alignment horizontal="center"/>
      <protection locked="0"/>
    </xf>
    <xf numFmtId="183" fontId="25" fillId="0" borderId="11" xfId="0" applyFont="1" applyFill="1" applyBorder="1" applyAlignment="1" applyProtection="1">
      <alignment horizontal="center"/>
      <protection locked="0"/>
    </xf>
    <xf numFmtId="183" fontId="25" fillId="0" borderId="6" xfId="0" applyFont="1" applyFill="1" applyBorder="1" applyAlignment="1" applyProtection="1">
      <alignment horizontal="center"/>
    </xf>
    <xf numFmtId="183" fontId="20" fillId="0" borderId="0" xfId="0" applyFont="1" applyFill="1" applyAlignment="1" applyProtection="1">
      <alignment wrapText="1"/>
    </xf>
    <xf numFmtId="183" fontId="0" fillId="0" borderId="3" xfId="0" applyBorder="1" applyAlignment="1" applyProtection="1"/>
    <xf numFmtId="183" fontId="0" fillId="0" borderId="4" xfId="0" applyBorder="1" applyAlignment="1" applyProtection="1"/>
    <xf numFmtId="183" fontId="20" fillId="0" borderId="0" xfId="0" applyFont="1" applyFill="1" applyAlignment="1" applyProtection="1">
      <alignment horizontal="left" wrapText="1"/>
    </xf>
    <xf numFmtId="183" fontId="20" fillId="0" borderId="11" xfId="0" applyFont="1" applyFill="1" applyBorder="1" applyAlignment="1" applyProtection="1">
      <alignment horizontal="left" wrapText="1"/>
    </xf>
    <xf numFmtId="183" fontId="36" fillId="0" borderId="0" xfId="14" applyFont="1" applyFill="1" applyAlignment="1">
      <alignment horizontal="left" wrapText="1"/>
    </xf>
  </cellXfs>
  <cellStyles count="3612">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2 2" xfId="3306" xr:uid="{498C7B6D-1B78-463D-BCF2-9BFBD90A1656}"/>
    <cellStyle name="20% - Accent1 3 2 2 3" xfId="2764" xr:uid="{00000000-0005-0000-0000-00000A000000}"/>
    <cellStyle name="20% - Accent1 3 2 2 3 2" xfId="3508" xr:uid="{6211F24D-FD01-46EA-8A9D-8C2B689FCBA0}"/>
    <cellStyle name="20% - Accent1 3 2 2 4" xfId="3086" xr:uid="{F158F298-DC08-4AEC-958F-84C545F07B79}"/>
    <cellStyle name="20% - Accent1 3 2 3" xfId="2436" xr:uid="{00000000-0005-0000-0000-00000B000000}"/>
    <cellStyle name="20% - Accent1 3 2 3 2" xfId="2638" xr:uid="{00000000-0005-0000-0000-00000C000000}"/>
    <cellStyle name="20% - Accent1 3 2 3 2 2" xfId="3382" xr:uid="{CAACA96D-4C68-45F8-BC42-E03F604AFF26}"/>
    <cellStyle name="20% - Accent1 3 2 3 3" xfId="2840" xr:uid="{00000000-0005-0000-0000-00000D000000}"/>
    <cellStyle name="20% - Accent1 3 2 3 3 2" xfId="3584" xr:uid="{5E5A630B-1817-49B7-9B66-E360D1F870DE}"/>
    <cellStyle name="20% - Accent1 3 2 3 4" xfId="3180" xr:uid="{EFBB1999-75A7-4B91-A0AC-C1F38EE42705}"/>
    <cellStyle name="20% - Accent1 3 2 4" xfId="2484" xr:uid="{00000000-0005-0000-0000-00000E000000}"/>
    <cellStyle name="20% - Accent1 3 2 4 2" xfId="3228" xr:uid="{E1ED6DC5-B844-477D-B226-EDC55FFBFF1A}"/>
    <cellStyle name="20% - Accent1 3 2 5" xfId="2686" xr:uid="{00000000-0005-0000-0000-00000F000000}"/>
    <cellStyle name="20% - Accent1 3 2 5 2" xfId="3430" xr:uid="{69D15DD1-0C0F-433C-98E8-475B994EF2AC}"/>
    <cellStyle name="20% - Accent1 3 2 6" xfId="2859" xr:uid="{00000000-0005-0000-0000-000010000000}"/>
    <cellStyle name="20% - Accent1 3 3" xfId="389" xr:uid="{00000000-0005-0000-0000-000011000000}"/>
    <cellStyle name="20% - Accent1 3 3 2" xfId="2972" xr:uid="{66AF984A-1FF8-4344-AC8F-FEA44C319042}"/>
    <cellStyle name="20% - Accent1 3 4" xfId="2314" xr:uid="{00000000-0005-0000-0000-000012000000}"/>
    <cellStyle name="20% - Accent1 3 4 2" xfId="2534" xr:uid="{00000000-0005-0000-0000-000013000000}"/>
    <cellStyle name="20% - Accent1 3 4 2 2" xfId="3278" xr:uid="{37343DB4-8821-4A62-991E-F6407AC90397}"/>
    <cellStyle name="20% - Accent1 3 4 3" xfId="2736" xr:uid="{00000000-0005-0000-0000-000014000000}"/>
    <cellStyle name="20% - Accent1 3 4 3 2" xfId="3480" xr:uid="{434E7677-008F-4C2A-A95B-B7EAAFFD11B6}"/>
    <cellStyle name="20% - Accent1 3 4 4" xfId="3058" xr:uid="{D0B3CA70-807F-445A-82BA-94259715F912}"/>
    <cellStyle name="20% - Accent1 3 5" xfId="2408" xr:uid="{00000000-0005-0000-0000-000015000000}"/>
    <cellStyle name="20% - Accent1 3 5 2" xfId="2610" xr:uid="{00000000-0005-0000-0000-000016000000}"/>
    <cellStyle name="20% - Accent1 3 5 2 2" xfId="3354" xr:uid="{608ED302-AA96-4ED3-A33F-DD9A9B9C50A5}"/>
    <cellStyle name="20% - Accent1 3 5 3" xfId="2812" xr:uid="{00000000-0005-0000-0000-000017000000}"/>
    <cellStyle name="20% - Accent1 3 5 3 2" xfId="3556" xr:uid="{9982DED3-2D65-49DF-8A1B-BE22DDB97B11}"/>
    <cellStyle name="20% - Accent1 3 5 4" xfId="3152" xr:uid="{40EAF2EA-8DAE-48E1-97C5-3703AA205439}"/>
    <cellStyle name="20% - Accent1 3 6" xfId="2456" xr:uid="{00000000-0005-0000-0000-000018000000}"/>
    <cellStyle name="20% - Accent1 3 6 2" xfId="3200" xr:uid="{67543196-FB46-48D7-B819-203AE45571CB}"/>
    <cellStyle name="20% - Accent1 3 7" xfId="2658" xr:uid="{00000000-0005-0000-0000-000019000000}"/>
    <cellStyle name="20% - Accent1 3 7 2" xfId="3402" xr:uid="{374D3395-184A-4205-A4D3-E3DE3D8241EF}"/>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2 2" xfId="3292" xr:uid="{514C16D4-5312-4971-AA77-5ADF078D7316}"/>
    <cellStyle name="20% - Accent1 4 2 3" xfId="2750" xr:uid="{00000000-0005-0000-0000-00001E000000}"/>
    <cellStyle name="20% - Accent1 4 2 3 2" xfId="3494" xr:uid="{8B92F0AF-0D9E-45C4-8F32-8F3D7AF117FE}"/>
    <cellStyle name="20% - Accent1 4 2 4" xfId="3072" xr:uid="{358C356A-19B2-4A1C-ABAF-5D8B6044735B}"/>
    <cellStyle name="20% - Accent1 4 3" xfId="2422" xr:uid="{00000000-0005-0000-0000-00001F000000}"/>
    <cellStyle name="20% - Accent1 4 3 2" xfId="2624" xr:uid="{00000000-0005-0000-0000-000020000000}"/>
    <cellStyle name="20% - Accent1 4 3 2 2" xfId="3368" xr:uid="{BF6B87C3-7751-408D-A225-6508C1A33789}"/>
    <cellStyle name="20% - Accent1 4 3 3" xfId="2826" xr:uid="{00000000-0005-0000-0000-000021000000}"/>
    <cellStyle name="20% - Accent1 4 3 3 2" xfId="3570" xr:uid="{F8BA1983-430F-4757-93B0-7BCB293BC4A6}"/>
    <cellStyle name="20% - Accent1 4 3 4" xfId="3166" xr:uid="{117A6B13-EF8A-495B-896B-F1B672F4ED1C}"/>
    <cellStyle name="20% - Accent1 4 4" xfId="2470" xr:uid="{00000000-0005-0000-0000-000022000000}"/>
    <cellStyle name="20% - Accent1 4 4 2" xfId="3214" xr:uid="{018DAB10-4AC4-4EA2-AB71-A5BE194FBADC}"/>
    <cellStyle name="20% - Accent1 4 5" xfId="2672" xr:uid="{00000000-0005-0000-0000-000023000000}"/>
    <cellStyle name="20% - Accent1 4 5 2" xfId="3416" xr:uid="{05C2258D-C4D7-4415-A96C-BBDD27D29A53}"/>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2 2" xfId="3326" xr:uid="{12A80F3A-B225-4D06-BFCB-052FCEFFD299}"/>
    <cellStyle name="20% - Accent1 5 2 3" xfId="2784" xr:uid="{00000000-0005-0000-0000-000028000000}"/>
    <cellStyle name="20% - Accent1 5 2 3 2" xfId="3528" xr:uid="{52B91DA7-5C61-4BF7-A4B9-6B1174132061}"/>
    <cellStyle name="20% - Accent1 5 2 4" xfId="3107" xr:uid="{F2C29FE0-9014-4BAB-B162-3F8D33216077}"/>
    <cellStyle name="20% - Accent1 5 3" xfId="2504" xr:uid="{00000000-0005-0000-0000-000029000000}"/>
    <cellStyle name="20% - Accent1 5 3 2" xfId="3248" xr:uid="{063C20AE-0017-49C5-A791-4ACEBC754576}"/>
    <cellStyle name="20% - Accent1 5 4" xfId="2706" xr:uid="{00000000-0005-0000-0000-00002A000000}"/>
    <cellStyle name="20% - Accent1 5 4 2" xfId="3450" xr:uid="{CBEDDD19-B971-46A7-9892-A4A53E0A800E}"/>
    <cellStyle name="20% - Accent1 5 5" xfId="3015" xr:uid="{D498750E-2706-46D8-99AF-C07E262D4AB6}"/>
    <cellStyle name="20% - Accent1 6" xfId="2256" xr:uid="{00000000-0005-0000-0000-00002B000000}"/>
    <cellStyle name="20% - Accent1 6 2" xfId="2394" xr:uid="{00000000-0005-0000-0000-00002C000000}"/>
    <cellStyle name="20% - Accent1 6 2 2" xfId="2596" xr:uid="{00000000-0005-0000-0000-00002D000000}"/>
    <cellStyle name="20% - Accent1 6 2 2 2" xfId="3340" xr:uid="{E628C030-2E0C-4916-A83D-0B5E8176842B}"/>
    <cellStyle name="20% - Accent1 6 2 3" xfId="2798" xr:uid="{00000000-0005-0000-0000-00002E000000}"/>
    <cellStyle name="20% - Accent1 6 2 3 2" xfId="3542" xr:uid="{06A84C35-4897-4BC6-9A0B-2675170F09B4}"/>
    <cellStyle name="20% - Accent1 6 2 4" xfId="3138" xr:uid="{A5BF6A81-FB99-4651-A4AD-6D2D6780083A}"/>
    <cellStyle name="20% - Accent1 6 3" xfId="2289" xr:uid="{00000000-0005-0000-0000-00002F000000}"/>
    <cellStyle name="20% - Accent1 6 3 2" xfId="3044" xr:uid="{96BF6B87-FDA3-43F8-9AB2-5BB8EA39914B}"/>
    <cellStyle name="20% - Accent1 6 4" xfId="2518" xr:uid="{00000000-0005-0000-0000-000030000000}"/>
    <cellStyle name="20% - Accent1 6 4 2" xfId="3262" xr:uid="{2BCA565D-655C-4E54-B5AB-7D622F77FDF3}"/>
    <cellStyle name="20% - Accent1 6 5" xfId="2720" xr:uid="{00000000-0005-0000-0000-000031000000}"/>
    <cellStyle name="20% - Accent1 6 5 2" xfId="3464" xr:uid="{55884166-89BB-4286-930B-785AF541DD55}"/>
    <cellStyle name="20% - Accent1 6 6" xfId="3029" xr:uid="{FD09F06B-5CFA-4C60-BA75-C3A05AB920A9}"/>
    <cellStyle name="20% - Accent1 7" xfId="2922" xr:uid="{3DC8A17F-916F-4D83-9D6F-00EFD61A1D01}"/>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2 2" xfId="3308" xr:uid="{EAE0FD22-B25B-4CDC-BC2A-CE7A3FE97DCB}"/>
    <cellStyle name="20% - Accent2 3 2 2 3" xfId="2766" xr:uid="{00000000-0005-0000-0000-00003C000000}"/>
    <cellStyle name="20% - Accent2 3 2 2 3 2" xfId="3510" xr:uid="{E398E09E-8CA0-45AE-934C-79FC97A41026}"/>
    <cellStyle name="20% - Accent2 3 2 2 4" xfId="3088" xr:uid="{6DFE374B-D506-45EF-8240-D44D3A2D3F64}"/>
    <cellStyle name="20% - Accent2 3 2 3" xfId="2438" xr:uid="{00000000-0005-0000-0000-00003D000000}"/>
    <cellStyle name="20% - Accent2 3 2 3 2" xfId="2640" xr:uid="{00000000-0005-0000-0000-00003E000000}"/>
    <cellStyle name="20% - Accent2 3 2 3 2 2" xfId="3384" xr:uid="{82380C48-3D69-4CF9-9501-3C23C7D1071A}"/>
    <cellStyle name="20% - Accent2 3 2 3 3" xfId="2842" xr:uid="{00000000-0005-0000-0000-00003F000000}"/>
    <cellStyle name="20% - Accent2 3 2 3 3 2" xfId="3586" xr:uid="{9C11803F-3720-493B-BB56-FD898D5F00BB}"/>
    <cellStyle name="20% - Accent2 3 2 3 4" xfId="3182" xr:uid="{62FB774B-A00D-4F17-9A7B-586FF977BCDC}"/>
    <cellStyle name="20% - Accent2 3 2 4" xfId="2486" xr:uid="{00000000-0005-0000-0000-000040000000}"/>
    <cellStyle name="20% - Accent2 3 2 4 2" xfId="3230" xr:uid="{6935B31A-2C56-41E0-AFE6-D8DCC4F53A60}"/>
    <cellStyle name="20% - Accent2 3 2 5" xfId="2688" xr:uid="{00000000-0005-0000-0000-000041000000}"/>
    <cellStyle name="20% - Accent2 3 2 5 2" xfId="3432" xr:uid="{80EA73C4-9506-4BFB-A4F0-7ECD9044BAB0}"/>
    <cellStyle name="20% - Accent2 3 2 6" xfId="2862" xr:uid="{00000000-0005-0000-0000-000042000000}"/>
    <cellStyle name="20% - Accent2 3 3" xfId="393" xr:uid="{00000000-0005-0000-0000-000043000000}"/>
    <cellStyle name="20% - Accent2 3 3 2" xfId="2974" xr:uid="{DCCBE6A9-F9F8-4C71-A1B7-71F6D7C635DF}"/>
    <cellStyle name="20% - Accent2 3 4" xfId="2316" xr:uid="{00000000-0005-0000-0000-000044000000}"/>
    <cellStyle name="20% - Accent2 3 4 2" xfId="2536" xr:uid="{00000000-0005-0000-0000-000045000000}"/>
    <cellStyle name="20% - Accent2 3 4 2 2" xfId="3280" xr:uid="{55914BEC-CBA3-4012-99F0-E09E102E875A}"/>
    <cellStyle name="20% - Accent2 3 4 3" xfId="2738" xr:uid="{00000000-0005-0000-0000-000046000000}"/>
    <cellStyle name="20% - Accent2 3 4 3 2" xfId="3482" xr:uid="{32F0EFC7-C880-4A44-8EA2-D7EBFB86CB75}"/>
    <cellStyle name="20% - Accent2 3 4 4" xfId="3060" xr:uid="{2AABFC26-F072-4DB7-A877-48ED70DBD47E}"/>
    <cellStyle name="20% - Accent2 3 5" xfId="2410" xr:uid="{00000000-0005-0000-0000-000047000000}"/>
    <cellStyle name="20% - Accent2 3 5 2" xfId="2612" xr:uid="{00000000-0005-0000-0000-000048000000}"/>
    <cellStyle name="20% - Accent2 3 5 2 2" xfId="3356" xr:uid="{616D16D2-1355-40C7-AB2B-9B2E4CA72CD7}"/>
    <cellStyle name="20% - Accent2 3 5 3" xfId="2814" xr:uid="{00000000-0005-0000-0000-000049000000}"/>
    <cellStyle name="20% - Accent2 3 5 3 2" xfId="3558" xr:uid="{4EA6AAA1-B1FA-4B17-BFCF-FAC2EB1212E8}"/>
    <cellStyle name="20% - Accent2 3 5 4" xfId="3154" xr:uid="{52BF4AE1-D8BE-4083-BC85-172E7D1E3128}"/>
    <cellStyle name="20% - Accent2 3 6" xfId="2458" xr:uid="{00000000-0005-0000-0000-00004A000000}"/>
    <cellStyle name="20% - Accent2 3 6 2" xfId="3202" xr:uid="{CDC1D756-EC1C-47AB-9B7A-8E71AFEFA235}"/>
    <cellStyle name="20% - Accent2 3 7" xfId="2660" xr:uid="{00000000-0005-0000-0000-00004B000000}"/>
    <cellStyle name="20% - Accent2 3 7 2" xfId="3404" xr:uid="{3258ACD6-DB6D-42BA-9B0E-1C2BAA4A4FED}"/>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2 2" xfId="3294" xr:uid="{71027A03-6EAC-474D-90BB-D1E6D5B93B19}"/>
    <cellStyle name="20% - Accent2 4 2 3" xfId="2752" xr:uid="{00000000-0005-0000-0000-000050000000}"/>
    <cellStyle name="20% - Accent2 4 2 3 2" xfId="3496" xr:uid="{2C3A2827-CE04-4D17-9507-2DB8A6FB9BF9}"/>
    <cellStyle name="20% - Accent2 4 2 4" xfId="3074" xr:uid="{513D8876-2D2D-4D5A-AF9C-3E12C9CED507}"/>
    <cellStyle name="20% - Accent2 4 3" xfId="2424" xr:uid="{00000000-0005-0000-0000-000051000000}"/>
    <cellStyle name="20% - Accent2 4 3 2" xfId="2626" xr:uid="{00000000-0005-0000-0000-000052000000}"/>
    <cellStyle name="20% - Accent2 4 3 2 2" xfId="3370" xr:uid="{C4491FE2-37BF-49F0-9786-FC6FE641D529}"/>
    <cellStyle name="20% - Accent2 4 3 3" xfId="2828" xr:uid="{00000000-0005-0000-0000-000053000000}"/>
    <cellStyle name="20% - Accent2 4 3 3 2" xfId="3572" xr:uid="{B8830A86-D62D-4025-8450-A69941D93B1F}"/>
    <cellStyle name="20% - Accent2 4 3 4" xfId="3168" xr:uid="{CE820531-37EC-4E31-A49E-EF57CF4E344A}"/>
    <cellStyle name="20% - Accent2 4 4" xfId="2472" xr:uid="{00000000-0005-0000-0000-000054000000}"/>
    <cellStyle name="20% - Accent2 4 4 2" xfId="3216" xr:uid="{AB06B7DD-A07A-4CE6-B7B6-D3A624ECFD4C}"/>
    <cellStyle name="20% - Accent2 4 5" xfId="2674" xr:uid="{00000000-0005-0000-0000-000055000000}"/>
    <cellStyle name="20% - Accent2 4 5 2" xfId="3418" xr:uid="{29206581-AC38-4891-A87E-9836E1AB6E8E}"/>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2 2" xfId="3328" xr:uid="{9FDF71FC-FFB6-4FE6-8686-69250F0E7BFC}"/>
    <cellStyle name="20% - Accent2 5 2 3" xfId="2786" xr:uid="{00000000-0005-0000-0000-00005A000000}"/>
    <cellStyle name="20% - Accent2 5 2 3 2" xfId="3530" xr:uid="{91B68F83-7538-4B2F-BC8A-26D1D4EB1A25}"/>
    <cellStyle name="20% - Accent2 5 2 4" xfId="3109" xr:uid="{89DFBB70-E7D2-405C-ADE7-A82A985468CD}"/>
    <cellStyle name="20% - Accent2 5 3" xfId="2506" xr:uid="{00000000-0005-0000-0000-00005B000000}"/>
    <cellStyle name="20% - Accent2 5 3 2" xfId="3250" xr:uid="{EE7F380E-3502-4AB9-B1CE-62EC9403DB7B}"/>
    <cellStyle name="20% - Accent2 5 4" xfId="2708" xr:uid="{00000000-0005-0000-0000-00005C000000}"/>
    <cellStyle name="20% - Accent2 5 4 2" xfId="3452" xr:uid="{DEDDC997-67B6-49B1-A359-F0515F81AF93}"/>
    <cellStyle name="20% - Accent2 5 5" xfId="3017" xr:uid="{A3705BA8-998C-48C4-8AE7-58B02F69A232}"/>
    <cellStyle name="20% - Accent2 6" xfId="2258" xr:uid="{00000000-0005-0000-0000-00005D000000}"/>
    <cellStyle name="20% - Accent2 6 2" xfId="2396" xr:uid="{00000000-0005-0000-0000-00005E000000}"/>
    <cellStyle name="20% - Accent2 6 2 2" xfId="2598" xr:uid="{00000000-0005-0000-0000-00005F000000}"/>
    <cellStyle name="20% - Accent2 6 2 2 2" xfId="3342" xr:uid="{9D2BA2DC-9FF7-4041-BB13-C811C8357A6C}"/>
    <cellStyle name="20% - Accent2 6 2 3" xfId="2800" xr:uid="{00000000-0005-0000-0000-000060000000}"/>
    <cellStyle name="20% - Accent2 6 2 3 2" xfId="3544" xr:uid="{9A0FF010-25A3-4584-8C86-8CEEC0934DE3}"/>
    <cellStyle name="20% - Accent2 6 2 4" xfId="3140" xr:uid="{9BF57AA3-B7A9-4454-A7C9-D9F803BF873B}"/>
    <cellStyle name="20% - Accent2 6 3" xfId="2293" xr:uid="{00000000-0005-0000-0000-000061000000}"/>
    <cellStyle name="20% - Accent2 6 3 2" xfId="3046" xr:uid="{D232F7AD-BD83-4B65-9418-BA3BDC4B6EE2}"/>
    <cellStyle name="20% - Accent2 6 4" xfId="2520" xr:uid="{00000000-0005-0000-0000-000062000000}"/>
    <cellStyle name="20% - Accent2 6 4 2" xfId="3264" xr:uid="{C34A053F-AAD5-4320-95EC-C87F2E057022}"/>
    <cellStyle name="20% - Accent2 6 5" xfId="2722" xr:uid="{00000000-0005-0000-0000-000063000000}"/>
    <cellStyle name="20% - Accent2 6 5 2" xfId="3466" xr:uid="{28A6E36B-74DF-42B1-B7A7-FB87334B69AF}"/>
    <cellStyle name="20% - Accent2 6 6" xfId="3031" xr:uid="{09F5644A-B9FD-4B08-9187-3B0520916ADD}"/>
    <cellStyle name="20% - Accent2 7" xfId="2924" xr:uid="{0AC8B031-59B3-4642-BA5F-4FF65E125FAF}"/>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2 2" xfId="3310" xr:uid="{C14CBA65-2C69-4E90-991C-2F5EF524B8E4}"/>
    <cellStyle name="20% - Accent3 3 2 2 3" xfId="2768" xr:uid="{00000000-0005-0000-0000-00006E000000}"/>
    <cellStyle name="20% - Accent3 3 2 2 3 2" xfId="3512" xr:uid="{868E744E-9DB8-4741-9B48-8855EFBB20E4}"/>
    <cellStyle name="20% - Accent3 3 2 2 4" xfId="3090" xr:uid="{EDC6388E-7C23-4E47-9636-8258A787039C}"/>
    <cellStyle name="20% - Accent3 3 2 3" xfId="2440" xr:uid="{00000000-0005-0000-0000-00006F000000}"/>
    <cellStyle name="20% - Accent3 3 2 3 2" xfId="2642" xr:uid="{00000000-0005-0000-0000-000070000000}"/>
    <cellStyle name="20% - Accent3 3 2 3 2 2" xfId="3386" xr:uid="{6A7183C9-7448-4D99-954A-36968F3D3EA2}"/>
    <cellStyle name="20% - Accent3 3 2 3 3" xfId="2844" xr:uid="{00000000-0005-0000-0000-000071000000}"/>
    <cellStyle name="20% - Accent3 3 2 3 3 2" xfId="3588" xr:uid="{94FCD9BA-F828-4BF4-9D93-B300D9CAFCAD}"/>
    <cellStyle name="20% - Accent3 3 2 3 4" xfId="3184" xr:uid="{0DDC0AA1-8AC5-4144-8405-1C161BF751C4}"/>
    <cellStyle name="20% - Accent3 3 2 4" xfId="2488" xr:uid="{00000000-0005-0000-0000-000072000000}"/>
    <cellStyle name="20% - Accent3 3 2 4 2" xfId="3232" xr:uid="{8A40D7A9-F424-4982-9F73-CF3025F2EDAB}"/>
    <cellStyle name="20% - Accent3 3 2 5" xfId="2690" xr:uid="{00000000-0005-0000-0000-000073000000}"/>
    <cellStyle name="20% - Accent3 3 2 5 2" xfId="3434" xr:uid="{BB3E8D0A-8871-493C-A0C6-8F4CAE6C60E1}"/>
    <cellStyle name="20% - Accent3 3 2 6" xfId="2865" xr:uid="{00000000-0005-0000-0000-000074000000}"/>
    <cellStyle name="20% - Accent3 3 3" xfId="397" xr:uid="{00000000-0005-0000-0000-000075000000}"/>
    <cellStyle name="20% - Accent3 3 3 2" xfId="2976" xr:uid="{3CF50797-AC52-4B57-BB37-B3A35EEA2DAF}"/>
    <cellStyle name="20% - Accent3 3 4" xfId="2318" xr:uid="{00000000-0005-0000-0000-000076000000}"/>
    <cellStyle name="20% - Accent3 3 4 2" xfId="2538" xr:uid="{00000000-0005-0000-0000-000077000000}"/>
    <cellStyle name="20% - Accent3 3 4 2 2" xfId="3282" xr:uid="{CE632238-091B-4C16-B87F-58D91E2D59E6}"/>
    <cellStyle name="20% - Accent3 3 4 3" xfId="2740" xr:uid="{00000000-0005-0000-0000-000078000000}"/>
    <cellStyle name="20% - Accent3 3 4 3 2" xfId="3484" xr:uid="{CA8B5180-9BD7-4E61-B2DB-15070509F1B6}"/>
    <cellStyle name="20% - Accent3 3 4 4" xfId="3062" xr:uid="{813387D9-2FFF-4E4D-86B9-E9C3B274865B}"/>
    <cellStyle name="20% - Accent3 3 5" xfId="2412" xr:uid="{00000000-0005-0000-0000-000079000000}"/>
    <cellStyle name="20% - Accent3 3 5 2" xfId="2614" xr:uid="{00000000-0005-0000-0000-00007A000000}"/>
    <cellStyle name="20% - Accent3 3 5 2 2" xfId="3358" xr:uid="{9E8EED03-803C-4A10-9CE1-668B868A6355}"/>
    <cellStyle name="20% - Accent3 3 5 3" xfId="2816" xr:uid="{00000000-0005-0000-0000-00007B000000}"/>
    <cellStyle name="20% - Accent3 3 5 3 2" xfId="3560" xr:uid="{F162B6A2-B920-41AC-AF8E-BAF7918F30A2}"/>
    <cellStyle name="20% - Accent3 3 5 4" xfId="3156" xr:uid="{B1315BE9-00CD-4B87-B60A-A27228036EBD}"/>
    <cellStyle name="20% - Accent3 3 6" xfId="2460" xr:uid="{00000000-0005-0000-0000-00007C000000}"/>
    <cellStyle name="20% - Accent3 3 6 2" xfId="3204" xr:uid="{74A8549E-BD0C-4C8B-8705-D4C28004CC9D}"/>
    <cellStyle name="20% - Accent3 3 7" xfId="2662" xr:uid="{00000000-0005-0000-0000-00007D000000}"/>
    <cellStyle name="20% - Accent3 3 7 2" xfId="3406" xr:uid="{43A24A46-D441-48A4-9872-96B93F6414D2}"/>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2 2" xfId="3296" xr:uid="{404C87D2-8108-40D0-B304-C11643F05B94}"/>
    <cellStyle name="20% - Accent3 4 2 3" xfId="2754" xr:uid="{00000000-0005-0000-0000-000082000000}"/>
    <cellStyle name="20% - Accent3 4 2 3 2" xfId="3498" xr:uid="{780D61E6-68FB-427F-8677-8F94AB941EB7}"/>
    <cellStyle name="20% - Accent3 4 2 4" xfId="3076" xr:uid="{61A4743E-5514-4F66-9D7E-F369382141F7}"/>
    <cellStyle name="20% - Accent3 4 3" xfId="2426" xr:uid="{00000000-0005-0000-0000-000083000000}"/>
    <cellStyle name="20% - Accent3 4 3 2" xfId="2628" xr:uid="{00000000-0005-0000-0000-000084000000}"/>
    <cellStyle name="20% - Accent3 4 3 2 2" xfId="3372" xr:uid="{6DDC6EFA-36A3-477F-AE87-7A79727C0DF8}"/>
    <cellStyle name="20% - Accent3 4 3 3" xfId="2830" xr:uid="{00000000-0005-0000-0000-000085000000}"/>
    <cellStyle name="20% - Accent3 4 3 3 2" xfId="3574" xr:uid="{A06F6491-5972-44C7-B5ED-61CA1187B055}"/>
    <cellStyle name="20% - Accent3 4 3 4" xfId="3170" xr:uid="{8E05BC99-04D0-44FF-900F-9DEF56F1E02A}"/>
    <cellStyle name="20% - Accent3 4 4" xfId="2474" xr:uid="{00000000-0005-0000-0000-000086000000}"/>
    <cellStyle name="20% - Accent3 4 4 2" xfId="3218" xr:uid="{AFEE21B4-7D0B-4A25-A7B4-EC54C98C554A}"/>
    <cellStyle name="20% - Accent3 4 5" xfId="2676" xr:uid="{00000000-0005-0000-0000-000087000000}"/>
    <cellStyle name="20% - Accent3 4 5 2" xfId="3420" xr:uid="{56535FBB-EAF1-42F6-9350-0941333737A7}"/>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2 2" xfId="3330" xr:uid="{AE410340-4ED5-41B8-89DC-F0B8DE200AAB}"/>
    <cellStyle name="20% - Accent3 5 2 3" xfId="2788" xr:uid="{00000000-0005-0000-0000-00008C000000}"/>
    <cellStyle name="20% - Accent3 5 2 3 2" xfId="3532" xr:uid="{76D2472F-84E2-4294-A0D4-EAF7374F5A23}"/>
    <cellStyle name="20% - Accent3 5 2 4" xfId="3111" xr:uid="{DAA30284-BA09-49CE-9CFE-F1B9DADF758D}"/>
    <cellStyle name="20% - Accent3 5 3" xfId="2508" xr:uid="{00000000-0005-0000-0000-00008D000000}"/>
    <cellStyle name="20% - Accent3 5 3 2" xfId="3252" xr:uid="{85DE42EC-0554-4281-B229-7399AED3BE50}"/>
    <cellStyle name="20% - Accent3 5 4" xfId="2710" xr:uid="{00000000-0005-0000-0000-00008E000000}"/>
    <cellStyle name="20% - Accent3 5 4 2" xfId="3454" xr:uid="{7095B228-09CE-4D28-8422-5F87E548CD01}"/>
    <cellStyle name="20% - Accent3 5 5" xfId="3019" xr:uid="{64E3C748-BB1F-4CC3-B9BE-616D27D01D10}"/>
    <cellStyle name="20% - Accent3 6" xfId="2260" xr:uid="{00000000-0005-0000-0000-00008F000000}"/>
    <cellStyle name="20% - Accent3 6 2" xfId="2398" xr:uid="{00000000-0005-0000-0000-000090000000}"/>
    <cellStyle name="20% - Accent3 6 2 2" xfId="2600" xr:uid="{00000000-0005-0000-0000-000091000000}"/>
    <cellStyle name="20% - Accent3 6 2 2 2" xfId="3344" xr:uid="{B45CB7D6-A725-4F8D-ADD3-17E697306284}"/>
    <cellStyle name="20% - Accent3 6 2 3" xfId="2802" xr:uid="{00000000-0005-0000-0000-000092000000}"/>
    <cellStyle name="20% - Accent3 6 2 3 2" xfId="3546" xr:uid="{C30B060F-15EB-483C-8D9F-86EBFBBA7565}"/>
    <cellStyle name="20% - Accent3 6 2 4" xfId="3142" xr:uid="{245881AB-D3BB-4542-B0C0-9F9DA100037D}"/>
    <cellStyle name="20% - Accent3 6 3" xfId="2297" xr:uid="{00000000-0005-0000-0000-000093000000}"/>
    <cellStyle name="20% - Accent3 6 3 2" xfId="3048" xr:uid="{C95B3409-C13A-47A3-B26A-C64431E77388}"/>
    <cellStyle name="20% - Accent3 6 4" xfId="2522" xr:uid="{00000000-0005-0000-0000-000094000000}"/>
    <cellStyle name="20% - Accent3 6 4 2" xfId="3266" xr:uid="{5E0D59C2-AE91-40C2-AE9C-D16F5B0419A3}"/>
    <cellStyle name="20% - Accent3 6 5" xfId="2724" xr:uid="{00000000-0005-0000-0000-000095000000}"/>
    <cellStyle name="20% - Accent3 6 5 2" xfId="3468" xr:uid="{9EADAC21-E3D7-4405-98D1-E872078B9516}"/>
    <cellStyle name="20% - Accent3 6 6" xfId="3033" xr:uid="{2AA38389-8F06-40CB-8D55-06625F86ACE3}"/>
    <cellStyle name="20% - Accent3 7" xfId="2926" xr:uid="{CA2A7571-52F0-420A-8830-5A52C6B4F9B2}"/>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2 2" xfId="3312" xr:uid="{3AAD06DD-3BF3-46DB-B024-CC0F8F1EF592}"/>
    <cellStyle name="20% - Accent4 3 2 2 3" xfId="2770" xr:uid="{00000000-0005-0000-0000-0000A0000000}"/>
    <cellStyle name="20% - Accent4 3 2 2 3 2" xfId="3514" xr:uid="{C1583184-B669-41D1-A140-5AA107DCD8D0}"/>
    <cellStyle name="20% - Accent4 3 2 2 4" xfId="3092" xr:uid="{CB31E33C-7FD7-4A03-8732-47D8BE366830}"/>
    <cellStyle name="20% - Accent4 3 2 3" xfId="2442" xr:uid="{00000000-0005-0000-0000-0000A1000000}"/>
    <cellStyle name="20% - Accent4 3 2 3 2" xfId="2644" xr:uid="{00000000-0005-0000-0000-0000A2000000}"/>
    <cellStyle name="20% - Accent4 3 2 3 2 2" xfId="3388" xr:uid="{97DFDB6F-C161-4408-B90C-E49BF5E634AD}"/>
    <cellStyle name="20% - Accent4 3 2 3 3" xfId="2846" xr:uid="{00000000-0005-0000-0000-0000A3000000}"/>
    <cellStyle name="20% - Accent4 3 2 3 3 2" xfId="3590" xr:uid="{C930472F-1D64-43C9-91C3-867C2AEDDD60}"/>
    <cellStyle name="20% - Accent4 3 2 3 4" xfId="3186" xr:uid="{9E4BA979-2B0A-4526-8A62-4822FF323EBB}"/>
    <cellStyle name="20% - Accent4 3 2 4" xfId="2490" xr:uid="{00000000-0005-0000-0000-0000A4000000}"/>
    <cellStyle name="20% - Accent4 3 2 4 2" xfId="3234" xr:uid="{01233695-A60A-40A3-BFC7-C3BFA50D34F0}"/>
    <cellStyle name="20% - Accent4 3 2 5" xfId="2692" xr:uid="{00000000-0005-0000-0000-0000A5000000}"/>
    <cellStyle name="20% - Accent4 3 2 5 2" xfId="3436" xr:uid="{AE221924-F4FC-4855-8DA5-EC84E4C7AC31}"/>
    <cellStyle name="20% - Accent4 3 2 6" xfId="2868" xr:uid="{00000000-0005-0000-0000-0000A6000000}"/>
    <cellStyle name="20% - Accent4 3 3" xfId="401" xr:uid="{00000000-0005-0000-0000-0000A7000000}"/>
    <cellStyle name="20% - Accent4 3 3 2" xfId="2978" xr:uid="{88F525C1-CA5D-491E-A5A7-A4C2A5C10DAA}"/>
    <cellStyle name="20% - Accent4 3 4" xfId="2320" xr:uid="{00000000-0005-0000-0000-0000A8000000}"/>
    <cellStyle name="20% - Accent4 3 4 2" xfId="2540" xr:uid="{00000000-0005-0000-0000-0000A9000000}"/>
    <cellStyle name="20% - Accent4 3 4 2 2" xfId="3284" xr:uid="{1FCBF037-90FA-45C5-9141-D2135AE79227}"/>
    <cellStyle name="20% - Accent4 3 4 3" xfId="2742" xr:uid="{00000000-0005-0000-0000-0000AA000000}"/>
    <cellStyle name="20% - Accent4 3 4 3 2" xfId="3486" xr:uid="{85E89CF6-23D8-474B-8E5F-C22BE0ABBAB8}"/>
    <cellStyle name="20% - Accent4 3 4 4" xfId="3064" xr:uid="{B9EC82BA-43C5-4F5F-AA56-8B695893F1E2}"/>
    <cellStyle name="20% - Accent4 3 5" xfId="2414" xr:uid="{00000000-0005-0000-0000-0000AB000000}"/>
    <cellStyle name="20% - Accent4 3 5 2" xfId="2616" xr:uid="{00000000-0005-0000-0000-0000AC000000}"/>
    <cellStyle name="20% - Accent4 3 5 2 2" xfId="3360" xr:uid="{381B7D35-7EA9-4A14-87C7-92C9CDACCA39}"/>
    <cellStyle name="20% - Accent4 3 5 3" xfId="2818" xr:uid="{00000000-0005-0000-0000-0000AD000000}"/>
    <cellStyle name="20% - Accent4 3 5 3 2" xfId="3562" xr:uid="{BBA43507-D8B6-4002-BD28-E5ABB74F1D2D}"/>
    <cellStyle name="20% - Accent4 3 5 4" xfId="3158" xr:uid="{35A68934-9796-4C2A-B7BF-95CEEE7A3770}"/>
    <cellStyle name="20% - Accent4 3 6" xfId="2462" xr:uid="{00000000-0005-0000-0000-0000AE000000}"/>
    <cellStyle name="20% - Accent4 3 6 2" xfId="3206" xr:uid="{6FA5D327-9B94-4DDC-9685-8CAA52F01F04}"/>
    <cellStyle name="20% - Accent4 3 7" xfId="2664" xr:uid="{00000000-0005-0000-0000-0000AF000000}"/>
    <cellStyle name="20% - Accent4 3 7 2" xfId="3408" xr:uid="{9E4DB6AE-4B7B-4347-A2D1-D419DEC0004E}"/>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2 2" xfId="3298" xr:uid="{81B7D3C8-8D5E-4A17-AC67-3D16C8A37D3B}"/>
    <cellStyle name="20% - Accent4 4 2 3" xfId="2756" xr:uid="{00000000-0005-0000-0000-0000B4000000}"/>
    <cellStyle name="20% - Accent4 4 2 3 2" xfId="3500" xr:uid="{99889047-3181-4D7A-ADCB-50301EC8D609}"/>
    <cellStyle name="20% - Accent4 4 2 4" xfId="3078" xr:uid="{E5056643-7A0D-497D-9C8F-4DA0B6A41E77}"/>
    <cellStyle name="20% - Accent4 4 3" xfId="2428" xr:uid="{00000000-0005-0000-0000-0000B5000000}"/>
    <cellStyle name="20% - Accent4 4 3 2" xfId="2630" xr:uid="{00000000-0005-0000-0000-0000B6000000}"/>
    <cellStyle name="20% - Accent4 4 3 2 2" xfId="3374" xr:uid="{B95A1276-9CE3-442F-A2C5-97A15BCD3229}"/>
    <cellStyle name="20% - Accent4 4 3 3" xfId="2832" xr:uid="{00000000-0005-0000-0000-0000B7000000}"/>
    <cellStyle name="20% - Accent4 4 3 3 2" xfId="3576" xr:uid="{9272A754-9E4B-4DDD-86F5-95208E754564}"/>
    <cellStyle name="20% - Accent4 4 3 4" xfId="3172" xr:uid="{6EA9DD59-C8E4-42EA-9752-2CCAB64DCD7D}"/>
    <cellStyle name="20% - Accent4 4 4" xfId="2476" xr:uid="{00000000-0005-0000-0000-0000B8000000}"/>
    <cellStyle name="20% - Accent4 4 4 2" xfId="3220" xr:uid="{50765F8E-354B-4E87-940C-701AA5048F2F}"/>
    <cellStyle name="20% - Accent4 4 5" xfId="2678" xr:uid="{00000000-0005-0000-0000-0000B9000000}"/>
    <cellStyle name="20% - Accent4 4 5 2" xfId="3422" xr:uid="{C15388A4-3F3A-4D46-A0FC-67319BB9ECF9}"/>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2 2" xfId="3332" xr:uid="{9A1E3CD5-3C8C-4B0A-B8D2-58EF3AF491A4}"/>
    <cellStyle name="20% - Accent4 5 2 3" xfId="2790" xr:uid="{00000000-0005-0000-0000-0000BE000000}"/>
    <cellStyle name="20% - Accent4 5 2 3 2" xfId="3534" xr:uid="{FC25B389-EEB7-42B6-B012-E0CEA1E6E94B}"/>
    <cellStyle name="20% - Accent4 5 2 4" xfId="3113" xr:uid="{36ABC0AC-92BC-40D6-9CDE-3AC52E367618}"/>
    <cellStyle name="20% - Accent4 5 3" xfId="2510" xr:uid="{00000000-0005-0000-0000-0000BF000000}"/>
    <cellStyle name="20% - Accent4 5 3 2" xfId="3254" xr:uid="{0116BA40-C81E-4D85-A641-A163FAC9F5EB}"/>
    <cellStyle name="20% - Accent4 5 4" xfId="2712" xr:uid="{00000000-0005-0000-0000-0000C0000000}"/>
    <cellStyle name="20% - Accent4 5 4 2" xfId="3456" xr:uid="{BADC4723-464E-4387-A6F3-472A00CD836F}"/>
    <cellStyle name="20% - Accent4 5 5" xfId="3021" xr:uid="{3D56DE71-B12B-4B5C-9631-397C829B1D2A}"/>
    <cellStyle name="20% - Accent4 6" xfId="2262" xr:uid="{00000000-0005-0000-0000-0000C1000000}"/>
    <cellStyle name="20% - Accent4 6 2" xfId="2400" xr:uid="{00000000-0005-0000-0000-0000C2000000}"/>
    <cellStyle name="20% - Accent4 6 2 2" xfId="2602" xr:uid="{00000000-0005-0000-0000-0000C3000000}"/>
    <cellStyle name="20% - Accent4 6 2 2 2" xfId="3346" xr:uid="{49C1E846-BD08-49CC-A625-423FE0D8AAC8}"/>
    <cellStyle name="20% - Accent4 6 2 3" xfId="2804" xr:uid="{00000000-0005-0000-0000-0000C4000000}"/>
    <cellStyle name="20% - Accent4 6 2 3 2" xfId="3548" xr:uid="{65CE865D-6685-46A0-B672-5B78094D8697}"/>
    <cellStyle name="20% - Accent4 6 2 4" xfId="3144" xr:uid="{9F2EB46F-E6B2-4419-BB7A-18EF0E05D378}"/>
    <cellStyle name="20% - Accent4 6 3" xfId="2301" xr:uid="{00000000-0005-0000-0000-0000C5000000}"/>
    <cellStyle name="20% - Accent4 6 3 2" xfId="3050" xr:uid="{C7C07D6B-F747-4AAC-90D0-058DFAB717A9}"/>
    <cellStyle name="20% - Accent4 6 4" xfId="2524" xr:uid="{00000000-0005-0000-0000-0000C6000000}"/>
    <cellStyle name="20% - Accent4 6 4 2" xfId="3268" xr:uid="{BE1BA4ED-8E71-47B1-96F0-C614EE0F5B02}"/>
    <cellStyle name="20% - Accent4 6 5" xfId="2726" xr:uid="{00000000-0005-0000-0000-0000C7000000}"/>
    <cellStyle name="20% - Accent4 6 5 2" xfId="3470" xr:uid="{3F9750AC-99DF-4CFE-82A0-FF26111BAACB}"/>
    <cellStyle name="20% - Accent4 6 6" xfId="3035" xr:uid="{17E8B4A9-90B7-499E-9170-B3C3186AE25B}"/>
    <cellStyle name="20% - Accent4 7" xfId="2928" xr:uid="{A34A3665-21E8-4FF5-9423-7E51B66B5A7E}"/>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2 2" xfId="3314" xr:uid="{A77E94FF-87D6-4859-9025-ACDDB3E622FE}"/>
    <cellStyle name="20% - Accent5 3 2 2 3" xfId="2772" xr:uid="{00000000-0005-0000-0000-0000D2000000}"/>
    <cellStyle name="20% - Accent5 3 2 2 3 2" xfId="3516" xr:uid="{DE91B44D-B28F-4F63-9800-9E65A006D4C7}"/>
    <cellStyle name="20% - Accent5 3 2 2 4" xfId="3094" xr:uid="{DC6B2470-880C-4106-9B82-7800E137FB93}"/>
    <cellStyle name="20% - Accent5 3 2 3" xfId="2444" xr:uid="{00000000-0005-0000-0000-0000D3000000}"/>
    <cellStyle name="20% - Accent5 3 2 3 2" xfId="2646" xr:uid="{00000000-0005-0000-0000-0000D4000000}"/>
    <cellStyle name="20% - Accent5 3 2 3 2 2" xfId="3390" xr:uid="{63E9E964-034F-4444-A9BE-C908881BEF8E}"/>
    <cellStyle name="20% - Accent5 3 2 3 3" xfId="2848" xr:uid="{00000000-0005-0000-0000-0000D5000000}"/>
    <cellStyle name="20% - Accent5 3 2 3 3 2" xfId="3592" xr:uid="{B2C8AF92-5D28-4975-BA97-66FFA5485529}"/>
    <cellStyle name="20% - Accent5 3 2 3 4" xfId="3188" xr:uid="{277D385F-64BA-4B82-AB22-4601B69ADCFC}"/>
    <cellStyle name="20% - Accent5 3 2 4" xfId="2492" xr:uid="{00000000-0005-0000-0000-0000D6000000}"/>
    <cellStyle name="20% - Accent5 3 2 4 2" xfId="3236" xr:uid="{F0561A1A-569F-4398-A96E-FDAF478AFC5B}"/>
    <cellStyle name="20% - Accent5 3 2 5" xfId="2694" xr:uid="{00000000-0005-0000-0000-0000D7000000}"/>
    <cellStyle name="20% - Accent5 3 2 5 2" xfId="3438" xr:uid="{9836ACDD-30E5-424E-9CCE-948F28CA6E94}"/>
    <cellStyle name="20% - Accent5 3 2 6" xfId="2871" xr:uid="{00000000-0005-0000-0000-0000D8000000}"/>
    <cellStyle name="20% - Accent5 3 3" xfId="405" xr:uid="{00000000-0005-0000-0000-0000D9000000}"/>
    <cellStyle name="20% - Accent5 3 3 2" xfId="2980" xr:uid="{BE358350-AA65-4B9E-9A3A-C4FA8BFD761F}"/>
    <cellStyle name="20% - Accent5 3 4" xfId="2322" xr:uid="{00000000-0005-0000-0000-0000DA000000}"/>
    <cellStyle name="20% - Accent5 3 4 2" xfId="2542" xr:uid="{00000000-0005-0000-0000-0000DB000000}"/>
    <cellStyle name="20% - Accent5 3 4 2 2" xfId="3286" xr:uid="{E7F9FA0E-A2E6-453C-B20C-FF7B57EFF28E}"/>
    <cellStyle name="20% - Accent5 3 4 3" xfId="2744" xr:uid="{00000000-0005-0000-0000-0000DC000000}"/>
    <cellStyle name="20% - Accent5 3 4 3 2" xfId="3488" xr:uid="{FCE93E27-8DBD-4A9E-8DF3-1D08D458539D}"/>
    <cellStyle name="20% - Accent5 3 4 4" xfId="3066" xr:uid="{3DE18461-84E9-40BD-9037-980E15007D68}"/>
    <cellStyle name="20% - Accent5 3 5" xfId="2416" xr:uid="{00000000-0005-0000-0000-0000DD000000}"/>
    <cellStyle name="20% - Accent5 3 5 2" xfId="2618" xr:uid="{00000000-0005-0000-0000-0000DE000000}"/>
    <cellStyle name="20% - Accent5 3 5 2 2" xfId="3362" xr:uid="{F7EEEC21-2495-4A09-BC2A-C6056E0DCB86}"/>
    <cellStyle name="20% - Accent5 3 5 3" xfId="2820" xr:uid="{00000000-0005-0000-0000-0000DF000000}"/>
    <cellStyle name="20% - Accent5 3 5 3 2" xfId="3564" xr:uid="{B432F626-38A3-44A2-B79C-D5AE51E311EC}"/>
    <cellStyle name="20% - Accent5 3 5 4" xfId="3160" xr:uid="{0F5988F1-ABD4-4E6C-AA35-38F8AD21B1C4}"/>
    <cellStyle name="20% - Accent5 3 6" xfId="2464" xr:uid="{00000000-0005-0000-0000-0000E0000000}"/>
    <cellStyle name="20% - Accent5 3 6 2" xfId="3208" xr:uid="{2FEABD68-CFB4-46B3-9D45-095330B37F93}"/>
    <cellStyle name="20% - Accent5 3 7" xfId="2666" xr:uid="{00000000-0005-0000-0000-0000E1000000}"/>
    <cellStyle name="20% - Accent5 3 7 2" xfId="3410" xr:uid="{56277F01-B432-42DB-A88C-6E423175C363}"/>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2 2" xfId="3300" xr:uid="{4F26A2F8-53C1-4AB9-922D-2BF3ADC9398F}"/>
    <cellStyle name="20% - Accent5 4 2 3" xfId="2758" xr:uid="{00000000-0005-0000-0000-0000E6000000}"/>
    <cellStyle name="20% - Accent5 4 2 3 2" xfId="3502" xr:uid="{8D792FD1-4A55-46AD-9EED-FBB349A907A6}"/>
    <cellStyle name="20% - Accent5 4 2 4" xfId="3080" xr:uid="{AB26BDCF-FDB5-4A93-B4A3-AE37B2B371D9}"/>
    <cellStyle name="20% - Accent5 4 3" xfId="2430" xr:uid="{00000000-0005-0000-0000-0000E7000000}"/>
    <cellStyle name="20% - Accent5 4 3 2" xfId="2632" xr:uid="{00000000-0005-0000-0000-0000E8000000}"/>
    <cellStyle name="20% - Accent5 4 3 2 2" xfId="3376" xr:uid="{935727CE-6632-4B4D-818A-E551A5B6AC64}"/>
    <cellStyle name="20% - Accent5 4 3 3" xfId="2834" xr:uid="{00000000-0005-0000-0000-0000E9000000}"/>
    <cellStyle name="20% - Accent5 4 3 3 2" xfId="3578" xr:uid="{3E9041F8-534E-4EFC-BE09-CEC509798402}"/>
    <cellStyle name="20% - Accent5 4 3 4" xfId="3174" xr:uid="{C4B61355-3218-476A-A3EA-835C7F95464C}"/>
    <cellStyle name="20% - Accent5 4 4" xfId="2478" xr:uid="{00000000-0005-0000-0000-0000EA000000}"/>
    <cellStyle name="20% - Accent5 4 4 2" xfId="3222" xr:uid="{6E6FFC92-C5FB-4D5F-8042-32EA52B3CB3A}"/>
    <cellStyle name="20% - Accent5 4 5" xfId="2680" xr:uid="{00000000-0005-0000-0000-0000EB000000}"/>
    <cellStyle name="20% - Accent5 4 5 2" xfId="3424" xr:uid="{15960660-9993-4BB1-BDDD-CF4798FC2EBE}"/>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2 2" xfId="3334" xr:uid="{F721AFCD-3E8B-456D-9703-F879FF8DD455}"/>
    <cellStyle name="20% - Accent5 5 2 3" xfId="2792" xr:uid="{00000000-0005-0000-0000-0000F0000000}"/>
    <cellStyle name="20% - Accent5 5 2 3 2" xfId="3536" xr:uid="{C32B3BF4-799F-4A57-9D57-67FB6FE4D647}"/>
    <cellStyle name="20% - Accent5 5 2 4" xfId="3115" xr:uid="{6CC9E4E3-843D-4713-ADB8-CA9E9EAA6EED}"/>
    <cellStyle name="20% - Accent5 5 3" xfId="2512" xr:uid="{00000000-0005-0000-0000-0000F1000000}"/>
    <cellStyle name="20% - Accent5 5 3 2" xfId="3256" xr:uid="{F656C0ED-EDDA-4682-B99C-EC9A3FCCCED1}"/>
    <cellStyle name="20% - Accent5 5 4" xfId="2714" xr:uid="{00000000-0005-0000-0000-0000F2000000}"/>
    <cellStyle name="20% - Accent5 5 4 2" xfId="3458" xr:uid="{5589427E-7537-47D9-AD83-365E4E828E9F}"/>
    <cellStyle name="20% - Accent5 5 5" xfId="3023" xr:uid="{B94B188C-F752-4B92-BC97-03564AE21D64}"/>
    <cellStyle name="20% - Accent5 6" xfId="2264" xr:uid="{00000000-0005-0000-0000-0000F3000000}"/>
    <cellStyle name="20% - Accent5 6 2" xfId="2402" xr:uid="{00000000-0005-0000-0000-0000F4000000}"/>
    <cellStyle name="20% - Accent5 6 2 2" xfId="2604" xr:uid="{00000000-0005-0000-0000-0000F5000000}"/>
    <cellStyle name="20% - Accent5 6 2 2 2" xfId="3348" xr:uid="{DF58E21A-6213-45C4-8CF3-802F6BF6F1F4}"/>
    <cellStyle name="20% - Accent5 6 2 3" xfId="2806" xr:uid="{00000000-0005-0000-0000-0000F6000000}"/>
    <cellStyle name="20% - Accent5 6 2 3 2" xfId="3550" xr:uid="{315A482C-700E-4EC6-8967-8B204C701F1D}"/>
    <cellStyle name="20% - Accent5 6 2 4" xfId="3146" xr:uid="{3A7C15EF-238A-4251-8C02-094F28449AD8}"/>
    <cellStyle name="20% - Accent5 6 3" xfId="2305" xr:uid="{00000000-0005-0000-0000-0000F7000000}"/>
    <cellStyle name="20% - Accent5 6 3 2" xfId="3052" xr:uid="{9FEA3C61-2547-4D51-8996-8925A621C877}"/>
    <cellStyle name="20% - Accent5 6 4" xfId="2526" xr:uid="{00000000-0005-0000-0000-0000F8000000}"/>
    <cellStyle name="20% - Accent5 6 4 2" xfId="3270" xr:uid="{E93E78F8-33F3-449D-92EE-30416FDB2044}"/>
    <cellStyle name="20% - Accent5 6 5" xfId="2728" xr:uid="{00000000-0005-0000-0000-0000F9000000}"/>
    <cellStyle name="20% - Accent5 6 5 2" xfId="3472" xr:uid="{AE7EFD2D-23EB-4F23-AC47-131447967757}"/>
    <cellStyle name="20% - Accent5 6 6" xfId="3037" xr:uid="{E4A26283-31E9-45F2-ABC1-AC7F3D987033}"/>
    <cellStyle name="20% - Accent5 7" xfId="2930" xr:uid="{DD1206F1-FEF3-4651-AA61-DDFAAF20D0CE}"/>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2 2" xfId="3316" xr:uid="{6D3B90AD-1790-4DDF-A2AB-C571BA9372C7}"/>
    <cellStyle name="20% - Accent6 3 2 2 3" xfId="2774" xr:uid="{00000000-0005-0000-0000-000004010000}"/>
    <cellStyle name="20% - Accent6 3 2 2 3 2" xfId="3518" xr:uid="{E8E2F05B-C920-4BA2-8032-4D3D11AA7DAB}"/>
    <cellStyle name="20% - Accent6 3 2 2 4" xfId="3096" xr:uid="{2E3538D7-EDE5-4705-8D43-9AF0D76CE344}"/>
    <cellStyle name="20% - Accent6 3 2 3" xfId="2446" xr:uid="{00000000-0005-0000-0000-000005010000}"/>
    <cellStyle name="20% - Accent6 3 2 3 2" xfId="2648" xr:uid="{00000000-0005-0000-0000-000006010000}"/>
    <cellStyle name="20% - Accent6 3 2 3 2 2" xfId="3392" xr:uid="{E56CBA8F-7797-4BC2-92AD-FAC5BFEB5AB2}"/>
    <cellStyle name="20% - Accent6 3 2 3 3" xfId="2850" xr:uid="{00000000-0005-0000-0000-000007010000}"/>
    <cellStyle name="20% - Accent6 3 2 3 3 2" xfId="3594" xr:uid="{00AD1226-22D4-4851-8D97-84ACA3219D11}"/>
    <cellStyle name="20% - Accent6 3 2 3 4" xfId="3190" xr:uid="{6354CADC-FEF0-47C4-B9E5-594FD6CE2DD4}"/>
    <cellStyle name="20% - Accent6 3 2 4" xfId="2494" xr:uid="{00000000-0005-0000-0000-000008010000}"/>
    <cellStyle name="20% - Accent6 3 2 4 2" xfId="3238" xr:uid="{8CD8C26C-B7D3-413D-B989-5B05E4F3911D}"/>
    <cellStyle name="20% - Accent6 3 2 5" xfId="2696" xr:uid="{00000000-0005-0000-0000-000009010000}"/>
    <cellStyle name="20% - Accent6 3 2 5 2" xfId="3440" xr:uid="{85DA4C07-E22E-4F1A-B633-D6EB51EC83E3}"/>
    <cellStyle name="20% - Accent6 3 2 6" xfId="2874" xr:uid="{00000000-0005-0000-0000-00000A010000}"/>
    <cellStyle name="20% - Accent6 3 3" xfId="409" xr:uid="{00000000-0005-0000-0000-00000B010000}"/>
    <cellStyle name="20% - Accent6 3 3 2" xfId="2982" xr:uid="{A20ECC10-AB6F-46C0-8F79-8194DBAB7EC4}"/>
    <cellStyle name="20% - Accent6 3 4" xfId="2324" xr:uid="{00000000-0005-0000-0000-00000C010000}"/>
    <cellStyle name="20% - Accent6 3 4 2" xfId="2544" xr:uid="{00000000-0005-0000-0000-00000D010000}"/>
    <cellStyle name="20% - Accent6 3 4 2 2" xfId="3288" xr:uid="{A079C1CA-E5ED-4B25-8AE9-D3012CE49353}"/>
    <cellStyle name="20% - Accent6 3 4 3" xfId="2746" xr:uid="{00000000-0005-0000-0000-00000E010000}"/>
    <cellStyle name="20% - Accent6 3 4 3 2" xfId="3490" xr:uid="{8512BA84-D1EE-4379-9C55-32443F0E5B2C}"/>
    <cellStyle name="20% - Accent6 3 4 4" xfId="3068" xr:uid="{C512EEE8-32AD-480B-9D0A-294CF1EF1F95}"/>
    <cellStyle name="20% - Accent6 3 5" xfId="2418" xr:uid="{00000000-0005-0000-0000-00000F010000}"/>
    <cellStyle name="20% - Accent6 3 5 2" xfId="2620" xr:uid="{00000000-0005-0000-0000-000010010000}"/>
    <cellStyle name="20% - Accent6 3 5 2 2" xfId="3364" xr:uid="{70B5464C-0A38-4AD0-B37B-44B16A09D97E}"/>
    <cellStyle name="20% - Accent6 3 5 3" xfId="2822" xr:uid="{00000000-0005-0000-0000-000011010000}"/>
    <cellStyle name="20% - Accent6 3 5 3 2" xfId="3566" xr:uid="{B39D396E-285A-447B-93B1-0F3835988974}"/>
    <cellStyle name="20% - Accent6 3 5 4" xfId="3162" xr:uid="{F994BEBC-9E90-459D-BB5B-128D0C2324DE}"/>
    <cellStyle name="20% - Accent6 3 6" xfId="2466" xr:uid="{00000000-0005-0000-0000-000012010000}"/>
    <cellStyle name="20% - Accent6 3 6 2" xfId="3210" xr:uid="{9378BA4B-6E69-4A25-9603-F87889FA24B8}"/>
    <cellStyle name="20% - Accent6 3 7" xfId="2668" xr:uid="{00000000-0005-0000-0000-000013010000}"/>
    <cellStyle name="20% - Accent6 3 7 2" xfId="3412" xr:uid="{1A88DFA6-C064-4D8B-8D65-EA85B0985CD5}"/>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2 2" xfId="3302" xr:uid="{6FF546D7-E1E5-43EE-B421-F832ADDCDF1C}"/>
    <cellStyle name="20% - Accent6 4 2 3" xfId="2760" xr:uid="{00000000-0005-0000-0000-000018010000}"/>
    <cellStyle name="20% - Accent6 4 2 3 2" xfId="3504" xr:uid="{7100004E-5349-4AB3-AD78-87A38BE8CDA5}"/>
    <cellStyle name="20% - Accent6 4 2 4" xfId="3082" xr:uid="{FEE9EF73-B390-4D03-A3CA-40EA9E47D425}"/>
    <cellStyle name="20% - Accent6 4 3" xfId="2432" xr:uid="{00000000-0005-0000-0000-000019010000}"/>
    <cellStyle name="20% - Accent6 4 3 2" xfId="2634" xr:uid="{00000000-0005-0000-0000-00001A010000}"/>
    <cellStyle name="20% - Accent6 4 3 2 2" xfId="3378" xr:uid="{F4157B47-B772-467C-A942-C2416B0B3195}"/>
    <cellStyle name="20% - Accent6 4 3 3" xfId="2836" xr:uid="{00000000-0005-0000-0000-00001B010000}"/>
    <cellStyle name="20% - Accent6 4 3 3 2" xfId="3580" xr:uid="{57334843-3BA5-4058-BCB2-5635EC068CE2}"/>
    <cellStyle name="20% - Accent6 4 3 4" xfId="3176" xr:uid="{1FF1CF77-85A1-4A4F-8FD1-7389E6E9A370}"/>
    <cellStyle name="20% - Accent6 4 4" xfId="2480" xr:uid="{00000000-0005-0000-0000-00001C010000}"/>
    <cellStyle name="20% - Accent6 4 4 2" xfId="3224" xr:uid="{1964D8A2-BB9B-4E5E-987F-2F5A4316AE20}"/>
    <cellStyle name="20% - Accent6 4 5" xfId="2682" xr:uid="{00000000-0005-0000-0000-00001D010000}"/>
    <cellStyle name="20% - Accent6 4 5 2" xfId="3426" xr:uid="{7A5EA3D3-FCB8-44ED-95BC-C594B4FC97DF}"/>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2 2" xfId="3336" xr:uid="{C414AFAE-C3A8-4ECC-9189-D82ADF13EB45}"/>
    <cellStyle name="20% - Accent6 5 2 3" xfId="2794" xr:uid="{00000000-0005-0000-0000-000022010000}"/>
    <cellStyle name="20% - Accent6 5 2 3 2" xfId="3538" xr:uid="{2106DB33-9794-49F9-83FB-BCDA93AA0BCD}"/>
    <cellStyle name="20% - Accent6 5 2 4" xfId="3117" xr:uid="{F97ED504-4186-4B40-B563-95A801D166E6}"/>
    <cellStyle name="20% - Accent6 5 3" xfId="2514" xr:uid="{00000000-0005-0000-0000-000023010000}"/>
    <cellStyle name="20% - Accent6 5 3 2" xfId="3258" xr:uid="{1175D62A-65EA-40B7-BE5E-4AB0F59CF639}"/>
    <cellStyle name="20% - Accent6 5 4" xfId="2716" xr:uid="{00000000-0005-0000-0000-000024010000}"/>
    <cellStyle name="20% - Accent6 5 4 2" xfId="3460" xr:uid="{2F0A6FC6-C58D-4400-AE83-9303AF84847C}"/>
    <cellStyle name="20% - Accent6 5 5" xfId="3025" xr:uid="{4168E5E7-55E0-4A41-A6EC-D28C1A01FDC4}"/>
    <cellStyle name="20% - Accent6 6" xfId="2266" xr:uid="{00000000-0005-0000-0000-000025010000}"/>
    <cellStyle name="20% - Accent6 6 2" xfId="2404" xr:uid="{00000000-0005-0000-0000-000026010000}"/>
    <cellStyle name="20% - Accent6 6 2 2" xfId="2606" xr:uid="{00000000-0005-0000-0000-000027010000}"/>
    <cellStyle name="20% - Accent6 6 2 2 2" xfId="3350" xr:uid="{AE63A4A2-2154-46C0-AF67-E103F58354EE}"/>
    <cellStyle name="20% - Accent6 6 2 3" xfId="2808" xr:uid="{00000000-0005-0000-0000-000028010000}"/>
    <cellStyle name="20% - Accent6 6 2 3 2" xfId="3552" xr:uid="{7E3F0A18-FDF0-4307-AB27-B05AA265F056}"/>
    <cellStyle name="20% - Accent6 6 2 4" xfId="3148" xr:uid="{06522C46-9FD1-45EA-A616-2FA495406066}"/>
    <cellStyle name="20% - Accent6 6 3" xfId="2309" xr:uid="{00000000-0005-0000-0000-000029010000}"/>
    <cellStyle name="20% - Accent6 6 3 2" xfId="3054" xr:uid="{C0C03235-BE85-4216-9552-E45DA3B1A343}"/>
    <cellStyle name="20% - Accent6 6 4" xfId="2528" xr:uid="{00000000-0005-0000-0000-00002A010000}"/>
    <cellStyle name="20% - Accent6 6 4 2" xfId="3272" xr:uid="{DD2DCF3B-D2DB-41D3-8C34-BBE766685215}"/>
    <cellStyle name="20% - Accent6 6 5" xfId="2730" xr:uid="{00000000-0005-0000-0000-00002B010000}"/>
    <cellStyle name="20% - Accent6 6 5 2" xfId="3474" xr:uid="{9D9AF210-6CBD-4565-A395-8869B96D263C}"/>
    <cellStyle name="20% - Accent6 6 6" xfId="3039" xr:uid="{07399E76-CF63-4D3D-9C64-0D104FC38980}"/>
    <cellStyle name="20% - Accent6 7" xfId="2932" xr:uid="{EB66CE6F-723E-49A4-8C42-2BF819E504E8}"/>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2 2" xfId="3307" xr:uid="{F85008D2-E36E-4E8A-B963-C85B13472270}"/>
    <cellStyle name="40% - Accent1 3 2 2 3" xfId="2765" xr:uid="{00000000-0005-0000-0000-000036010000}"/>
    <cellStyle name="40% - Accent1 3 2 2 3 2" xfId="3509" xr:uid="{79ADECFF-68B8-4AD2-9A29-990945A1BC5E}"/>
    <cellStyle name="40% - Accent1 3 2 2 4" xfId="3087" xr:uid="{BAB0BD06-12D9-4F13-B059-E35475BF8F6F}"/>
    <cellStyle name="40% - Accent1 3 2 3" xfId="2437" xr:uid="{00000000-0005-0000-0000-000037010000}"/>
    <cellStyle name="40% - Accent1 3 2 3 2" xfId="2639" xr:uid="{00000000-0005-0000-0000-000038010000}"/>
    <cellStyle name="40% - Accent1 3 2 3 2 2" xfId="3383" xr:uid="{00B3E299-1269-4CF2-B14B-06E8AD57043C}"/>
    <cellStyle name="40% - Accent1 3 2 3 3" xfId="2841" xr:uid="{00000000-0005-0000-0000-000039010000}"/>
    <cellStyle name="40% - Accent1 3 2 3 3 2" xfId="3585" xr:uid="{70C0F4D9-6CAE-4593-B9FE-96AE9AA41A3F}"/>
    <cellStyle name="40% - Accent1 3 2 3 4" xfId="3181" xr:uid="{8898C745-DD2F-410D-82BE-9C0B2887A654}"/>
    <cellStyle name="40% - Accent1 3 2 4" xfId="2485" xr:uid="{00000000-0005-0000-0000-00003A010000}"/>
    <cellStyle name="40% - Accent1 3 2 4 2" xfId="3229" xr:uid="{252662BC-B201-429D-AA01-470609F26A0D}"/>
    <cellStyle name="40% - Accent1 3 2 5" xfId="2687" xr:uid="{00000000-0005-0000-0000-00003B010000}"/>
    <cellStyle name="40% - Accent1 3 2 5 2" xfId="3431" xr:uid="{6FD74581-BB6D-4C91-8989-FF33F5E0763F}"/>
    <cellStyle name="40% - Accent1 3 2 6" xfId="2877" xr:uid="{00000000-0005-0000-0000-00003C010000}"/>
    <cellStyle name="40% - Accent1 3 3" xfId="390" xr:uid="{00000000-0005-0000-0000-00003D010000}"/>
    <cellStyle name="40% - Accent1 3 3 2" xfId="2973" xr:uid="{6DF02504-C34E-4A04-A8FC-640DB38F5688}"/>
    <cellStyle name="40% - Accent1 3 4" xfId="2315" xr:uid="{00000000-0005-0000-0000-00003E010000}"/>
    <cellStyle name="40% - Accent1 3 4 2" xfId="2535" xr:uid="{00000000-0005-0000-0000-00003F010000}"/>
    <cellStyle name="40% - Accent1 3 4 2 2" xfId="3279" xr:uid="{55DCFD3F-A1EB-4D10-9E3F-E495A7B0BBA5}"/>
    <cellStyle name="40% - Accent1 3 4 3" xfId="2737" xr:uid="{00000000-0005-0000-0000-000040010000}"/>
    <cellStyle name="40% - Accent1 3 4 3 2" xfId="3481" xr:uid="{BFADEB94-E2F8-482B-8650-3C4CEEA4DDD2}"/>
    <cellStyle name="40% - Accent1 3 4 4" xfId="3059" xr:uid="{2E84666A-4D06-49E1-B601-211B2D573DE9}"/>
    <cellStyle name="40% - Accent1 3 5" xfId="2409" xr:uid="{00000000-0005-0000-0000-000041010000}"/>
    <cellStyle name="40% - Accent1 3 5 2" xfId="2611" xr:uid="{00000000-0005-0000-0000-000042010000}"/>
    <cellStyle name="40% - Accent1 3 5 2 2" xfId="3355" xr:uid="{1027BB2D-5953-40A9-995B-F81794811652}"/>
    <cellStyle name="40% - Accent1 3 5 3" xfId="2813" xr:uid="{00000000-0005-0000-0000-000043010000}"/>
    <cellStyle name="40% - Accent1 3 5 3 2" xfId="3557" xr:uid="{3A3C98C0-5A55-45D7-AF49-EC3E52526E92}"/>
    <cellStyle name="40% - Accent1 3 5 4" xfId="3153" xr:uid="{DB0F1878-9EEC-40D9-9BE8-3C0E4EE83958}"/>
    <cellStyle name="40% - Accent1 3 6" xfId="2457" xr:uid="{00000000-0005-0000-0000-000044010000}"/>
    <cellStyle name="40% - Accent1 3 6 2" xfId="3201" xr:uid="{779BD9D7-3207-41A4-98A8-5BB87867B85B}"/>
    <cellStyle name="40% - Accent1 3 7" xfId="2659" xr:uid="{00000000-0005-0000-0000-000045010000}"/>
    <cellStyle name="40% - Accent1 3 7 2" xfId="3403" xr:uid="{30A9AF34-0E53-4291-957C-947A9F724498}"/>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2 2" xfId="3293" xr:uid="{E2782278-F061-4DBE-B5F8-9D56618F3DC9}"/>
    <cellStyle name="40% - Accent1 4 2 3" xfId="2751" xr:uid="{00000000-0005-0000-0000-00004A010000}"/>
    <cellStyle name="40% - Accent1 4 2 3 2" xfId="3495" xr:uid="{633E8AE4-9F30-4E9C-9EE8-449965F44032}"/>
    <cellStyle name="40% - Accent1 4 2 4" xfId="3073" xr:uid="{0C54032A-32B2-4B2B-BE7C-53AD603540B2}"/>
    <cellStyle name="40% - Accent1 4 3" xfId="2423" xr:uid="{00000000-0005-0000-0000-00004B010000}"/>
    <cellStyle name="40% - Accent1 4 3 2" xfId="2625" xr:uid="{00000000-0005-0000-0000-00004C010000}"/>
    <cellStyle name="40% - Accent1 4 3 2 2" xfId="3369" xr:uid="{1AF1B255-CEBA-4CDF-A0ED-968BF151D102}"/>
    <cellStyle name="40% - Accent1 4 3 3" xfId="2827" xr:uid="{00000000-0005-0000-0000-00004D010000}"/>
    <cellStyle name="40% - Accent1 4 3 3 2" xfId="3571" xr:uid="{A88562C0-5B75-440B-B8E7-722B5F623A36}"/>
    <cellStyle name="40% - Accent1 4 3 4" xfId="3167" xr:uid="{39751A84-8C5D-48B7-80E0-9504961DCE34}"/>
    <cellStyle name="40% - Accent1 4 4" xfId="2471" xr:uid="{00000000-0005-0000-0000-00004E010000}"/>
    <cellStyle name="40% - Accent1 4 4 2" xfId="3215" xr:uid="{BB672784-55A0-4DAE-A91A-13E47F54626B}"/>
    <cellStyle name="40% - Accent1 4 5" xfId="2673" xr:uid="{00000000-0005-0000-0000-00004F010000}"/>
    <cellStyle name="40% - Accent1 4 5 2" xfId="3417" xr:uid="{A641E7F1-D710-42BE-8522-96FA3D48D3B1}"/>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2 2" xfId="3327" xr:uid="{C1B4D9AA-A5DD-45C8-94D2-71D41882035A}"/>
    <cellStyle name="40% - Accent1 5 2 3" xfId="2785" xr:uid="{00000000-0005-0000-0000-000054010000}"/>
    <cellStyle name="40% - Accent1 5 2 3 2" xfId="3529" xr:uid="{0B156EAC-52D0-4839-8E68-CCEDB6296949}"/>
    <cellStyle name="40% - Accent1 5 2 4" xfId="3108" xr:uid="{695CB989-D0D7-4544-840B-3A2532A6888E}"/>
    <cellStyle name="40% - Accent1 5 3" xfId="2505" xr:uid="{00000000-0005-0000-0000-000055010000}"/>
    <cellStyle name="40% - Accent1 5 3 2" xfId="3249" xr:uid="{9E341894-5BEE-4EE7-A4A9-29B4C377D522}"/>
    <cellStyle name="40% - Accent1 5 4" xfId="2707" xr:uid="{00000000-0005-0000-0000-000056010000}"/>
    <cellStyle name="40% - Accent1 5 4 2" xfId="3451" xr:uid="{22767F3B-FCAC-4415-B14E-EA3C988EDAA4}"/>
    <cellStyle name="40% - Accent1 5 5" xfId="3016" xr:uid="{984C9B31-2A9C-409E-B943-70540C888C53}"/>
    <cellStyle name="40% - Accent1 6" xfId="2257" xr:uid="{00000000-0005-0000-0000-000057010000}"/>
    <cellStyle name="40% - Accent1 6 2" xfId="2395" xr:uid="{00000000-0005-0000-0000-000058010000}"/>
    <cellStyle name="40% - Accent1 6 2 2" xfId="2597" xr:uid="{00000000-0005-0000-0000-000059010000}"/>
    <cellStyle name="40% - Accent1 6 2 2 2" xfId="3341" xr:uid="{AFF5E970-EEE7-4EDE-8D42-556AFFB8DD24}"/>
    <cellStyle name="40% - Accent1 6 2 3" xfId="2799" xr:uid="{00000000-0005-0000-0000-00005A010000}"/>
    <cellStyle name="40% - Accent1 6 2 3 2" xfId="3543" xr:uid="{4164582F-882F-4277-834B-E1F124C4F8B6}"/>
    <cellStyle name="40% - Accent1 6 2 4" xfId="3139" xr:uid="{5036A92B-39F8-46DD-B3DB-BA8B9D4105AE}"/>
    <cellStyle name="40% - Accent1 6 3" xfId="2290" xr:uid="{00000000-0005-0000-0000-00005B010000}"/>
    <cellStyle name="40% - Accent1 6 3 2" xfId="3045" xr:uid="{E5F5DD49-4122-4912-9750-7986E40CB7F4}"/>
    <cellStyle name="40% - Accent1 6 4" xfId="2519" xr:uid="{00000000-0005-0000-0000-00005C010000}"/>
    <cellStyle name="40% - Accent1 6 4 2" xfId="3263" xr:uid="{48325AFD-EE13-4A06-B87D-BB9EABE59685}"/>
    <cellStyle name="40% - Accent1 6 5" xfId="2721" xr:uid="{00000000-0005-0000-0000-00005D010000}"/>
    <cellStyle name="40% - Accent1 6 5 2" xfId="3465" xr:uid="{91B1690B-937B-42B7-BD80-CCEF9ABA8D2B}"/>
    <cellStyle name="40% - Accent1 6 6" xfId="3030" xr:uid="{078F967E-49D0-4E5A-849F-8CBBF82E8781}"/>
    <cellStyle name="40% - Accent1 7" xfId="2923" xr:uid="{37E9BA61-F906-491F-A5C2-BCFAB21EE1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2 2" xfId="3309" xr:uid="{ECA01418-160E-42F3-A5BE-113E9B30AB17}"/>
    <cellStyle name="40% - Accent2 3 2 2 3" xfId="2767" xr:uid="{00000000-0005-0000-0000-000068010000}"/>
    <cellStyle name="40% - Accent2 3 2 2 3 2" xfId="3511" xr:uid="{38C45C47-AB2B-45CF-B156-CD5564875EF8}"/>
    <cellStyle name="40% - Accent2 3 2 2 4" xfId="3089" xr:uid="{0CBE5B5D-1EF4-4DEF-9F1E-65503C3D6D99}"/>
    <cellStyle name="40% - Accent2 3 2 3" xfId="2439" xr:uid="{00000000-0005-0000-0000-000069010000}"/>
    <cellStyle name="40% - Accent2 3 2 3 2" xfId="2641" xr:uid="{00000000-0005-0000-0000-00006A010000}"/>
    <cellStyle name="40% - Accent2 3 2 3 2 2" xfId="3385" xr:uid="{42119A61-58BF-43E6-863A-F984980129B5}"/>
    <cellStyle name="40% - Accent2 3 2 3 3" xfId="2843" xr:uid="{00000000-0005-0000-0000-00006B010000}"/>
    <cellStyle name="40% - Accent2 3 2 3 3 2" xfId="3587" xr:uid="{54D865AA-3365-45DA-AB19-982917107BD4}"/>
    <cellStyle name="40% - Accent2 3 2 3 4" xfId="3183" xr:uid="{CCC2FE42-AE5F-4664-9637-B0978415D396}"/>
    <cellStyle name="40% - Accent2 3 2 4" xfId="2487" xr:uid="{00000000-0005-0000-0000-00006C010000}"/>
    <cellStyle name="40% - Accent2 3 2 4 2" xfId="3231" xr:uid="{BFD447C3-13DB-44C8-A472-4D19BF3FF627}"/>
    <cellStyle name="40% - Accent2 3 2 5" xfId="2689" xr:uid="{00000000-0005-0000-0000-00006D010000}"/>
    <cellStyle name="40% - Accent2 3 2 5 2" xfId="3433" xr:uid="{CA22D70C-24CA-4FDA-A430-16A3FB89808C}"/>
    <cellStyle name="40% - Accent2 3 2 6" xfId="2880" xr:uid="{00000000-0005-0000-0000-00006E010000}"/>
    <cellStyle name="40% - Accent2 3 3" xfId="394" xr:uid="{00000000-0005-0000-0000-00006F010000}"/>
    <cellStyle name="40% - Accent2 3 3 2" xfId="2975" xr:uid="{11A7AFDD-C5AC-4F04-9E31-F34D531AE931}"/>
    <cellStyle name="40% - Accent2 3 4" xfId="2317" xr:uid="{00000000-0005-0000-0000-000070010000}"/>
    <cellStyle name="40% - Accent2 3 4 2" xfId="2537" xr:uid="{00000000-0005-0000-0000-000071010000}"/>
    <cellStyle name="40% - Accent2 3 4 2 2" xfId="3281" xr:uid="{7DB5A5A8-2E71-4D08-81CA-802CD9A38079}"/>
    <cellStyle name="40% - Accent2 3 4 3" xfId="2739" xr:uid="{00000000-0005-0000-0000-000072010000}"/>
    <cellStyle name="40% - Accent2 3 4 3 2" xfId="3483" xr:uid="{001B955E-C3D1-40BD-8E32-75ECA942DBFC}"/>
    <cellStyle name="40% - Accent2 3 4 4" xfId="3061" xr:uid="{67A71102-EC53-44D9-9129-22124442AF5F}"/>
    <cellStyle name="40% - Accent2 3 5" xfId="2411" xr:uid="{00000000-0005-0000-0000-000073010000}"/>
    <cellStyle name="40% - Accent2 3 5 2" xfId="2613" xr:uid="{00000000-0005-0000-0000-000074010000}"/>
    <cellStyle name="40% - Accent2 3 5 2 2" xfId="3357" xr:uid="{DB620EBF-EDB3-4EF1-9FA5-FBAC0EDE07C6}"/>
    <cellStyle name="40% - Accent2 3 5 3" xfId="2815" xr:uid="{00000000-0005-0000-0000-000075010000}"/>
    <cellStyle name="40% - Accent2 3 5 3 2" xfId="3559" xr:uid="{9555B30F-8F1E-405E-8AAD-74C63AF91AEA}"/>
    <cellStyle name="40% - Accent2 3 5 4" xfId="3155" xr:uid="{BFD2B347-3A02-4686-ADEC-17DC2344BF25}"/>
    <cellStyle name="40% - Accent2 3 6" xfId="2459" xr:uid="{00000000-0005-0000-0000-000076010000}"/>
    <cellStyle name="40% - Accent2 3 6 2" xfId="3203" xr:uid="{760FFA0C-4709-491C-A531-E7F7D46375FA}"/>
    <cellStyle name="40% - Accent2 3 7" xfId="2661" xr:uid="{00000000-0005-0000-0000-000077010000}"/>
    <cellStyle name="40% - Accent2 3 7 2" xfId="3405" xr:uid="{7F9395EC-F7EA-4EE8-A9A2-FD1C888A33A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2 2" xfId="3295" xr:uid="{866C20B1-9B19-4085-B9C6-2E67FD0388C4}"/>
    <cellStyle name="40% - Accent2 4 2 3" xfId="2753" xr:uid="{00000000-0005-0000-0000-00007C010000}"/>
    <cellStyle name="40% - Accent2 4 2 3 2" xfId="3497" xr:uid="{B2707365-8FBA-43C5-BCFE-23CF79367DAC}"/>
    <cellStyle name="40% - Accent2 4 2 4" xfId="3075" xr:uid="{460DF848-D5A3-464D-8FA1-318ABFD4247F}"/>
    <cellStyle name="40% - Accent2 4 3" xfId="2425" xr:uid="{00000000-0005-0000-0000-00007D010000}"/>
    <cellStyle name="40% - Accent2 4 3 2" xfId="2627" xr:uid="{00000000-0005-0000-0000-00007E010000}"/>
    <cellStyle name="40% - Accent2 4 3 2 2" xfId="3371" xr:uid="{8C5C4995-CA1E-4B09-8AB3-0913E574776D}"/>
    <cellStyle name="40% - Accent2 4 3 3" xfId="2829" xr:uid="{00000000-0005-0000-0000-00007F010000}"/>
    <cellStyle name="40% - Accent2 4 3 3 2" xfId="3573" xr:uid="{8B8C14A1-A865-47CE-B853-8C1BBE9F2317}"/>
    <cellStyle name="40% - Accent2 4 3 4" xfId="3169" xr:uid="{4874CF25-A750-4BB6-A0C9-D5AA28D166D7}"/>
    <cellStyle name="40% - Accent2 4 4" xfId="2473" xr:uid="{00000000-0005-0000-0000-000080010000}"/>
    <cellStyle name="40% - Accent2 4 4 2" xfId="3217" xr:uid="{13DADE8D-7CC4-44A3-BBDC-3F93DA97C0FB}"/>
    <cellStyle name="40% - Accent2 4 5" xfId="2675" xr:uid="{00000000-0005-0000-0000-000081010000}"/>
    <cellStyle name="40% - Accent2 4 5 2" xfId="3419" xr:uid="{CA47F22A-5B93-44E1-B9A1-24BC69A47CD6}"/>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2 2" xfId="3329" xr:uid="{484F2F4F-6343-4E5A-AB5D-C6F744064679}"/>
    <cellStyle name="40% - Accent2 5 2 3" xfId="2787" xr:uid="{00000000-0005-0000-0000-000086010000}"/>
    <cellStyle name="40% - Accent2 5 2 3 2" xfId="3531" xr:uid="{9E81C2C8-74B8-455D-8F4C-5A57A6E4718E}"/>
    <cellStyle name="40% - Accent2 5 2 4" xfId="3110" xr:uid="{C186013E-D03C-4899-9ABD-531A149E9504}"/>
    <cellStyle name="40% - Accent2 5 3" xfId="2507" xr:uid="{00000000-0005-0000-0000-000087010000}"/>
    <cellStyle name="40% - Accent2 5 3 2" xfId="3251" xr:uid="{917E74A9-6596-4D64-B9C3-B450C9F31B08}"/>
    <cellStyle name="40% - Accent2 5 4" xfId="2709" xr:uid="{00000000-0005-0000-0000-000088010000}"/>
    <cellStyle name="40% - Accent2 5 4 2" xfId="3453" xr:uid="{85D1A7AD-25C9-419C-A9E1-9CA6E0DD7625}"/>
    <cellStyle name="40% - Accent2 5 5" xfId="3018" xr:uid="{C5405AA4-7A52-46E9-B146-8A98497E3578}"/>
    <cellStyle name="40% - Accent2 6" xfId="2259" xr:uid="{00000000-0005-0000-0000-000089010000}"/>
    <cellStyle name="40% - Accent2 6 2" xfId="2397" xr:uid="{00000000-0005-0000-0000-00008A010000}"/>
    <cellStyle name="40% - Accent2 6 2 2" xfId="2599" xr:uid="{00000000-0005-0000-0000-00008B010000}"/>
    <cellStyle name="40% - Accent2 6 2 2 2" xfId="3343" xr:uid="{E0700056-D735-4D8D-BF39-AEE2349F3F3A}"/>
    <cellStyle name="40% - Accent2 6 2 3" xfId="2801" xr:uid="{00000000-0005-0000-0000-00008C010000}"/>
    <cellStyle name="40% - Accent2 6 2 3 2" xfId="3545" xr:uid="{80EA51AC-53F7-4FA4-8114-F7AE2D302084}"/>
    <cellStyle name="40% - Accent2 6 2 4" xfId="3141" xr:uid="{83FD6447-50F4-46D8-A126-19929E4E4BB6}"/>
    <cellStyle name="40% - Accent2 6 3" xfId="2294" xr:uid="{00000000-0005-0000-0000-00008D010000}"/>
    <cellStyle name="40% - Accent2 6 3 2" xfId="3047" xr:uid="{DEDB40B5-3B04-482C-A11E-CC6C553D2ABA}"/>
    <cellStyle name="40% - Accent2 6 4" xfId="2521" xr:uid="{00000000-0005-0000-0000-00008E010000}"/>
    <cellStyle name="40% - Accent2 6 4 2" xfId="3265" xr:uid="{3890B354-213C-4441-A0D5-7B0FE088E3B7}"/>
    <cellStyle name="40% - Accent2 6 5" xfId="2723" xr:uid="{00000000-0005-0000-0000-00008F010000}"/>
    <cellStyle name="40% - Accent2 6 5 2" xfId="3467" xr:uid="{6C584743-0912-4A6E-BD1E-9F1B1E5BEC02}"/>
    <cellStyle name="40% - Accent2 6 6" xfId="3032" xr:uid="{8764A165-32B4-468B-A01B-79A7916AC8A1}"/>
    <cellStyle name="40% - Accent2 7" xfId="2925" xr:uid="{A9AC4601-69D9-4D9F-9786-423EC62EE5A2}"/>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2 2" xfId="3311" xr:uid="{9510A7C7-F979-4022-90FE-1B56499BF0D6}"/>
    <cellStyle name="40% - Accent3 3 2 2 3" xfId="2769" xr:uid="{00000000-0005-0000-0000-00009A010000}"/>
    <cellStyle name="40% - Accent3 3 2 2 3 2" xfId="3513" xr:uid="{CBCF8110-1E30-483A-9529-98C43EF00B72}"/>
    <cellStyle name="40% - Accent3 3 2 2 4" xfId="3091" xr:uid="{3A268A9E-0C74-40F9-AB4E-4D813666ACFB}"/>
    <cellStyle name="40% - Accent3 3 2 3" xfId="2441" xr:uid="{00000000-0005-0000-0000-00009B010000}"/>
    <cellStyle name="40% - Accent3 3 2 3 2" xfId="2643" xr:uid="{00000000-0005-0000-0000-00009C010000}"/>
    <cellStyle name="40% - Accent3 3 2 3 2 2" xfId="3387" xr:uid="{452EF673-90C7-4D10-B167-5A24DA7FBB6E}"/>
    <cellStyle name="40% - Accent3 3 2 3 3" xfId="2845" xr:uid="{00000000-0005-0000-0000-00009D010000}"/>
    <cellStyle name="40% - Accent3 3 2 3 3 2" xfId="3589" xr:uid="{8A563849-C55E-47D0-BD60-52905B116586}"/>
    <cellStyle name="40% - Accent3 3 2 3 4" xfId="3185" xr:uid="{B9AD1F25-6514-4919-B7A2-F4006D4906F7}"/>
    <cellStyle name="40% - Accent3 3 2 4" xfId="2489" xr:uid="{00000000-0005-0000-0000-00009E010000}"/>
    <cellStyle name="40% - Accent3 3 2 4 2" xfId="3233" xr:uid="{97465678-346F-40C4-B197-4D595B105CEF}"/>
    <cellStyle name="40% - Accent3 3 2 5" xfId="2691" xr:uid="{00000000-0005-0000-0000-00009F010000}"/>
    <cellStyle name="40% - Accent3 3 2 5 2" xfId="3435" xr:uid="{B16978DC-89F1-45C0-8838-9CB0B77C85CF}"/>
    <cellStyle name="40% - Accent3 3 2 6" xfId="2883" xr:uid="{00000000-0005-0000-0000-0000A0010000}"/>
    <cellStyle name="40% - Accent3 3 3" xfId="398" xr:uid="{00000000-0005-0000-0000-0000A1010000}"/>
    <cellStyle name="40% - Accent3 3 3 2" xfId="2977" xr:uid="{D6E3524C-A418-4590-B4D8-30C7B1B9ADA3}"/>
    <cellStyle name="40% - Accent3 3 4" xfId="2319" xr:uid="{00000000-0005-0000-0000-0000A2010000}"/>
    <cellStyle name="40% - Accent3 3 4 2" xfId="2539" xr:uid="{00000000-0005-0000-0000-0000A3010000}"/>
    <cellStyle name="40% - Accent3 3 4 2 2" xfId="3283" xr:uid="{5CAA306A-8DD7-4C4C-9CE7-792E721F8FD2}"/>
    <cellStyle name="40% - Accent3 3 4 3" xfId="2741" xr:uid="{00000000-0005-0000-0000-0000A4010000}"/>
    <cellStyle name="40% - Accent3 3 4 3 2" xfId="3485" xr:uid="{8216A10C-C926-48A5-960C-E557D3F03EA0}"/>
    <cellStyle name="40% - Accent3 3 4 4" xfId="3063" xr:uid="{993789EE-DB6A-4267-9C21-A9E0232F861B}"/>
    <cellStyle name="40% - Accent3 3 5" xfId="2413" xr:uid="{00000000-0005-0000-0000-0000A5010000}"/>
    <cellStyle name="40% - Accent3 3 5 2" xfId="2615" xr:uid="{00000000-0005-0000-0000-0000A6010000}"/>
    <cellStyle name="40% - Accent3 3 5 2 2" xfId="3359" xr:uid="{DDF7232C-C44C-4DB7-962A-F8C72FE0B96F}"/>
    <cellStyle name="40% - Accent3 3 5 3" xfId="2817" xr:uid="{00000000-0005-0000-0000-0000A7010000}"/>
    <cellStyle name="40% - Accent3 3 5 3 2" xfId="3561" xr:uid="{15FD3BD2-63A7-4A5A-B4E9-9525A5411C11}"/>
    <cellStyle name="40% - Accent3 3 5 4" xfId="3157" xr:uid="{56C4D705-C62D-4FF3-821D-D18051A2D8CF}"/>
    <cellStyle name="40% - Accent3 3 6" xfId="2461" xr:uid="{00000000-0005-0000-0000-0000A8010000}"/>
    <cellStyle name="40% - Accent3 3 6 2" xfId="3205" xr:uid="{47074541-6D5B-41EB-B9F2-3408F7363966}"/>
    <cellStyle name="40% - Accent3 3 7" xfId="2663" xr:uid="{00000000-0005-0000-0000-0000A9010000}"/>
    <cellStyle name="40% - Accent3 3 7 2" xfId="3407" xr:uid="{280E1B6D-0372-418E-9DDB-AED63C372977}"/>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2 2" xfId="3297" xr:uid="{688D15F3-BD3F-4AE8-9E9D-D1B8225F27BB}"/>
    <cellStyle name="40% - Accent3 4 2 3" xfId="2755" xr:uid="{00000000-0005-0000-0000-0000AE010000}"/>
    <cellStyle name="40% - Accent3 4 2 3 2" xfId="3499" xr:uid="{D274E0BE-4E3E-4F4A-BC42-0270EE625E4B}"/>
    <cellStyle name="40% - Accent3 4 2 4" xfId="3077" xr:uid="{AA5913D2-18A3-4B92-9881-C5EC4E549855}"/>
    <cellStyle name="40% - Accent3 4 3" xfId="2427" xr:uid="{00000000-0005-0000-0000-0000AF010000}"/>
    <cellStyle name="40% - Accent3 4 3 2" xfId="2629" xr:uid="{00000000-0005-0000-0000-0000B0010000}"/>
    <cellStyle name="40% - Accent3 4 3 2 2" xfId="3373" xr:uid="{9F2A1D9E-4F22-4ECF-B3AD-CDDEBC29E315}"/>
    <cellStyle name="40% - Accent3 4 3 3" xfId="2831" xr:uid="{00000000-0005-0000-0000-0000B1010000}"/>
    <cellStyle name="40% - Accent3 4 3 3 2" xfId="3575" xr:uid="{3076CFA0-5399-4F2A-8907-CF89A6226D37}"/>
    <cellStyle name="40% - Accent3 4 3 4" xfId="3171" xr:uid="{F1590D49-53DA-4145-826F-EF59792CF4B0}"/>
    <cellStyle name="40% - Accent3 4 4" xfId="2475" xr:uid="{00000000-0005-0000-0000-0000B2010000}"/>
    <cellStyle name="40% - Accent3 4 4 2" xfId="3219" xr:uid="{3A3A3EA8-F3FC-498A-A342-A24224FBFAD9}"/>
    <cellStyle name="40% - Accent3 4 5" xfId="2677" xr:uid="{00000000-0005-0000-0000-0000B3010000}"/>
    <cellStyle name="40% - Accent3 4 5 2" xfId="3421" xr:uid="{A526CC88-32EA-4E20-9438-73D5AF1316E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2 2" xfId="3331" xr:uid="{00544390-390F-4250-8E33-B7AF7109EC55}"/>
    <cellStyle name="40% - Accent3 5 2 3" xfId="2789" xr:uid="{00000000-0005-0000-0000-0000B8010000}"/>
    <cellStyle name="40% - Accent3 5 2 3 2" xfId="3533" xr:uid="{800AC9BD-77E5-43A6-80A2-8EE383911037}"/>
    <cellStyle name="40% - Accent3 5 2 4" xfId="3112" xr:uid="{F5826849-B561-446B-82C4-EBFF1E293E7D}"/>
    <cellStyle name="40% - Accent3 5 3" xfId="2509" xr:uid="{00000000-0005-0000-0000-0000B9010000}"/>
    <cellStyle name="40% - Accent3 5 3 2" xfId="3253" xr:uid="{98A4D72D-A6DC-4A94-AD45-B897A0C3C4E2}"/>
    <cellStyle name="40% - Accent3 5 4" xfId="2711" xr:uid="{00000000-0005-0000-0000-0000BA010000}"/>
    <cellStyle name="40% - Accent3 5 4 2" xfId="3455" xr:uid="{7A263CA5-B6C1-42FC-A3CF-01EC70BC6EEA}"/>
    <cellStyle name="40% - Accent3 5 5" xfId="3020" xr:uid="{2ACBD44A-308E-4149-82F0-46C7BB909D48}"/>
    <cellStyle name="40% - Accent3 6" xfId="2261" xr:uid="{00000000-0005-0000-0000-0000BB010000}"/>
    <cellStyle name="40% - Accent3 6 2" xfId="2399" xr:uid="{00000000-0005-0000-0000-0000BC010000}"/>
    <cellStyle name="40% - Accent3 6 2 2" xfId="2601" xr:uid="{00000000-0005-0000-0000-0000BD010000}"/>
    <cellStyle name="40% - Accent3 6 2 2 2" xfId="3345" xr:uid="{82818B5C-A394-462A-AC47-DF2862DF1A81}"/>
    <cellStyle name="40% - Accent3 6 2 3" xfId="2803" xr:uid="{00000000-0005-0000-0000-0000BE010000}"/>
    <cellStyle name="40% - Accent3 6 2 3 2" xfId="3547" xr:uid="{0BB3CB59-8B9E-49CA-84E1-0F94EA6BDEC8}"/>
    <cellStyle name="40% - Accent3 6 2 4" xfId="3143" xr:uid="{D81757DF-9042-406B-BC96-30F9C4618649}"/>
    <cellStyle name="40% - Accent3 6 3" xfId="2298" xr:uid="{00000000-0005-0000-0000-0000BF010000}"/>
    <cellStyle name="40% - Accent3 6 3 2" xfId="3049" xr:uid="{E7C9AB46-AF0D-41AB-93E0-279D784A9CFB}"/>
    <cellStyle name="40% - Accent3 6 4" xfId="2523" xr:uid="{00000000-0005-0000-0000-0000C0010000}"/>
    <cellStyle name="40% - Accent3 6 4 2" xfId="3267" xr:uid="{1D6CD441-7A66-44E7-AEAA-00D2C5346588}"/>
    <cellStyle name="40% - Accent3 6 5" xfId="2725" xr:uid="{00000000-0005-0000-0000-0000C1010000}"/>
    <cellStyle name="40% - Accent3 6 5 2" xfId="3469" xr:uid="{64068125-6E68-439A-B7E5-827821063EFD}"/>
    <cellStyle name="40% - Accent3 6 6" xfId="3034" xr:uid="{52DB8531-12D3-44C0-B306-8EE16BE73D76}"/>
    <cellStyle name="40% - Accent3 7" xfId="2927" xr:uid="{B91D5D54-1AB6-4EC3-95F8-4DDEDB2E1296}"/>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2 2" xfId="3313" xr:uid="{FF40A95C-D2FA-4C06-AADA-4D2919AEB742}"/>
    <cellStyle name="40% - Accent4 3 2 2 3" xfId="2771" xr:uid="{00000000-0005-0000-0000-0000CC010000}"/>
    <cellStyle name="40% - Accent4 3 2 2 3 2" xfId="3515" xr:uid="{9697DA77-4573-4550-A531-B82F2FCE44F8}"/>
    <cellStyle name="40% - Accent4 3 2 2 4" xfId="3093" xr:uid="{52B806E0-2B5A-4A01-9046-8AE79F90FD5B}"/>
    <cellStyle name="40% - Accent4 3 2 3" xfId="2443" xr:uid="{00000000-0005-0000-0000-0000CD010000}"/>
    <cellStyle name="40% - Accent4 3 2 3 2" xfId="2645" xr:uid="{00000000-0005-0000-0000-0000CE010000}"/>
    <cellStyle name="40% - Accent4 3 2 3 2 2" xfId="3389" xr:uid="{C7E0E8F9-E15A-4C68-9F46-7BB1171BF395}"/>
    <cellStyle name="40% - Accent4 3 2 3 3" xfId="2847" xr:uid="{00000000-0005-0000-0000-0000CF010000}"/>
    <cellStyle name="40% - Accent4 3 2 3 3 2" xfId="3591" xr:uid="{3A705B9C-C7E4-433E-83F0-8F0022F4DB0E}"/>
    <cellStyle name="40% - Accent4 3 2 3 4" xfId="3187" xr:uid="{FAC89DAF-1617-44AC-BC6C-5C30FC9D2BDE}"/>
    <cellStyle name="40% - Accent4 3 2 4" xfId="2491" xr:uid="{00000000-0005-0000-0000-0000D0010000}"/>
    <cellStyle name="40% - Accent4 3 2 4 2" xfId="3235" xr:uid="{AB75DA81-D1F0-4D1C-8AAC-4A0736AFEAF1}"/>
    <cellStyle name="40% - Accent4 3 2 5" xfId="2693" xr:uid="{00000000-0005-0000-0000-0000D1010000}"/>
    <cellStyle name="40% - Accent4 3 2 5 2" xfId="3437" xr:uid="{E55F1083-BE1B-4127-86BD-1D89DA3A2239}"/>
    <cellStyle name="40% - Accent4 3 2 6" xfId="2886" xr:uid="{00000000-0005-0000-0000-0000D2010000}"/>
    <cellStyle name="40% - Accent4 3 3" xfId="402" xr:uid="{00000000-0005-0000-0000-0000D3010000}"/>
    <cellStyle name="40% - Accent4 3 3 2" xfId="2979" xr:uid="{DCC3C1C9-4065-4A9C-BFFC-3602C484CCE5}"/>
    <cellStyle name="40% - Accent4 3 4" xfId="2321" xr:uid="{00000000-0005-0000-0000-0000D4010000}"/>
    <cellStyle name="40% - Accent4 3 4 2" xfId="2541" xr:uid="{00000000-0005-0000-0000-0000D5010000}"/>
    <cellStyle name="40% - Accent4 3 4 2 2" xfId="3285" xr:uid="{C7DABA79-440D-4C3A-A464-EBA95A54EE01}"/>
    <cellStyle name="40% - Accent4 3 4 3" xfId="2743" xr:uid="{00000000-0005-0000-0000-0000D6010000}"/>
    <cellStyle name="40% - Accent4 3 4 3 2" xfId="3487" xr:uid="{21201183-386C-4989-B423-4B10B365138C}"/>
    <cellStyle name="40% - Accent4 3 4 4" xfId="3065" xr:uid="{45BB690A-9415-4732-9EB8-56EFFD2B8776}"/>
    <cellStyle name="40% - Accent4 3 5" xfId="2415" xr:uid="{00000000-0005-0000-0000-0000D7010000}"/>
    <cellStyle name="40% - Accent4 3 5 2" xfId="2617" xr:uid="{00000000-0005-0000-0000-0000D8010000}"/>
    <cellStyle name="40% - Accent4 3 5 2 2" xfId="3361" xr:uid="{309DF113-573E-4E14-A2CE-48BB2E4B95BA}"/>
    <cellStyle name="40% - Accent4 3 5 3" xfId="2819" xr:uid="{00000000-0005-0000-0000-0000D9010000}"/>
    <cellStyle name="40% - Accent4 3 5 3 2" xfId="3563" xr:uid="{92A087C5-2A17-4243-A035-29608FCBE1A5}"/>
    <cellStyle name="40% - Accent4 3 5 4" xfId="3159" xr:uid="{2B8677A3-98E3-4162-8057-3AAE75AEC365}"/>
    <cellStyle name="40% - Accent4 3 6" xfId="2463" xr:uid="{00000000-0005-0000-0000-0000DA010000}"/>
    <cellStyle name="40% - Accent4 3 6 2" xfId="3207" xr:uid="{8DEB8E62-899D-4C48-B0D9-8DB9C8930CC7}"/>
    <cellStyle name="40% - Accent4 3 7" xfId="2665" xr:uid="{00000000-0005-0000-0000-0000DB010000}"/>
    <cellStyle name="40% - Accent4 3 7 2" xfId="3409" xr:uid="{752419CC-29F4-4339-BE90-0D6098F16E64}"/>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2 2" xfId="3299" xr:uid="{33310A8C-E922-4FF6-94F6-F6C804D9A23E}"/>
    <cellStyle name="40% - Accent4 4 2 3" xfId="2757" xr:uid="{00000000-0005-0000-0000-0000E0010000}"/>
    <cellStyle name="40% - Accent4 4 2 3 2" xfId="3501" xr:uid="{72FBEC8F-2C3B-4C80-BF5D-CA6B0189C170}"/>
    <cellStyle name="40% - Accent4 4 2 4" xfId="3079" xr:uid="{CBB7F603-263B-4362-A237-02F7B157D796}"/>
    <cellStyle name="40% - Accent4 4 3" xfId="2429" xr:uid="{00000000-0005-0000-0000-0000E1010000}"/>
    <cellStyle name="40% - Accent4 4 3 2" xfId="2631" xr:uid="{00000000-0005-0000-0000-0000E2010000}"/>
    <cellStyle name="40% - Accent4 4 3 2 2" xfId="3375" xr:uid="{86C19B8D-6403-4E65-AB7B-C9D56C8DB2E0}"/>
    <cellStyle name="40% - Accent4 4 3 3" xfId="2833" xr:uid="{00000000-0005-0000-0000-0000E3010000}"/>
    <cellStyle name="40% - Accent4 4 3 3 2" xfId="3577" xr:uid="{FE648E37-42B7-469A-BA69-3DEBBC8AD39C}"/>
    <cellStyle name="40% - Accent4 4 3 4" xfId="3173" xr:uid="{9220711F-DA92-4F25-9DAE-BDAE2A592184}"/>
    <cellStyle name="40% - Accent4 4 4" xfId="2477" xr:uid="{00000000-0005-0000-0000-0000E4010000}"/>
    <cellStyle name="40% - Accent4 4 4 2" xfId="3221" xr:uid="{92FC36C1-67C0-4048-B57A-DCC4900FC549}"/>
    <cellStyle name="40% - Accent4 4 5" xfId="2679" xr:uid="{00000000-0005-0000-0000-0000E5010000}"/>
    <cellStyle name="40% - Accent4 4 5 2" xfId="3423" xr:uid="{9783BD74-8E1D-409C-8958-7CE4A30DC9CF}"/>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2 2" xfId="3333" xr:uid="{ADEF5D00-9B90-4DB8-BCCB-530276282DE3}"/>
    <cellStyle name="40% - Accent4 5 2 3" xfId="2791" xr:uid="{00000000-0005-0000-0000-0000EA010000}"/>
    <cellStyle name="40% - Accent4 5 2 3 2" xfId="3535" xr:uid="{1853B4CC-E3D7-49C9-85AF-BBD4D859E3D3}"/>
    <cellStyle name="40% - Accent4 5 2 4" xfId="3114" xr:uid="{F998721B-13B3-4D39-A529-4E0D4B232111}"/>
    <cellStyle name="40% - Accent4 5 3" xfId="2511" xr:uid="{00000000-0005-0000-0000-0000EB010000}"/>
    <cellStyle name="40% - Accent4 5 3 2" xfId="3255" xr:uid="{82660081-9368-4C1F-A49D-52013795348E}"/>
    <cellStyle name="40% - Accent4 5 4" xfId="2713" xr:uid="{00000000-0005-0000-0000-0000EC010000}"/>
    <cellStyle name="40% - Accent4 5 4 2" xfId="3457" xr:uid="{83EA47C6-E134-4E08-BEDF-425B5FCD370D}"/>
    <cellStyle name="40% - Accent4 5 5" xfId="3022" xr:uid="{0798E09D-A091-4687-A965-2857B27C3336}"/>
    <cellStyle name="40% - Accent4 6" xfId="2263" xr:uid="{00000000-0005-0000-0000-0000ED010000}"/>
    <cellStyle name="40% - Accent4 6 2" xfId="2401" xr:uid="{00000000-0005-0000-0000-0000EE010000}"/>
    <cellStyle name="40% - Accent4 6 2 2" xfId="2603" xr:uid="{00000000-0005-0000-0000-0000EF010000}"/>
    <cellStyle name="40% - Accent4 6 2 2 2" xfId="3347" xr:uid="{C4A2A1A2-0CCE-474A-85A6-C6DE54C6AD73}"/>
    <cellStyle name="40% - Accent4 6 2 3" xfId="2805" xr:uid="{00000000-0005-0000-0000-0000F0010000}"/>
    <cellStyle name="40% - Accent4 6 2 3 2" xfId="3549" xr:uid="{89589E6D-0F95-4229-8FD4-C6E77B113E4D}"/>
    <cellStyle name="40% - Accent4 6 2 4" xfId="3145" xr:uid="{78C929F8-5071-407B-BC7E-D81CCB86BC61}"/>
    <cellStyle name="40% - Accent4 6 3" xfId="2302" xr:uid="{00000000-0005-0000-0000-0000F1010000}"/>
    <cellStyle name="40% - Accent4 6 3 2" xfId="3051" xr:uid="{E68E1611-CB66-4F58-B445-5E53B7EAD62B}"/>
    <cellStyle name="40% - Accent4 6 4" xfId="2525" xr:uid="{00000000-0005-0000-0000-0000F2010000}"/>
    <cellStyle name="40% - Accent4 6 4 2" xfId="3269" xr:uid="{32B51989-87C2-48FC-B06B-676779DE81AF}"/>
    <cellStyle name="40% - Accent4 6 5" xfId="2727" xr:uid="{00000000-0005-0000-0000-0000F3010000}"/>
    <cellStyle name="40% - Accent4 6 5 2" xfId="3471" xr:uid="{77665ED3-B13D-47BC-AF96-88A21DDD698A}"/>
    <cellStyle name="40% - Accent4 6 6" xfId="3036" xr:uid="{BE839FCC-783F-4F8E-9FA6-817D05CBC051}"/>
    <cellStyle name="40% - Accent4 7" xfId="2929" xr:uid="{CBE439E0-73BC-46FD-AB3D-0DF5A6A60327}"/>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2 2" xfId="3315" xr:uid="{3ACD9C22-42CF-4A54-AC43-63D834090DA2}"/>
    <cellStyle name="40% - Accent5 3 2 2 3" xfId="2773" xr:uid="{00000000-0005-0000-0000-0000FE010000}"/>
    <cellStyle name="40% - Accent5 3 2 2 3 2" xfId="3517" xr:uid="{4AC8D3C1-455F-40D9-97C2-0F1009E4F9FA}"/>
    <cellStyle name="40% - Accent5 3 2 2 4" xfId="3095" xr:uid="{B59E45E3-B293-46DD-8178-65B561151B51}"/>
    <cellStyle name="40% - Accent5 3 2 3" xfId="2445" xr:uid="{00000000-0005-0000-0000-0000FF010000}"/>
    <cellStyle name="40% - Accent5 3 2 3 2" xfId="2647" xr:uid="{00000000-0005-0000-0000-000000020000}"/>
    <cellStyle name="40% - Accent5 3 2 3 2 2" xfId="3391" xr:uid="{FE685BC1-EFC5-4BEC-8BC0-ADAA55F78AFA}"/>
    <cellStyle name="40% - Accent5 3 2 3 3" xfId="2849" xr:uid="{00000000-0005-0000-0000-000001020000}"/>
    <cellStyle name="40% - Accent5 3 2 3 3 2" xfId="3593" xr:uid="{CBA56CEE-B055-49F4-8661-2DD56AF72F97}"/>
    <cellStyle name="40% - Accent5 3 2 3 4" xfId="3189" xr:uid="{371EE47B-7577-4545-8066-94300721FB07}"/>
    <cellStyle name="40% - Accent5 3 2 4" xfId="2493" xr:uid="{00000000-0005-0000-0000-000002020000}"/>
    <cellStyle name="40% - Accent5 3 2 4 2" xfId="3237" xr:uid="{68EA07AB-59B4-4E3B-88BA-E99D48B46E3F}"/>
    <cellStyle name="40% - Accent5 3 2 5" xfId="2695" xr:uid="{00000000-0005-0000-0000-000003020000}"/>
    <cellStyle name="40% - Accent5 3 2 5 2" xfId="3439" xr:uid="{762999A1-171D-4BB9-BD58-980471C47BE0}"/>
    <cellStyle name="40% - Accent5 3 2 6" xfId="2889" xr:uid="{00000000-0005-0000-0000-000004020000}"/>
    <cellStyle name="40% - Accent5 3 3" xfId="406" xr:uid="{00000000-0005-0000-0000-000005020000}"/>
    <cellStyle name="40% - Accent5 3 3 2" xfId="2981" xr:uid="{4566CA7A-23A6-458A-B6A5-E96F2B7E4990}"/>
    <cellStyle name="40% - Accent5 3 4" xfId="2323" xr:uid="{00000000-0005-0000-0000-000006020000}"/>
    <cellStyle name="40% - Accent5 3 4 2" xfId="2543" xr:uid="{00000000-0005-0000-0000-000007020000}"/>
    <cellStyle name="40% - Accent5 3 4 2 2" xfId="3287" xr:uid="{771560BB-5A59-46E5-9565-64BD6A59484D}"/>
    <cellStyle name="40% - Accent5 3 4 3" xfId="2745" xr:uid="{00000000-0005-0000-0000-000008020000}"/>
    <cellStyle name="40% - Accent5 3 4 3 2" xfId="3489" xr:uid="{831F3423-78CF-43B9-AAE4-32F6E8A0B072}"/>
    <cellStyle name="40% - Accent5 3 4 4" xfId="3067" xr:uid="{AC3EDEC5-25B3-4D78-A611-27E75D9E193B}"/>
    <cellStyle name="40% - Accent5 3 5" xfId="2417" xr:uid="{00000000-0005-0000-0000-000009020000}"/>
    <cellStyle name="40% - Accent5 3 5 2" xfId="2619" xr:uid="{00000000-0005-0000-0000-00000A020000}"/>
    <cellStyle name="40% - Accent5 3 5 2 2" xfId="3363" xr:uid="{E661FF58-6AA9-4980-922E-9AF6E0010E76}"/>
    <cellStyle name="40% - Accent5 3 5 3" xfId="2821" xr:uid="{00000000-0005-0000-0000-00000B020000}"/>
    <cellStyle name="40% - Accent5 3 5 3 2" xfId="3565" xr:uid="{493D5A39-4BC3-4CC4-BAF1-1BF88C0B24C5}"/>
    <cellStyle name="40% - Accent5 3 5 4" xfId="3161" xr:uid="{67242882-407D-4ACE-A463-9C7CF9E990F0}"/>
    <cellStyle name="40% - Accent5 3 6" xfId="2465" xr:uid="{00000000-0005-0000-0000-00000C020000}"/>
    <cellStyle name="40% - Accent5 3 6 2" xfId="3209" xr:uid="{7962CA44-6D81-4C39-87F8-0075948F81EC}"/>
    <cellStyle name="40% - Accent5 3 7" xfId="2667" xr:uid="{00000000-0005-0000-0000-00000D020000}"/>
    <cellStyle name="40% - Accent5 3 7 2" xfId="3411" xr:uid="{4F4F125A-2FF4-4098-A1C9-C344DBC6C04F}"/>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2 2" xfId="3301" xr:uid="{15E9B177-FD5D-4A28-A0A0-F0130516AE43}"/>
    <cellStyle name="40% - Accent5 4 2 3" xfId="2759" xr:uid="{00000000-0005-0000-0000-000012020000}"/>
    <cellStyle name="40% - Accent5 4 2 3 2" xfId="3503" xr:uid="{D383B4FD-8F15-426B-9713-DA402A7C62E2}"/>
    <cellStyle name="40% - Accent5 4 2 4" xfId="3081" xr:uid="{C8CF7B30-4F8F-4E5C-89CA-3F6A6FD4E2D7}"/>
    <cellStyle name="40% - Accent5 4 3" xfId="2431" xr:uid="{00000000-0005-0000-0000-000013020000}"/>
    <cellStyle name="40% - Accent5 4 3 2" xfId="2633" xr:uid="{00000000-0005-0000-0000-000014020000}"/>
    <cellStyle name="40% - Accent5 4 3 2 2" xfId="3377" xr:uid="{C5F10DB7-C084-492E-B273-5FEB92DAD606}"/>
    <cellStyle name="40% - Accent5 4 3 3" xfId="2835" xr:uid="{00000000-0005-0000-0000-000015020000}"/>
    <cellStyle name="40% - Accent5 4 3 3 2" xfId="3579" xr:uid="{1E0A147F-0478-4EE7-B798-AE304C9248DD}"/>
    <cellStyle name="40% - Accent5 4 3 4" xfId="3175" xr:uid="{DEE40EDE-2455-43DD-B448-F26DCF98FF72}"/>
    <cellStyle name="40% - Accent5 4 4" xfId="2479" xr:uid="{00000000-0005-0000-0000-000016020000}"/>
    <cellStyle name="40% - Accent5 4 4 2" xfId="3223" xr:uid="{5CC2C5E1-683B-4673-AB1F-FC5FDEA1A79A}"/>
    <cellStyle name="40% - Accent5 4 5" xfId="2681" xr:uid="{00000000-0005-0000-0000-000017020000}"/>
    <cellStyle name="40% - Accent5 4 5 2" xfId="3425" xr:uid="{2A553407-A853-4F16-B89E-22C7620D951F}"/>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2 2" xfId="3335" xr:uid="{1EEA586C-4C18-4E84-A333-2D200EDDDC60}"/>
    <cellStyle name="40% - Accent5 5 2 3" xfId="2793" xr:uid="{00000000-0005-0000-0000-00001C020000}"/>
    <cellStyle name="40% - Accent5 5 2 3 2" xfId="3537" xr:uid="{3F966AD9-54A2-46EF-B5BF-FA96742FBAB4}"/>
    <cellStyle name="40% - Accent5 5 2 4" xfId="3116" xr:uid="{FAA88A70-2583-4961-9EC1-82AA53A66F0B}"/>
    <cellStyle name="40% - Accent5 5 3" xfId="2513" xr:uid="{00000000-0005-0000-0000-00001D020000}"/>
    <cellStyle name="40% - Accent5 5 3 2" xfId="3257" xr:uid="{70768A0B-8A55-4ABC-ADFA-9F6E430AFBC5}"/>
    <cellStyle name="40% - Accent5 5 4" xfId="2715" xr:uid="{00000000-0005-0000-0000-00001E020000}"/>
    <cellStyle name="40% - Accent5 5 4 2" xfId="3459" xr:uid="{A88E6511-76B9-462C-AA3A-9A507DF97B96}"/>
    <cellStyle name="40% - Accent5 5 5" xfId="3024" xr:uid="{BBBBD2F2-6CE3-4715-AF0D-691E1BCCD6A4}"/>
    <cellStyle name="40% - Accent5 6" xfId="2265" xr:uid="{00000000-0005-0000-0000-00001F020000}"/>
    <cellStyle name="40% - Accent5 6 2" xfId="2403" xr:uid="{00000000-0005-0000-0000-000020020000}"/>
    <cellStyle name="40% - Accent5 6 2 2" xfId="2605" xr:uid="{00000000-0005-0000-0000-000021020000}"/>
    <cellStyle name="40% - Accent5 6 2 2 2" xfId="3349" xr:uid="{8D5CAF9C-1DC9-484B-8684-DD65A63913DA}"/>
    <cellStyle name="40% - Accent5 6 2 3" xfId="2807" xr:uid="{00000000-0005-0000-0000-000022020000}"/>
    <cellStyle name="40% - Accent5 6 2 3 2" xfId="3551" xr:uid="{776C8494-CC72-4E81-82D8-9B839DC7C6FA}"/>
    <cellStyle name="40% - Accent5 6 2 4" xfId="3147" xr:uid="{CA73ECAC-2A9B-483C-BABC-85B71A8254DF}"/>
    <cellStyle name="40% - Accent5 6 3" xfId="2306" xr:uid="{00000000-0005-0000-0000-000023020000}"/>
    <cellStyle name="40% - Accent5 6 3 2" xfId="3053" xr:uid="{447D62A7-CBD0-420B-A13E-087CBA28AF65}"/>
    <cellStyle name="40% - Accent5 6 4" xfId="2527" xr:uid="{00000000-0005-0000-0000-000024020000}"/>
    <cellStyle name="40% - Accent5 6 4 2" xfId="3271" xr:uid="{2F6CA94E-B860-460F-B942-861703036D11}"/>
    <cellStyle name="40% - Accent5 6 5" xfId="2729" xr:uid="{00000000-0005-0000-0000-000025020000}"/>
    <cellStyle name="40% - Accent5 6 5 2" xfId="3473" xr:uid="{60D9D682-5914-4383-B3ED-F39A97ACCBCF}"/>
    <cellStyle name="40% - Accent5 6 6" xfId="3038" xr:uid="{E470D667-1667-4712-907E-FAF3897CC5B6}"/>
    <cellStyle name="40% - Accent5 7" xfId="2931" xr:uid="{8B63A855-2FA3-492A-81AF-25E3E23B1666}"/>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2 2" xfId="3317" xr:uid="{470658EE-CE68-471B-AF23-FFFC4D147F65}"/>
    <cellStyle name="40% - Accent6 3 2 2 3" xfId="2775" xr:uid="{00000000-0005-0000-0000-000030020000}"/>
    <cellStyle name="40% - Accent6 3 2 2 3 2" xfId="3519" xr:uid="{7A0F3813-5CA5-44C0-9EED-50004F7929B3}"/>
    <cellStyle name="40% - Accent6 3 2 2 4" xfId="3097" xr:uid="{22E25FA7-7967-44BA-9D6F-62255FD21B72}"/>
    <cellStyle name="40% - Accent6 3 2 3" xfId="2447" xr:uid="{00000000-0005-0000-0000-000031020000}"/>
    <cellStyle name="40% - Accent6 3 2 3 2" xfId="2649" xr:uid="{00000000-0005-0000-0000-000032020000}"/>
    <cellStyle name="40% - Accent6 3 2 3 2 2" xfId="3393" xr:uid="{430155FF-4DF5-42B6-8405-C1B660FE0467}"/>
    <cellStyle name="40% - Accent6 3 2 3 3" xfId="2851" xr:uid="{00000000-0005-0000-0000-000033020000}"/>
    <cellStyle name="40% - Accent6 3 2 3 3 2" xfId="3595" xr:uid="{4A5D092D-4424-4452-AE27-FE69F2AF7861}"/>
    <cellStyle name="40% - Accent6 3 2 3 4" xfId="3191" xr:uid="{EDFE9BAF-D39C-4DE1-B283-44740CB04882}"/>
    <cellStyle name="40% - Accent6 3 2 4" xfId="2495" xr:uid="{00000000-0005-0000-0000-000034020000}"/>
    <cellStyle name="40% - Accent6 3 2 4 2" xfId="3239" xr:uid="{BDD497FB-901D-405B-B584-FF721DE94336}"/>
    <cellStyle name="40% - Accent6 3 2 5" xfId="2697" xr:uid="{00000000-0005-0000-0000-000035020000}"/>
    <cellStyle name="40% - Accent6 3 2 5 2" xfId="3441" xr:uid="{96E913E8-A033-4D03-9B7D-7845E7EE7A15}"/>
    <cellStyle name="40% - Accent6 3 2 6" xfId="2892" xr:uid="{00000000-0005-0000-0000-000036020000}"/>
    <cellStyle name="40% - Accent6 3 3" xfId="410" xr:uid="{00000000-0005-0000-0000-000037020000}"/>
    <cellStyle name="40% - Accent6 3 3 2" xfId="2983" xr:uid="{184F30C6-D813-49C3-BC26-877F358EF3D0}"/>
    <cellStyle name="40% - Accent6 3 4" xfId="2325" xr:uid="{00000000-0005-0000-0000-000038020000}"/>
    <cellStyle name="40% - Accent6 3 4 2" xfId="2545" xr:uid="{00000000-0005-0000-0000-000039020000}"/>
    <cellStyle name="40% - Accent6 3 4 2 2" xfId="3289" xr:uid="{E868913F-733E-451A-A1A6-DC9FA8F01F04}"/>
    <cellStyle name="40% - Accent6 3 4 3" xfId="2747" xr:uid="{00000000-0005-0000-0000-00003A020000}"/>
    <cellStyle name="40% - Accent6 3 4 3 2" xfId="3491" xr:uid="{90D1B476-7A83-4182-8580-E69578235198}"/>
    <cellStyle name="40% - Accent6 3 4 4" xfId="3069" xr:uid="{E3156034-49A1-4662-9770-C9AADC87A315}"/>
    <cellStyle name="40% - Accent6 3 5" xfId="2419" xr:uid="{00000000-0005-0000-0000-00003B020000}"/>
    <cellStyle name="40% - Accent6 3 5 2" xfId="2621" xr:uid="{00000000-0005-0000-0000-00003C020000}"/>
    <cellStyle name="40% - Accent6 3 5 2 2" xfId="3365" xr:uid="{CF10677E-0FEC-44B9-A57C-621C570F3201}"/>
    <cellStyle name="40% - Accent6 3 5 3" xfId="2823" xr:uid="{00000000-0005-0000-0000-00003D020000}"/>
    <cellStyle name="40% - Accent6 3 5 3 2" xfId="3567" xr:uid="{7F370F6A-135F-46C0-8C1C-4DA0C0222ED3}"/>
    <cellStyle name="40% - Accent6 3 5 4" xfId="3163" xr:uid="{302B2179-AB16-48BD-8122-6B0CFFD4ADF1}"/>
    <cellStyle name="40% - Accent6 3 6" xfId="2467" xr:uid="{00000000-0005-0000-0000-00003E020000}"/>
    <cellStyle name="40% - Accent6 3 6 2" xfId="3211" xr:uid="{72F38441-F8E1-4D75-BCF0-353414C66DD0}"/>
    <cellStyle name="40% - Accent6 3 7" xfId="2669" xr:uid="{00000000-0005-0000-0000-00003F020000}"/>
    <cellStyle name="40% - Accent6 3 7 2" xfId="3413" xr:uid="{1187D1C3-21C1-4DA9-AC7B-4412F7B0EAD7}"/>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2 2" xfId="3303" xr:uid="{25929256-E7C7-4D9E-9A9E-86795CBAFF5C}"/>
    <cellStyle name="40% - Accent6 4 2 3" xfId="2761" xr:uid="{00000000-0005-0000-0000-000044020000}"/>
    <cellStyle name="40% - Accent6 4 2 3 2" xfId="3505" xr:uid="{A0723C11-FF5D-41F5-AE34-78E9103F0CA0}"/>
    <cellStyle name="40% - Accent6 4 2 4" xfId="3083" xr:uid="{99D49D11-7DE9-46B2-BFD7-4E38E11E14B5}"/>
    <cellStyle name="40% - Accent6 4 3" xfId="2433" xr:uid="{00000000-0005-0000-0000-000045020000}"/>
    <cellStyle name="40% - Accent6 4 3 2" xfId="2635" xr:uid="{00000000-0005-0000-0000-000046020000}"/>
    <cellStyle name="40% - Accent6 4 3 2 2" xfId="3379" xr:uid="{586A2C79-5F15-4323-85E8-A2AB6F0C54BD}"/>
    <cellStyle name="40% - Accent6 4 3 3" xfId="2837" xr:uid="{00000000-0005-0000-0000-000047020000}"/>
    <cellStyle name="40% - Accent6 4 3 3 2" xfId="3581" xr:uid="{C97FB649-34A3-4E36-A188-F91A25DA1E35}"/>
    <cellStyle name="40% - Accent6 4 3 4" xfId="3177" xr:uid="{44A1B7F0-2FEF-4450-86D9-06F979B8D39B}"/>
    <cellStyle name="40% - Accent6 4 4" xfId="2481" xr:uid="{00000000-0005-0000-0000-000048020000}"/>
    <cellStyle name="40% - Accent6 4 4 2" xfId="3225" xr:uid="{BA1FD95C-ABD4-47C0-A007-B62B09776EC9}"/>
    <cellStyle name="40% - Accent6 4 5" xfId="2683" xr:uid="{00000000-0005-0000-0000-000049020000}"/>
    <cellStyle name="40% - Accent6 4 5 2" xfId="3427" xr:uid="{7ED6B6A7-2048-4025-A9BA-E8AE423500E5}"/>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2 2" xfId="3337" xr:uid="{7CAEBEAF-EF9B-41B2-9490-5209C7EC7AAD}"/>
    <cellStyle name="40% - Accent6 5 2 3" xfId="2795" xr:uid="{00000000-0005-0000-0000-00004E020000}"/>
    <cellStyle name="40% - Accent6 5 2 3 2" xfId="3539" xr:uid="{410682E4-9818-4BEC-8F92-1A699D5A0A75}"/>
    <cellStyle name="40% - Accent6 5 2 4" xfId="3118" xr:uid="{5F417AA6-A4D6-4CC6-BDC0-1C254D5B0380}"/>
    <cellStyle name="40% - Accent6 5 3" xfId="2515" xr:uid="{00000000-0005-0000-0000-00004F020000}"/>
    <cellStyle name="40% - Accent6 5 3 2" xfId="3259" xr:uid="{B8561FA4-F2FB-4FF0-9916-9872A6840304}"/>
    <cellStyle name="40% - Accent6 5 4" xfId="2717" xr:uid="{00000000-0005-0000-0000-000050020000}"/>
    <cellStyle name="40% - Accent6 5 4 2" xfId="3461" xr:uid="{C1A19106-EBED-4799-A591-08A5D9483D47}"/>
    <cellStyle name="40% - Accent6 5 5" xfId="3026" xr:uid="{95FDD896-3163-4114-B53C-4DBCD9D26407}"/>
    <cellStyle name="40% - Accent6 6" xfId="2267" xr:uid="{00000000-0005-0000-0000-000051020000}"/>
    <cellStyle name="40% - Accent6 6 2" xfId="2405" xr:uid="{00000000-0005-0000-0000-000052020000}"/>
    <cellStyle name="40% - Accent6 6 2 2" xfId="2607" xr:uid="{00000000-0005-0000-0000-000053020000}"/>
    <cellStyle name="40% - Accent6 6 2 2 2" xfId="3351" xr:uid="{571D2556-41E8-42DC-B70D-89AD4A19FDB9}"/>
    <cellStyle name="40% - Accent6 6 2 3" xfId="2809" xr:uid="{00000000-0005-0000-0000-000054020000}"/>
    <cellStyle name="40% - Accent6 6 2 3 2" xfId="3553" xr:uid="{2AC58F0A-97D5-4B62-94E4-DA4863B746CA}"/>
    <cellStyle name="40% - Accent6 6 2 4" xfId="3149" xr:uid="{CAF3AECB-4754-46CB-A694-4FB1A8ABD510}"/>
    <cellStyle name="40% - Accent6 6 3" xfId="2310" xr:uid="{00000000-0005-0000-0000-000055020000}"/>
    <cellStyle name="40% - Accent6 6 3 2" xfId="3055" xr:uid="{9F41A01A-CDEB-4E2D-BEC6-D6833D44D99C}"/>
    <cellStyle name="40% - Accent6 6 4" xfId="2529" xr:uid="{00000000-0005-0000-0000-000056020000}"/>
    <cellStyle name="40% - Accent6 6 4 2" xfId="3273" xr:uid="{7E7C0807-CB2B-4759-AB48-F182D7FBF0C1}"/>
    <cellStyle name="40% - Accent6 6 5" xfId="2731" xr:uid="{00000000-0005-0000-0000-000057020000}"/>
    <cellStyle name="40% - Accent6 6 5 2" xfId="3475" xr:uid="{54F7E8C5-83BA-4605-B3E8-E32FA4FC6009}"/>
    <cellStyle name="40% - Accent6 6 6" xfId="3040" xr:uid="{AA23547B-F73C-400A-87D9-F1CCF92E5F42}"/>
    <cellStyle name="40% - Accent6 7" xfId="2933" xr:uid="{FFD38336-460E-4C94-B760-B30A30101F2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2 2 2" xfId="3602" xr:uid="{B1D23618-03FC-4673-AAB1-757B43BAE279}"/>
    <cellStyle name="Comma 12 3" xfId="2984" xr:uid="{D71DD276-2F4B-4338-BACD-7EB1E42BC744}"/>
    <cellStyle name="Comma 13" xfId="425" xr:uid="{00000000-0005-0000-0000-000084030000}"/>
    <cellStyle name="Comma 13 2" xfId="2895" xr:uid="{00000000-0005-0000-0000-000085030000}"/>
    <cellStyle name="Comma 13 2 2" xfId="3603" xr:uid="{3DA90E7D-B1C0-4450-ABEF-37C7118A3CA5}"/>
    <cellStyle name="Comma 13 3" xfId="2985" xr:uid="{6494066E-0EFB-4635-ACEE-8EEBB2FAB2B6}"/>
    <cellStyle name="Comma 14" xfId="322" xr:uid="{00000000-0005-0000-0000-000086030000}"/>
    <cellStyle name="Comma 14 2" xfId="469" xr:uid="{00000000-0005-0000-0000-000087030000}"/>
    <cellStyle name="Comma 14 2 2" xfId="2896" xr:uid="{00000000-0005-0000-0000-000088030000}"/>
    <cellStyle name="Comma 14 2 2 2" xfId="3604" xr:uid="{980D72F4-512B-4EFE-82BE-3D797C53C523}"/>
    <cellStyle name="Comma 14 2 3" xfId="2988" xr:uid="{D13277B4-2280-4BFD-8043-DF4722278C95}"/>
    <cellStyle name="Comma 14 3" xfId="2954" xr:uid="{BD15B40A-FEF0-4E2A-A349-8E25DEB34BCC}"/>
    <cellStyle name="Comma 15" xfId="426" xr:uid="{00000000-0005-0000-0000-000089030000}"/>
    <cellStyle name="Comma 15 2" xfId="470" xr:uid="{00000000-0005-0000-0000-00008A030000}"/>
    <cellStyle name="Comma 15 2 2" xfId="2897" xr:uid="{00000000-0005-0000-0000-00008B030000}"/>
    <cellStyle name="Comma 15 2 2 2" xfId="3605" xr:uid="{26C68D3A-3086-4B2C-AFFF-5BC24C1C0FA8}"/>
    <cellStyle name="Comma 15 2 3" xfId="2989" xr:uid="{95E15664-0AF2-42A9-853D-042FCA30FFF9}"/>
    <cellStyle name="Comma 15 3" xfId="2986" xr:uid="{9572DB0A-977C-44D1-8199-2DF0D1D86D60}"/>
    <cellStyle name="Comma 16" xfId="471" xr:uid="{00000000-0005-0000-0000-00008C030000}"/>
    <cellStyle name="Comma 16 2" xfId="2898" xr:uid="{00000000-0005-0000-0000-00008D030000}"/>
    <cellStyle name="Comma 16 2 2" xfId="3606" xr:uid="{06535365-B47A-44A4-AD29-166DC25D716F}"/>
    <cellStyle name="Comma 16 3" xfId="2990" xr:uid="{EC02B4C6-6FE6-49EA-A3DD-DCA4E208B446}"/>
    <cellStyle name="Comma 17" xfId="439" xr:uid="{00000000-0005-0000-0000-00008E030000}"/>
    <cellStyle name="Comma 17 2" xfId="2987" xr:uid="{B2FAB7FB-7E6B-4979-8C9E-15A6FD7B7ED3}"/>
    <cellStyle name="Comma 18" xfId="532" xr:uid="{00000000-0005-0000-0000-00008F030000}"/>
    <cellStyle name="Comma 18 2" xfId="2991" xr:uid="{FA02AC5D-592B-49AA-9939-B66580A5DBD3}"/>
    <cellStyle name="Comma 19" xfId="699" xr:uid="{00000000-0005-0000-0000-000090030000}"/>
    <cellStyle name="Comma 19 2" xfId="2992" xr:uid="{C464E1A6-945A-459F-913A-C64069F01166}"/>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2 2 2" xfId="2959" xr:uid="{FDB82CBD-8966-4341-BB5C-5F869BDAFD22}"/>
    <cellStyle name="Comma 2 2 2 3" xfId="2919" xr:uid="{D31F5D1E-0338-47B4-9248-40F3F7CA64E2}"/>
    <cellStyle name="Comma 2 2 3" xfId="109" xr:uid="{00000000-0005-0000-0000-000095030000}"/>
    <cellStyle name="Comma 2 2 3 2" xfId="350" xr:uid="{00000000-0005-0000-0000-000096030000}"/>
    <cellStyle name="Comma 2 2 3 2 2" xfId="2964" xr:uid="{408D514D-DF5C-4F17-A693-49A4FAEC468C}"/>
    <cellStyle name="Comma 2 2 3 3" xfId="2936" xr:uid="{8E9D0DBF-0AAA-47BD-95E3-812715870B04}"/>
    <cellStyle name="Comma 2 2 4" xfId="324" xr:uid="{00000000-0005-0000-0000-000097030000}"/>
    <cellStyle name="Comma 2 2 4 2" xfId="2956" xr:uid="{400C9B87-477C-42EE-8DAC-D934C03E3DEB}"/>
    <cellStyle name="Comma 2 3" xfId="12" xr:uid="{00000000-0005-0000-0000-000098030000}"/>
    <cellStyle name="Comma 2 3 2" xfId="330" xr:uid="{00000000-0005-0000-0000-000099030000}"/>
    <cellStyle name="Comma 2 3 2 2" xfId="2958" xr:uid="{61144952-2C49-44CE-B0DC-57E584A3CA42}"/>
    <cellStyle name="Comma 2 3 3" xfId="2918" xr:uid="{6E0B3A69-3055-425D-B8E4-7F0230CF005D}"/>
    <cellStyle name="Comma 2 4" xfId="110" xr:uid="{00000000-0005-0000-0000-00009A030000}"/>
    <cellStyle name="Comma 2 4 2" xfId="349" xr:uid="{00000000-0005-0000-0000-00009B030000}"/>
    <cellStyle name="Comma 2 4 2 2" xfId="2963" xr:uid="{7EE3D469-837B-47D4-B4D5-60F1A48B7F01}"/>
    <cellStyle name="Comma 2 4 3" xfId="2937" xr:uid="{ACCE13BC-4CBF-4FEB-BAD6-4CBE7C620E3F}"/>
    <cellStyle name="Comma 2 5" xfId="323" xr:uid="{00000000-0005-0000-0000-00009C030000}"/>
    <cellStyle name="Comma 2 5 2" xfId="2955" xr:uid="{A5961241-CE70-4673-96C3-36FDF34BCC84}"/>
    <cellStyle name="Comma 2 6" xfId="1121" xr:uid="{00000000-0005-0000-0000-00009D030000}"/>
    <cellStyle name="Comma 2 6 2" xfId="2899" xr:uid="{00000000-0005-0000-0000-00009E030000}"/>
    <cellStyle name="Comma 2 6 2 2" xfId="3607" xr:uid="{46A8E595-3DD9-4E99-8AC5-DC54437CDA4B}"/>
    <cellStyle name="Comma 2 6 3" xfId="2999" xr:uid="{3FCB3386-58A0-4991-A139-E4F2D2279608}"/>
    <cellStyle name="Comma 20" xfId="756" xr:uid="{00000000-0005-0000-0000-00009F030000}"/>
    <cellStyle name="Comma 20 2" xfId="2993" xr:uid="{03F758D1-55D9-451B-8C9E-0AE95FFC0E2B}"/>
    <cellStyle name="Comma 21" xfId="766" xr:uid="{00000000-0005-0000-0000-0000A0030000}"/>
    <cellStyle name="Comma 21 2" xfId="2994" xr:uid="{A91A53C1-26D8-4E5F-B0C2-1F52AB253AFF}"/>
    <cellStyle name="Comma 22" xfId="770" xr:uid="{00000000-0005-0000-0000-0000A1030000}"/>
    <cellStyle name="Comma 22 2" xfId="2995" xr:uid="{FFCD64E6-1856-4A58-ADF8-1EF5D092C440}"/>
    <cellStyle name="Comma 23" xfId="1114" xr:uid="{00000000-0005-0000-0000-0000A2030000}"/>
    <cellStyle name="Comma 23 2" xfId="2998" xr:uid="{306CD1F6-5117-4E4B-8EED-CE38DD179182}"/>
    <cellStyle name="Comma 24" xfId="1111" xr:uid="{00000000-0005-0000-0000-0000A3030000}"/>
    <cellStyle name="Comma 24 2" xfId="2996" xr:uid="{82BA4029-D2CA-43D8-8749-A7E3E5A1FFAE}"/>
    <cellStyle name="Comma 25" xfId="1112" xr:uid="{00000000-0005-0000-0000-0000A4030000}"/>
    <cellStyle name="Comma 25 2" xfId="2997" xr:uid="{E98719F1-070D-497D-B97E-C950A2EEC5C6}"/>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2 2" xfId="3322" xr:uid="{BB6F01EA-DAAC-48AE-92FA-A84B78F2E11F}"/>
    <cellStyle name="Comma 26 2 2 3" xfId="2780" xr:uid="{00000000-0005-0000-0000-0000A9030000}"/>
    <cellStyle name="Comma 26 2 2 3 2" xfId="3524" xr:uid="{D01AE406-BE48-40FB-A3B2-D7A4465440C8}"/>
    <cellStyle name="Comma 26 2 2 4" xfId="3102" xr:uid="{0B6353C5-EF99-4AC3-B966-DFBADDF3792A}"/>
    <cellStyle name="Comma 26 2 3" xfId="2452" xr:uid="{00000000-0005-0000-0000-0000AA030000}"/>
    <cellStyle name="Comma 26 2 3 2" xfId="2654" xr:uid="{00000000-0005-0000-0000-0000AB030000}"/>
    <cellStyle name="Comma 26 2 3 2 2" xfId="3398" xr:uid="{E9F89CB8-5903-4019-AA5A-04E6D0ACE65E}"/>
    <cellStyle name="Comma 26 2 3 3" xfId="2856" xr:uid="{00000000-0005-0000-0000-0000AC030000}"/>
    <cellStyle name="Comma 26 2 3 3 2" xfId="3600" xr:uid="{D514C12B-84E5-4E90-B634-F5145349530F}"/>
    <cellStyle name="Comma 26 2 3 4" xfId="3196" xr:uid="{064B6856-EEF8-4E20-980F-5256DF9628AB}"/>
    <cellStyle name="Comma 26 2 4" xfId="2500" xr:uid="{00000000-0005-0000-0000-0000AD030000}"/>
    <cellStyle name="Comma 26 2 4 2" xfId="3244" xr:uid="{C9010CC5-245D-4603-8B95-1AD2DEF59B3A}"/>
    <cellStyle name="Comma 26 2 5" xfId="2702" xr:uid="{00000000-0005-0000-0000-0000AE030000}"/>
    <cellStyle name="Comma 26 2 5 2" xfId="3446" xr:uid="{1F078FFD-0C75-47AE-8380-BF625AE02C2C}"/>
    <cellStyle name="Comma 26 2 6" xfId="2901" xr:uid="{00000000-0005-0000-0000-0000AF030000}"/>
    <cellStyle name="Comma 26 2 6 2" xfId="3609" xr:uid="{83DAB722-733F-4045-B99C-22E8823BA2A5}"/>
    <cellStyle name="Comma 26 2 7" xfId="3011" xr:uid="{1A1B7510-BE2A-41B7-83BB-1F854EA8EBA5}"/>
    <cellStyle name="Comma 26 3" xfId="2355" xr:uid="{00000000-0005-0000-0000-0000B0030000}"/>
    <cellStyle name="Comma 26 3 2" xfId="2575" xr:uid="{00000000-0005-0000-0000-0000B1030000}"/>
    <cellStyle name="Comma 26 3 2 2" xfId="3319" xr:uid="{539D0A22-4A25-4F94-AC1D-B299573658B3}"/>
    <cellStyle name="Comma 26 3 3" xfId="2777" xr:uid="{00000000-0005-0000-0000-0000B2030000}"/>
    <cellStyle name="Comma 26 3 3 2" xfId="3521" xr:uid="{C71AEBDA-7500-4571-BBA4-532BE1A28E18}"/>
    <cellStyle name="Comma 26 3 4" xfId="3099" xr:uid="{1A89B7C6-89BB-4A58-902F-B54F17FAC88C}"/>
    <cellStyle name="Comma 26 4" xfId="2449" xr:uid="{00000000-0005-0000-0000-0000B3030000}"/>
    <cellStyle name="Comma 26 4 2" xfId="2651" xr:uid="{00000000-0005-0000-0000-0000B4030000}"/>
    <cellStyle name="Comma 26 4 2 2" xfId="3395" xr:uid="{C83AABE6-4504-41E8-A0DA-027B790F4D12}"/>
    <cellStyle name="Comma 26 4 3" xfId="2853" xr:uid="{00000000-0005-0000-0000-0000B5030000}"/>
    <cellStyle name="Comma 26 4 3 2" xfId="3597" xr:uid="{610C5377-31D8-4137-9485-D0B09D9CB3B9}"/>
    <cellStyle name="Comma 26 4 4" xfId="3193" xr:uid="{77ADD1C0-DFDE-4FDF-B7BB-49C488F954DB}"/>
    <cellStyle name="Comma 26 5" xfId="2497" xr:uid="{00000000-0005-0000-0000-0000B6030000}"/>
    <cellStyle name="Comma 26 5 2" xfId="3241" xr:uid="{3E1D4AB4-2F09-40B0-B17A-D3EF95E035D0}"/>
    <cellStyle name="Comma 26 6" xfId="2699" xr:uid="{00000000-0005-0000-0000-0000B7030000}"/>
    <cellStyle name="Comma 26 6 2" xfId="3443" xr:uid="{CC2734DC-1C3D-4F89-9031-FB036884A003}"/>
    <cellStyle name="Comma 26 7" xfId="2900" xr:uid="{00000000-0005-0000-0000-0000B8030000}"/>
    <cellStyle name="Comma 26 7 2" xfId="3608" xr:uid="{3C804999-286D-4A5B-BA56-20AF52BE2CDF}"/>
    <cellStyle name="Comma 26 8" xfId="3001" xr:uid="{4A947BA5-DCCB-4BF7-A806-F48942A9BC51}"/>
    <cellStyle name="Comma 27" xfId="1153" xr:uid="{00000000-0005-0000-0000-0000B9030000}"/>
    <cellStyle name="Comma 27 2" xfId="3006" xr:uid="{66F23B67-4014-4DBB-8270-6B58382EBD69}"/>
    <cellStyle name="Comma 28" xfId="1150" xr:uid="{00000000-0005-0000-0000-0000BA030000}"/>
    <cellStyle name="Comma 28 2" xfId="3004" xr:uid="{CC2861AF-E9C0-4134-A64D-B4379530E44F}"/>
    <cellStyle name="Comma 29" xfId="1151" xr:uid="{00000000-0005-0000-0000-0000BB030000}"/>
    <cellStyle name="Comma 29 2" xfId="3005" xr:uid="{7EC9DDA3-991D-4303-80D1-FE1DCA888535}"/>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2 2 2" xfId="2966" xr:uid="{D9DBC75D-7AD4-421C-A779-3CD7B6BBCE38}"/>
    <cellStyle name="Comma 3 2 2 3" xfId="2938" xr:uid="{16ACDD80-527E-4ED2-B96F-A61A27E84346}"/>
    <cellStyle name="Comma 3 2 3" xfId="335" xr:uid="{00000000-0005-0000-0000-0000C0030000}"/>
    <cellStyle name="Comma 3 2 3 2" xfId="2960" xr:uid="{A2E20AB6-F16C-45C2-849B-DA0731F494CB}"/>
    <cellStyle name="Comma 3 3" xfId="112" xr:uid="{00000000-0005-0000-0000-0000C1030000}"/>
    <cellStyle name="Comma 3 3 2" xfId="351" xr:uid="{00000000-0005-0000-0000-0000C2030000}"/>
    <cellStyle name="Comma 3 3 2 2" xfId="2965" xr:uid="{4FF5D872-D596-49A3-801A-3977396DEE58}"/>
    <cellStyle name="Comma 3 3 3" xfId="2939" xr:uid="{FF38CE66-5257-419C-A077-0A3D020888B2}"/>
    <cellStyle name="Comma 3 4" xfId="328" xr:uid="{00000000-0005-0000-0000-0000C3030000}"/>
    <cellStyle name="Comma 3 4 2" xfId="2957" xr:uid="{C24FD80A-14CF-49B3-948B-E3D8B300AEFB}"/>
    <cellStyle name="Comma 30" xfId="1161" xr:uid="{00000000-0005-0000-0000-0000C4030000}"/>
    <cellStyle name="Comma 30 2" xfId="3010" xr:uid="{DA87F302-1B48-49DA-9B89-0D5CD8334FB3}"/>
    <cellStyle name="Comma 31" xfId="1158" xr:uid="{00000000-0005-0000-0000-0000C5030000}"/>
    <cellStyle name="Comma 31 2" xfId="3008" xr:uid="{CD4D1C48-9B20-4E5B-900F-D0F7A1E5F27D}"/>
    <cellStyle name="Comma 32" xfId="1160" xr:uid="{00000000-0005-0000-0000-0000C6030000}"/>
    <cellStyle name="Comma 32 2" xfId="3009" xr:uid="{D887044C-E8FF-4937-8DBF-540D3B235FB5}"/>
    <cellStyle name="Comma 33" xfId="1155" xr:uid="{00000000-0005-0000-0000-0000C7030000}"/>
    <cellStyle name="Comma 33 2" xfId="3007" xr:uid="{95BF70A9-0DA5-4F3B-B283-9F18377D6415}"/>
    <cellStyle name="Comma 34" xfId="1149" xr:uid="{00000000-0005-0000-0000-0000C8030000}"/>
    <cellStyle name="Comma 34 2" xfId="3003" xr:uid="{A9DC0CA1-2FEC-4882-8E51-9856EDD3B380}"/>
    <cellStyle name="Comma 35" xfId="231" xr:uid="{00000000-0005-0000-0000-0000C9030000}"/>
    <cellStyle name="Comma 35 2" xfId="2902" xr:uid="{00000000-0005-0000-0000-0000CA030000}"/>
    <cellStyle name="Comma 35 2 2" xfId="3610" xr:uid="{2985470B-9635-47AA-9D05-4ACFB120EFC6}"/>
    <cellStyle name="Comma 35 3" xfId="2953" xr:uid="{E7890D30-D26A-4CFF-8FB6-B60D4167A127}"/>
    <cellStyle name="Comma 36" xfId="2271" xr:uid="{00000000-0005-0000-0000-0000CB030000}"/>
    <cellStyle name="Comma 36 2" xfId="3043" xr:uid="{70A4D34B-175C-4DF2-A99B-1A63EEB02912}"/>
    <cellStyle name="Comma 37" xfId="2375" xr:uid="{00000000-0005-0000-0000-0000CC030000}"/>
    <cellStyle name="Comma 37 2" xfId="3119" xr:uid="{89AC1D34-6A3B-4814-8BC9-F238B9E157E6}"/>
    <cellStyle name="Comma 38" xfId="2376" xr:uid="{00000000-0005-0000-0000-0000CD030000}"/>
    <cellStyle name="Comma 38 2" xfId="3120" xr:uid="{224C6DD1-6259-4708-9DF8-D73F8338A390}"/>
    <cellStyle name="Comma 39" xfId="2385" xr:uid="{00000000-0005-0000-0000-0000CE030000}"/>
    <cellStyle name="Comma 39 2" xfId="3129" xr:uid="{CC082687-D6A5-40B6-99C6-9651290C2B05}"/>
    <cellStyle name="Comma 4" xfId="27" xr:uid="{00000000-0005-0000-0000-0000CF030000}"/>
    <cellStyle name="Comma 4 2" xfId="31" xr:uid="{00000000-0005-0000-0000-0000D0030000}"/>
    <cellStyle name="Comma 4 2 2" xfId="346" xr:uid="{00000000-0005-0000-0000-0000D1030000}"/>
    <cellStyle name="Comma 4 2 2 2" xfId="2962" xr:uid="{DCCE847D-8C70-4A73-A748-D03FA85BB7D4}"/>
    <cellStyle name="Comma 4 2 3" xfId="2921" xr:uid="{B7970133-8A0F-4224-839A-4F5EBF706702}"/>
    <cellStyle name="Comma 4 3" xfId="342" xr:uid="{00000000-0005-0000-0000-0000D2030000}"/>
    <cellStyle name="Comma 4 3 2" xfId="2961" xr:uid="{29E525F1-206B-4F12-83D4-43BDF6FF0D22}"/>
    <cellStyle name="Comma 4 4" xfId="2920" xr:uid="{A239C991-08EC-4969-B97A-70CD680C8D73}"/>
    <cellStyle name="Comma 40" xfId="2383" xr:uid="{00000000-0005-0000-0000-0000D3030000}"/>
    <cellStyle name="Comma 40 2" xfId="3127" xr:uid="{7A43AD6E-40A1-4D17-A8B5-E05AABFF24D9}"/>
    <cellStyle name="Comma 41" xfId="2388" xr:uid="{00000000-0005-0000-0000-0000D4030000}"/>
    <cellStyle name="Comma 41 2" xfId="3132" xr:uid="{5E00A178-AE50-4AAF-8A33-19468E252221}"/>
    <cellStyle name="Comma 42" xfId="2380" xr:uid="{00000000-0005-0000-0000-0000D5030000}"/>
    <cellStyle name="Comma 42 2" xfId="3124" xr:uid="{D5159BDD-5EDB-4709-83B2-4F423C6E5BAE}"/>
    <cellStyle name="Comma 43" xfId="2384" xr:uid="{00000000-0005-0000-0000-0000D6030000}"/>
    <cellStyle name="Comma 43 2" xfId="3128" xr:uid="{082C3CF3-F4B1-4C5A-90FB-F981EEA1E3E7}"/>
    <cellStyle name="Comma 44" xfId="2390" xr:uid="{00000000-0005-0000-0000-0000D7030000}"/>
    <cellStyle name="Comma 44 2" xfId="3134" xr:uid="{868DCC91-E6DF-4A42-9CCF-EC86CFEF7617}"/>
    <cellStyle name="Comma 45" xfId="2381" xr:uid="{00000000-0005-0000-0000-0000D8030000}"/>
    <cellStyle name="Comma 45 2" xfId="3125" xr:uid="{97CF268D-D8F9-4AAF-A5C5-570CB5752E8A}"/>
    <cellStyle name="Comma 46" xfId="2391" xr:uid="{00000000-0005-0000-0000-0000D9030000}"/>
    <cellStyle name="Comma 46 2" xfId="3135" xr:uid="{EFBE3896-31D6-42B8-8D8B-5F746F7D74CF}"/>
    <cellStyle name="Comma 47" xfId="2386" xr:uid="{00000000-0005-0000-0000-0000DA030000}"/>
    <cellStyle name="Comma 47 2" xfId="3130" xr:uid="{EB063732-BFE1-462A-A586-ABAFCE79A116}"/>
    <cellStyle name="Comma 48" xfId="2387" xr:uid="{00000000-0005-0000-0000-0000DB030000}"/>
    <cellStyle name="Comma 48 2" xfId="3131" xr:uid="{C33F1DD9-F6F7-4509-9EB3-4D43C0A21321}"/>
    <cellStyle name="Comma 49" xfId="2377" xr:uid="{00000000-0005-0000-0000-0000DC030000}"/>
    <cellStyle name="Comma 49 2" xfId="3121" xr:uid="{DAB48E83-FBF9-4954-BFDC-7D4A72199A01}"/>
    <cellStyle name="Comma 5" xfId="113" xr:uid="{00000000-0005-0000-0000-0000DD030000}"/>
    <cellStyle name="Comma 50" xfId="2389" xr:uid="{00000000-0005-0000-0000-0000DE030000}"/>
    <cellStyle name="Comma 50 2" xfId="3133" xr:uid="{7F29BCE1-9E41-466E-AC1C-6DABEEE2AF38}"/>
    <cellStyle name="Comma 51" xfId="2382" xr:uid="{00000000-0005-0000-0000-0000DF030000}"/>
    <cellStyle name="Comma 51 2" xfId="3126" xr:uid="{D0911054-6C7E-47C3-B5EA-A11AC96E6FE5}"/>
    <cellStyle name="Comma 52" xfId="2378" xr:uid="{00000000-0005-0000-0000-0000E0030000}"/>
    <cellStyle name="Comma 52 2" xfId="3122" xr:uid="{5DCF44EC-A1EF-4384-BB38-FD2EDD78156D}"/>
    <cellStyle name="Comma 53" xfId="2379" xr:uid="{00000000-0005-0000-0000-0000E1030000}"/>
    <cellStyle name="Comma 53 2" xfId="3123" xr:uid="{FD3C54BC-D566-451D-B05A-30E514893DBB}"/>
    <cellStyle name="Comma 54" xfId="2269" xr:uid="{00000000-0005-0000-0000-0000E2030000}"/>
    <cellStyle name="Comma 54 2" xfId="2531" xr:uid="{00000000-0005-0000-0000-0000E3030000}"/>
    <cellStyle name="Comma 54 2 2" xfId="3275" xr:uid="{E7A4FD2F-206B-4B61-B0F3-E023CC99CC55}"/>
    <cellStyle name="Comma 54 3" xfId="2733" xr:uid="{00000000-0005-0000-0000-0000E4030000}"/>
    <cellStyle name="Comma 54 3 2" xfId="3477" xr:uid="{ACA6E267-3C75-4FD7-B0EE-42D2FA7CF333}"/>
    <cellStyle name="Comma 54 4" xfId="3042" xr:uid="{A6088016-AB15-40BF-8648-F628CB7DBA46}"/>
    <cellStyle name="Comma 55" xfId="2917" xr:uid="{5C3FF820-A4E7-40E2-AD40-38AEFC7A15F4}"/>
    <cellStyle name="Comma 6" xfId="114" xr:uid="{00000000-0005-0000-0000-0000E5030000}"/>
    <cellStyle name="Comma 6 2" xfId="2940" xr:uid="{38FC8F37-A245-4B3F-915C-3452950518EF}"/>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2 2 2" xfId="2968" xr:uid="{CD5A9FA9-48BF-4DA3-A6F1-5484EC1A3D07}"/>
    <cellStyle name="Currency 2 2 3" xfId="2942" xr:uid="{47EA8E2B-2F77-445F-9280-30C326C42B5D}"/>
    <cellStyle name="Currency 2 3" xfId="353" xr:uid="{00000000-0005-0000-0000-0000EE030000}"/>
    <cellStyle name="Currency 2 3 2" xfId="2967" xr:uid="{F8A688BB-496D-42B5-9E2E-E5A90164E90A}"/>
    <cellStyle name="Currency 2 4" xfId="1122" xr:uid="{00000000-0005-0000-0000-0000EF030000}"/>
    <cellStyle name="Currency 2 4 2" xfId="2903" xr:uid="{00000000-0005-0000-0000-0000F0030000}"/>
    <cellStyle name="Currency 2 4 2 2" xfId="3611" xr:uid="{8A06B076-E11A-4385-8729-4BD9A88CC997}"/>
    <cellStyle name="Currency 2 4 3" xfId="3000" xr:uid="{0B965297-DCE4-4664-A0FE-4576A73F076B}"/>
    <cellStyle name="Currency 2 5" xfId="2941" xr:uid="{3C617E77-BF23-47AE-B566-D4D6B53D980F}"/>
    <cellStyle name="Currency 3" xfId="120" xr:uid="{00000000-0005-0000-0000-0000F1030000}"/>
    <cellStyle name="Currency 3 2" xfId="121" xr:uid="{00000000-0005-0000-0000-0000F2030000}"/>
    <cellStyle name="Currency 3 2 2" xfId="356" xr:uid="{00000000-0005-0000-0000-0000F3030000}"/>
    <cellStyle name="Currency 3 2 2 2" xfId="2970" xr:uid="{163256A3-083D-4266-B9BC-ECC9540BB1CE}"/>
    <cellStyle name="Currency 3 2 3" xfId="2944" xr:uid="{92018462-0B2B-44F3-AA84-73808F1E90FD}"/>
    <cellStyle name="Currency 3 3" xfId="355" xr:uid="{00000000-0005-0000-0000-0000F4030000}"/>
    <cellStyle name="Currency 3 3 2" xfId="2969" xr:uid="{9FB3972F-4E53-40D2-B203-180745198A10}"/>
    <cellStyle name="Currency 3 4" xfId="2943" xr:uid="{CCB373E3-D6DF-4B2F-BD94-2E6CC2527EFE}"/>
    <cellStyle name="Currency 4" xfId="122" xr:uid="{00000000-0005-0000-0000-0000F5030000}"/>
    <cellStyle name="Currency 4 2" xfId="357" xr:uid="{00000000-0005-0000-0000-0000F6030000}"/>
    <cellStyle name="Currency 4 2 2" xfId="2971" xr:uid="{599F90EE-7851-4BD7-98B8-2437A76ACC97}"/>
    <cellStyle name="Currency 4 3" xfId="2945" xr:uid="{3F8549DD-30FF-4BB5-A331-540E6CD62A49}"/>
    <cellStyle name="Currency 5" xfId="123" xr:uid="{00000000-0005-0000-0000-0000F7030000}"/>
    <cellStyle name="Currency 5 2" xfId="2946" xr:uid="{7A34C43C-796F-4196-A581-501546617091}"/>
    <cellStyle name="Currency 6" xfId="124" xr:uid="{00000000-0005-0000-0000-0000F8030000}"/>
    <cellStyle name="Currency 6 2" xfId="2947" xr:uid="{5B60985D-F01E-48EB-ACDD-A96F9D1CAC94}"/>
    <cellStyle name="Currency 7" xfId="2360" xr:uid="{00000000-0005-0000-0000-0000F9030000}"/>
    <cellStyle name="Currency 7 2" xfId="3104" xr:uid="{730B86CB-7605-4C2F-A1C3-89F88AD8366F}"/>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2 2" xfId="3304" xr:uid="{A95172B5-534E-4DD9-BC0A-BC645A7BE5DD}"/>
    <cellStyle name="Normal 12 2 2 3" xfId="2762" xr:uid="{00000000-0005-0000-0000-000007050000}"/>
    <cellStyle name="Normal 12 2 2 3 2" xfId="3506" xr:uid="{79899305-901C-4204-A44E-52B150F1D1E6}"/>
    <cellStyle name="Normal 12 2 2 4" xfId="3084" xr:uid="{84142BBE-A644-40BB-A587-71D27A6F9C1F}"/>
    <cellStyle name="Normal 12 2 3" xfId="2434" xr:uid="{00000000-0005-0000-0000-000008050000}"/>
    <cellStyle name="Normal 12 2 3 2" xfId="2636" xr:uid="{00000000-0005-0000-0000-000009050000}"/>
    <cellStyle name="Normal 12 2 3 2 2" xfId="3380" xr:uid="{9C4E6348-E060-4D82-85CF-8D4716AE4DB3}"/>
    <cellStyle name="Normal 12 2 3 3" xfId="2838" xr:uid="{00000000-0005-0000-0000-00000A050000}"/>
    <cellStyle name="Normal 12 2 3 3 2" xfId="3582" xr:uid="{5C27BBE6-A29F-424D-97E3-4A4CB5F1239F}"/>
    <cellStyle name="Normal 12 2 3 4" xfId="3178" xr:uid="{0F33FFAB-A337-464E-99B5-43FDD86E4930}"/>
    <cellStyle name="Normal 12 2 4" xfId="2482" xr:uid="{00000000-0005-0000-0000-00000B050000}"/>
    <cellStyle name="Normal 12 2 4 2" xfId="3226" xr:uid="{B0CD37E8-CF51-4946-8957-90EF14732F0A}"/>
    <cellStyle name="Normal 12 2 5" xfId="2684" xr:uid="{00000000-0005-0000-0000-00000C050000}"/>
    <cellStyle name="Normal 12 2 5 2" xfId="3428" xr:uid="{0532DA9F-E4D1-4AE4-90E5-38BE5105D06F}"/>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2 2" xfId="3276" xr:uid="{4F311D4D-FE1E-4AA7-BB0B-4FFC9168B43E}"/>
    <cellStyle name="Normal 12 4 3" xfId="2734" xr:uid="{00000000-0005-0000-0000-000011050000}"/>
    <cellStyle name="Normal 12 4 3 2" xfId="3478" xr:uid="{40D14A17-17AA-4FD8-B4F0-EE4EDD8EA258}"/>
    <cellStyle name="Normal 12 4 4" xfId="3056" xr:uid="{ED2A3C01-AF5F-4AB2-ABAF-C5EE2179CA2E}"/>
    <cellStyle name="Normal 12 5" xfId="2406" xr:uid="{00000000-0005-0000-0000-000012050000}"/>
    <cellStyle name="Normal 12 5 2" xfId="2608" xr:uid="{00000000-0005-0000-0000-000013050000}"/>
    <cellStyle name="Normal 12 5 2 2" xfId="3352" xr:uid="{802A611B-D150-4276-93D9-AB1DFD423F61}"/>
    <cellStyle name="Normal 12 5 3" xfId="2810" xr:uid="{00000000-0005-0000-0000-000014050000}"/>
    <cellStyle name="Normal 12 5 3 2" xfId="3554" xr:uid="{55D32F52-6A2C-4C04-9871-14A31D4C343E}"/>
    <cellStyle name="Normal 12 5 4" xfId="3150" xr:uid="{F391D9AB-8223-4A29-A977-8E487E9A5DBA}"/>
    <cellStyle name="Normal 12 6" xfId="2454" xr:uid="{00000000-0005-0000-0000-000015050000}"/>
    <cellStyle name="Normal 12 6 2" xfId="3198" xr:uid="{BAE5F70A-DD55-46F2-A689-A411F66B609A}"/>
    <cellStyle name="Normal 12 7" xfId="2656" xr:uid="{00000000-0005-0000-0000-000016050000}"/>
    <cellStyle name="Normal 12 7 2" xfId="3400" xr:uid="{03D71193-8AD8-4A8C-8CB3-16EFD869C645}"/>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2 2" xfId="3290" xr:uid="{CDC5A85B-CBFF-4558-9FA8-3BD08FD008A4}"/>
    <cellStyle name="Normal 13 4 3" xfId="2748" xr:uid="{00000000-0005-0000-0000-00001D050000}"/>
    <cellStyle name="Normal 13 4 3 2" xfId="3492" xr:uid="{B65D1D65-9917-4FC3-A6FE-2F6E884266CB}"/>
    <cellStyle name="Normal 13 4 4" xfId="3070" xr:uid="{EE0857EB-1D1A-47CB-8FD0-550C5BD11A14}"/>
    <cellStyle name="Normal 13 5" xfId="2420" xr:uid="{00000000-0005-0000-0000-00001E050000}"/>
    <cellStyle name="Normal 13 5 2" xfId="2622" xr:uid="{00000000-0005-0000-0000-00001F050000}"/>
    <cellStyle name="Normal 13 5 2 2" xfId="3366" xr:uid="{4FDA1218-7B34-47BB-AE1C-BE62D4E1CEBF}"/>
    <cellStyle name="Normal 13 5 3" xfId="2824" xr:uid="{00000000-0005-0000-0000-000020050000}"/>
    <cellStyle name="Normal 13 5 3 2" xfId="3568" xr:uid="{047B72B4-C302-4FE6-9E46-4E5388343653}"/>
    <cellStyle name="Normal 13 5 4" xfId="3164" xr:uid="{879EFAC7-81A0-411E-A6AF-D691EAC88127}"/>
    <cellStyle name="Normal 13 6" xfId="2468" xr:uid="{00000000-0005-0000-0000-000021050000}"/>
    <cellStyle name="Normal 13 6 2" xfId="3212" xr:uid="{B5166DC3-953C-438E-B6DF-D5283134F8EC}"/>
    <cellStyle name="Normal 13 7" xfId="2670" xr:uid="{00000000-0005-0000-0000-000022050000}"/>
    <cellStyle name="Normal 13 7 2" xfId="3414" xr:uid="{E811EBEA-1EFC-46B1-AFE0-65C5974346CD}"/>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2 2" xfId="3321" xr:uid="{55741EB3-E1D0-4919-AE0B-1B3C449E0CC3}"/>
    <cellStyle name="Normal 17 2 2 3" xfId="2779" xr:uid="{00000000-0005-0000-0000-00002E050000}"/>
    <cellStyle name="Normal 17 2 2 3 2" xfId="3523" xr:uid="{4AD10BBF-0765-46C5-BCA7-55322D15C530}"/>
    <cellStyle name="Normal 17 2 2 4" xfId="3101" xr:uid="{C0AAF48C-E36B-4C37-AA91-A2839736A40D}"/>
    <cellStyle name="Normal 17 2 3" xfId="2451" xr:uid="{00000000-0005-0000-0000-00002F050000}"/>
    <cellStyle name="Normal 17 2 3 2" xfId="2653" xr:uid="{00000000-0005-0000-0000-000030050000}"/>
    <cellStyle name="Normal 17 2 3 2 2" xfId="3397" xr:uid="{D7EE2C39-A88D-4095-B386-8CF4BD193B73}"/>
    <cellStyle name="Normal 17 2 3 3" xfId="2855" xr:uid="{00000000-0005-0000-0000-000031050000}"/>
    <cellStyle name="Normal 17 2 3 3 2" xfId="3599" xr:uid="{11DA2518-A8CA-49ED-9819-AE91FC145F93}"/>
    <cellStyle name="Normal 17 2 3 4" xfId="3195" xr:uid="{45CFEDE5-A427-4559-B081-4D60C9BA049E}"/>
    <cellStyle name="Normal 17 2 4" xfId="2499" xr:uid="{00000000-0005-0000-0000-000032050000}"/>
    <cellStyle name="Normal 17 2 4 2" xfId="3243" xr:uid="{FD105DD6-FFF0-4167-A6F5-EE86837507B8}"/>
    <cellStyle name="Normal 17 2 5" xfId="2701" xr:uid="{00000000-0005-0000-0000-000033050000}"/>
    <cellStyle name="Normal 17 2 5 2" xfId="3445" xr:uid="{CF2A829F-E1D2-4B0B-91A6-F94888D66ABB}"/>
    <cellStyle name="Normal 17 2 6" xfId="2908" xr:uid="{00000000-0005-0000-0000-000034050000}"/>
    <cellStyle name="Normal 17 3" xfId="2354" xr:uid="{00000000-0005-0000-0000-000035050000}"/>
    <cellStyle name="Normal 17 3 2" xfId="2574" xr:uid="{00000000-0005-0000-0000-000036050000}"/>
    <cellStyle name="Normal 17 3 2 2" xfId="3318" xr:uid="{D41B31C5-8426-4DBE-B717-048F54FFBD60}"/>
    <cellStyle name="Normal 17 3 3" xfId="2776" xr:uid="{00000000-0005-0000-0000-000037050000}"/>
    <cellStyle name="Normal 17 3 3 2" xfId="3520" xr:uid="{B78EBA29-990E-490A-BCB4-9AFD29C9C928}"/>
    <cellStyle name="Normal 17 3 4" xfId="3098" xr:uid="{834ED345-76B0-44C0-9267-B2C4F66F1918}"/>
    <cellStyle name="Normal 17 4" xfId="2448" xr:uid="{00000000-0005-0000-0000-000038050000}"/>
    <cellStyle name="Normal 17 4 2" xfId="2650" xr:uid="{00000000-0005-0000-0000-000039050000}"/>
    <cellStyle name="Normal 17 4 2 2" xfId="3394" xr:uid="{45C0C277-7DA1-4DFD-8D78-60484C130C8B}"/>
    <cellStyle name="Normal 17 4 3" xfId="2852" xr:uid="{00000000-0005-0000-0000-00003A050000}"/>
    <cellStyle name="Normal 17 4 3 2" xfId="3596" xr:uid="{17097B18-C587-46D5-9308-49C35A589306}"/>
    <cellStyle name="Normal 17 4 4" xfId="3192" xr:uid="{57532D83-0828-42AA-B8C7-EC5FF707D64E}"/>
    <cellStyle name="Normal 17 5" xfId="2496" xr:uid="{00000000-0005-0000-0000-00003B050000}"/>
    <cellStyle name="Normal 17 5 2" xfId="3240" xr:uid="{B5C90295-14D3-473F-9955-252241A0485D}"/>
    <cellStyle name="Normal 17 6" xfId="2698" xr:uid="{00000000-0005-0000-0000-00003C050000}"/>
    <cellStyle name="Normal 17 6 2" xfId="3442" xr:uid="{5C3553A4-C37A-4A15-A977-9946ABC03C41}"/>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2 2" xfId="3324" xr:uid="{11DD1D0C-2EDC-42DD-ACDC-6D158548AC7D}"/>
    <cellStyle name="Normal 20 2 3" xfId="2782" xr:uid="{00000000-0005-0000-0000-00005D050000}"/>
    <cellStyle name="Normal 20 2 3 2" xfId="3526" xr:uid="{E46BBD3F-3BE7-4984-B0CD-2DA8A190305A}"/>
    <cellStyle name="Normal 20 2 4" xfId="3105" xr:uid="{D592EDC9-82D7-4D01-9199-503889EF9314}"/>
    <cellStyle name="Normal 20 3" xfId="2502" xr:uid="{00000000-0005-0000-0000-00005E050000}"/>
    <cellStyle name="Normal 20 3 2" xfId="3246" xr:uid="{98F6D62A-761D-4BA3-9BB3-8264E263A9C4}"/>
    <cellStyle name="Normal 20 4" xfId="2704" xr:uid="{00000000-0005-0000-0000-00005F050000}"/>
    <cellStyle name="Normal 20 4 2" xfId="3448" xr:uid="{1F27601B-0E71-4D37-AF24-9255B9C3C5E4}"/>
    <cellStyle name="Normal 20 5" xfId="3013" xr:uid="{E02BA290-E885-4817-9B93-8ACF2F2AD53B}"/>
    <cellStyle name="Normal 21" xfId="2254" xr:uid="{00000000-0005-0000-0000-000060050000}"/>
    <cellStyle name="Normal 21 2" xfId="2392" xr:uid="{00000000-0005-0000-0000-000061050000}"/>
    <cellStyle name="Normal 21 2 2" xfId="2594" xr:uid="{00000000-0005-0000-0000-000062050000}"/>
    <cellStyle name="Normal 21 2 2 2" xfId="3338" xr:uid="{375949E4-48DF-4FAB-A188-432BA1C6672C}"/>
    <cellStyle name="Normal 21 2 3" xfId="2796" xr:uid="{00000000-0005-0000-0000-000063050000}"/>
    <cellStyle name="Normal 21 2 3 2" xfId="3540" xr:uid="{5268B54A-BE5D-46EF-B3A4-52B65771D645}"/>
    <cellStyle name="Normal 21 2 4" xfId="3136" xr:uid="{EDAAF400-E6F5-4D51-9B6A-9341247288EF}"/>
    <cellStyle name="Normal 21 3" xfId="2270" xr:uid="{00000000-0005-0000-0000-000064050000}"/>
    <cellStyle name="Normal 21 4" xfId="2516" xr:uid="{00000000-0005-0000-0000-000065050000}"/>
    <cellStyle name="Normal 21 4 2" xfId="3260" xr:uid="{B8F534D4-5C40-4DDE-B74A-A35C0AF62AA9}"/>
    <cellStyle name="Normal 21 5" xfId="2718" xr:uid="{00000000-0005-0000-0000-000066050000}"/>
    <cellStyle name="Normal 21 5 2" xfId="3462" xr:uid="{34D47132-FA76-4777-9215-290F685D2740}"/>
    <cellStyle name="Normal 21 6" xfId="3027" xr:uid="{1C6A1CBD-7571-4178-B7F0-B85C1907D064}"/>
    <cellStyle name="Normal 22" xfId="2268" xr:uid="{00000000-0005-0000-0000-000067050000}"/>
    <cellStyle name="Normal 22 2" xfId="2530" xr:uid="{00000000-0005-0000-0000-000068050000}"/>
    <cellStyle name="Normal 22 2 2" xfId="3274" xr:uid="{D141A6E8-D2F6-430F-97C4-8E92DEDCFB7B}"/>
    <cellStyle name="Normal 22 3" xfId="2732" xr:uid="{00000000-0005-0000-0000-000069050000}"/>
    <cellStyle name="Normal 22 3 2" xfId="3476" xr:uid="{DF90D4FB-682C-4360-8B03-8137648E6EF0}"/>
    <cellStyle name="Normal 22 4" xfId="3041" xr:uid="{62058DA8-700B-431A-BFDB-720AA7BF04CE}"/>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2 2" xfId="2948" xr:uid="{038038DA-FBCC-4F09-AB10-1A112DAA8B08}"/>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7 7" xfId="2934" xr:uid="{6D5E8EBC-20CC-4FC7-BB7B-16C7B1509674}"/>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18" xfId="2935" xr:uid="{B2A33B4D-C9E1-4483-B454-FDC38572D4A9}"/>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3 3" xfId="2949" xr:uid="{066525B0-5EFA-4E03-B57E-62F33A5BF4BA}"/>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10" xfId="2950" xr:uid="{C6964CFB-E327-4C4A-9ED7-7EDF1E53FA4A}"/>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2 2" xfId="3305" xr:uid="{58D76CE9-0C10-4056-ABEC-4F3BF8923411}"/>
    <cellStyle name="Note 6 2 3 3" xfId="2763" xr:uid="{00000000-0005-0000-0000-0000D9090000}"/>
    <cellStyle name="Note 6 2 3 3 2" xfId="3507" xr:uid="{F76B7303-1912-4F24-9782-33FDC08CA897}"/>
    <cellStyle name="Note 6 2 3 4" xfId="3085" xr:uid="{EA275528-6CAD-4786-8197-8C374761EDCE}"/>
    <cellStyle name="Note 6 2 4" xfId="2435" xr:uid="{00000000-0005-0000-0000-0000DA090000}"/>
    <cellStyle name="Note 6 2 4 2" xfId="2637" xr:uid="{00000000-0005-0000-0000-0000DB090000}"/>
    <cellStyle name="Note 6 2 4 2 2" xfId="3381" xr:uid="{5A18A5D2-BCD5-4A9E-8C06-17E5BB4B9CF0}"/>
    <cellStyle name="Note 6 2 4 3" xfId="2839" xr:uid="{00000000-0005-0000-0000-0000DC090000}"/>
    <cellStyle name="Note 6 2 4 3 2" xfId="3583" xr:uid="{BC0C7645-F0F1-46F0-AAAE-4EACCAFA2176}"/>
    <cellStyle name="Note 6 2 4 4" xfId="3179" xr:uid="{D6052EDD-2BB4-4AE0-B50C-3D36FFF8733D}"/>
    <cellStyle name="Note 6 2 5" xfId="2483" xr:uid="{00000000-0005-0000-0000-0000DD090000}"/>
    <cellStyle name="Note 6 2 5 2" xfId="3227" xr:uid="{BD7354E5-FC40-4806-95CC-A7A83CF775E6}"/>
    <cellStyle name="Note 6 2 6" xfId="2685" xr:uid="{00000000-0005-0000-0000-0000DE090000}"/>
    <cellStyle name="Note 6 2 6 2" xfId="3429" xr:uid="{3B1F9AB1-A1B9-4EDF-B62E-C0C136FC3166}"/>
    <cellStyle name="Note 6 2 7" xfId="2912" xr:uid="{00000000-0005-0000-0000-0000DF090000}"/>
    <cellStyle name="Note 6 2 8" xfId="2952" xr:uid="{79CE4668-3A00-4A60-900B-4CA542C832A7}"/>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2 2" xfId="3277" xr:uid="{2AEA4AE1-50F5-4F6B-933D-95320F2D08CE}"/>
    <cellStyle name="Note 6 5 3" xfId="2735" xr:uid="{00000000-0005-0000-0000-0000E4090000}"/>
    <cellStyle name="Note 6 5 3 2" xfId="3479" xr:uid="{FD01B37D-9952-4546-9100-EB08A3FBE1A5}"/>
    <cellStyle name="Note 6 5 4" xfId="3057" xr:uid="{C37AC8AB-CD89-476E-9634-6A87A9866D47}"/>
    <cellStyle name="Note 6 6" xfId="2407" xr:uid="{00000000-0005-0000-0000-0000E5090000}"/>
    <cellStyle name="Note 6 6 2" xfId="2609" xr:uid="{00000000-0005-0000-0000-0000E6090000}"/>
    <cellStyle name="Note 6 6 2 2" xfId="3353" xr:uid="{D8F90753-BB76-410D-A369-C995B6C4A26C}"/>
    <cellStyle name="Note 6 6 3" xfId="2811" xr:uid="{00000000-0005-0000-0000-0000E7090000}"/>
    <cellStyle name="Note 6 6 3 2" xfId="3555" xr:uid="{F81F23C5-D0FD-4121-B254-EBA0FFF8165E}"/>
    <cellStyle name="Note 6 6 4" xfId="3151" xr:uid="{3BE1CF5D-36B2-4258-AF27-6AD669AC5FF6}"/>
    <cellStyle name="Note 6 7" xfId="2455" xr:uid="{00000000-0005-0000-0000-0000E8090000}"/>
    <cellStyle name="Note 6 7 2" xfId="3199" xr:uid="{0D5EC744-1247-4557-BFCA-BC28E4BF113A}"/>
    <cellStyle name="Note 6 8" xfId="2657" xr:uid="{00000000-0005-0000-0000-0000E9090000}"/>
    <cellStyle name="Note 6 8 2" xfId="3401" xr:uid="{F1E0AE4C-E146-4F9B-B94B-762C50CA38FF}"/>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2 2" xfId="3291" xr:uid="{0DA592D6-A4A6-4F4E-A66C-7811549EF36F}"/>
    <cellStyle name="Note 7 3 3" xfId="2749" xr:uid="{00000000-0005-0000-0000-0000EF090000}"/>
    <cellStyle name="Note 7 3 3 2" xfId="3493" xr:uid="{FD4662B1-767F-4EBB-84F5-BA28F3F8E4D3}"/>
    <cellStyle name="Note 7 3 4" xfId="3071" xr:uid="{48776B8A-B28E-46C2-998D-8DD6DDBAE160}"/>
    <cellStyle name="Note 7 4" xfId="2421" xr:uid="{00000000-0005-0000-0000-0000F0090000}"/>
    <cellStyle name="Note 7 4 2" xfId="2623" xr:uid="{00000000-0005-0000-0000-0000F1090000}"/>
    <cellStyle name="Note 7 4 2 2" xfId="3367" xr:uid="{19EE551B-1D78-4776-BD42-E7757A2023E9}"/>
    <cellStyle name="Note 7 4 3" xfId="2825" xr:uid="{00000000-0005-0000-0000-0000F2090000}"/>
    <cellStyle name="Note 7 4 3 2" xfId="3569" xr:uid="{A32CB1E1-5597-442E-857E-32D6180C84C3}"/>
    <cellStyle name="Note 7 4 4" xfId="3165" xr:uid="{10F5E81C-3883-4046-96C2-EBA5DDD980DE}"/>
    <cellStyle name="Note 7 5" xfId="2469" xr:uid="{00000000-0005-0000-0000-0000F3090000}"/>
    <cellStyle name="Note 7 5 2" xfId="3213" xr:uid="{1CDF4B19-BF86-4CB7-BC54-132578ED712F}"/>
    <cellStyle name="Note 7 6" xfId="2671" xr:uid="{00000000-0005-0000-0000-0000F4090000}"/>
    <cellStyle name="Note 7 6 2" xfId="3415" xr:uid="{7C1492A8-925E-4DE0-ADAC-2657A7223CC2}"/>
    <cellStyle name="Note 7 7" xfId="2913" xr:uid="{00000000-0005-0000-0000-0000F5090000}"/>
    <cellStyle name="Note 7 8" xfId="2951" xr:uid="{56D4D1FC-1E95-4B85-86F9-04525BB86B2C}"/>
    <cellStyle name="Note 8" xfId="2241" xr:uid="{00000000-0005-0000-0000-0000F6090000}"/>
    <cellStyle name="Note 8 2" xfId="2362" xr:uid="{00000000-0005-0000-0000-0000F7090000}"/>
    <cellStyle name="Note 8 2 2" xfId="2581" xr:uid="{00000000-0005-0000-0000-0000F8090000}"/>
    <cellStyle name="Note 8 2 2 2" xfId="3325" xr:uid="{220944DB-38CA-4B07-9FF0-AB6E66E8F65E}"/>
    <cellStyle name="Note 8 2 3" xfId="2783" xr:uid="{00000000-0005-0000-0000-0000F9090000}"/>
    <cellStyle name="Note 8 2 3 2" xfId="3527" xr:uid="{236D5232-190F-41D7-AF7A-F4AE8CB7EC99}"/>
    <cellStyle name="Note 8 2 4" xfId="3106" xr:uid="{1B39C47D-6B09-4711-90C5-1DA9B3B4CDBE}"/>
    <cellStyle name="Note 8 3" xfId="2503" xr:uid="{00000000-0005-0000-0000-0000FA090000}"/>
    <cellStyle name="Note 8 3 2" xfId="3247" xr:uid="{1778DB1E-EB5E-4733-AB52-431E8908D641}"/>
    <cellStyle name="Note 8 4" xfId="2705" xr:uid="{00000000-0005-0000-0000-0000FB090000}"/>
    <cellStyle name="Note 8 4 2" xfId="3449" xr:uid="{7A69020E-D06B-46CA-A334-C60EAF73CA1A}"/>
    <cellStyle name="Note 8 5" xfId="3014" xr:uid="{78F68DBE-F744-4A66-ABD6-C71ABD9CD829}"/>
    <cellStyle name="Note 9" xfId="2255" xr:uid="{00000000-0005-0000-0000-0000FC090000}"/>
    <cellStyle name="Note 9 2" xfId="2393" xr:uid="{00000000-0005-0000-0000-0000FD090000}"/>
    <cellStyle name="Note 9 2 2" xfId="2595" xr:uid="{00000000-0005-0000-0000-0000FE090000}"/>
    <cellStyle name="Note 9 2 2 2" xfId="3339" xr:uid="{AEC26861-5846-4B0E-AD99-F88577A5BFEF}"/>
    <cellStyle name="Note 9 2 3" xfId="2797" xr:uid="{00000000-0005-0000-0000-0000FF090000}"/>
    <cellStyle name="Note 9 2 3 2" xfId="3541" xr:uid="{4696CC7F-0604-46BF-835A-8ABB028684E5}"/>
    <cellStyle name="Note 9 2 4" xfId="3137" xr:uid="{133CF212-EC15-45D2-9C6D-0D63ABAF85B6}"/>
    <cellStyle name="Note 9 3" xfId="2517" xr:uid="{00000000-0005-0000-0000-0000000A0000}"/>
    <cellStyle name="Note 9 3 2" xfId="3261" xr:uid="{7BEC3AFA-D359-4711-A7C6-41298432643B}"/>
    <cellStyle name="Note 9 4" xfId="2719" xr:uid="{00000000-0005-0000-0000-0000010A0000}"/>
    <cellStyle name="Note 9 4 2" xfId="3463" xr:uid="{044A6DD1-8ED9-4F5A-9630-85F2FA6CE82A}"/>
    <cellStyle name="Note 9 5" xfId="3028" xr:uid="{68699912-6089-46AB-BC4E-534392DF5F23}"/>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2 2" xfId="3323" xr:uid="{55B76E76-EA50-44D5-B6F3-B69AD4A59755}"/>
    <cellStyle name="Percent 9 2 2 3" xfId="2781" xr:uid="{00000000-0005-0000-0000-0000B10A0000}"/>
    <cellStyle name="Percent 9 2 2 3 2" xfId="3525" xr:uid="{9563098F-8592-4D8E-A500-D589B0655968}"/>
    <cellStyle name="Percent 9 2 2 4" xfId="3103" xr:uid="{EF809C89-0875-411B-B251-F9B3F0E8BE09}"/>
    <cellStyle name="Percent 9 2 3" xfId="2453" xr:uid="{00000000-0005-0000-0000-0000B20A0000}"/>
    <cellStyle name="Percent 9 2 3 2" xfId="2655" xr:uid="{00000000-0005-0000-0000-0000B30A0000}"/>
    <cellStyle name="Percent 9 2 3 2 2" xfId="3399" xr:uid="{6964CBB8-0B83-4D62-A0B5-3D149A763554}"/>
    <cellStyle name="Percent 9 2 3 3" xfId="2857" xr:uid="{00000000-0005-0000-0000-0000B40A0000}"/>
    <cellStyle name="Percent 9 2 3 3 2" xfId="3601" xr:uid="{811892C7-360A-428D-99BF-D06B75769F9A}"/>
    <cellStyle name="Percent 9 2 3 4" xfId="3197" xr:uid="{660228E7-ABF1-4369-BB74-C851AB135924}"/>
    <cellStyle name="Percent 9 2 4" xfId="2501" xr:uid="{00000000-0005-0000-0000-0000B50A0000}"/>
    <cellStyle name="Percent 9 2 4 2" xfId="3245" xr:uid="{CE4FD0A9-3064-4FDC-B298-C9AF135C6D6C}"/>
    <cellStyle name="Percent 9 2 5" xfId="2703" xr:uid="{00000000-0005-0000-0000-0000B60A0000}"/>
    <cellStyle name="Percent 9 2 5 2" xfId="3447" xr:uid="{FEDDD380-21F4-4FAD-9911-3B450510F8F9}"/>
    <cellStyle name="Percent 9 2 6" xfId="2916" xr:uid="{00000000-0005-0000-0000-0000B70A0000}"/>
    <cellStyle name="Percent 9 2 7" xfId="3012" xr:uid="{5C7ACE78-1EA9-4538-A918-8BA8642456D7}"/>
    <cellStyle name="Percent 9 3" xfId="2356" xr:uid="{00000000-0005-0000-0000-0000B80A0000}"/>
    <cellStyle name="Percent 9 3 2" xfId="2576" xr:uid="{00000000-0005-0000-0000-0000B90A0000}"/>
    <cellStyle name="Percent 9 3 2 2" xfId="3320" xr:uid="{28DC1D85-C196-47AD-9C82-5BC7A3A77208}"/>
    <cellStyle name="Percent 9 3 3" xfId="2778" xr:uid="{00000000-0005-0000-0000-0000BA0A0000}"/>
    <cellStyle name="Percent 9 3 3 2" xfId="3522" xr:uid="{65890AF4-4881-4FE9-9A9A-08790523CCD4}"/>
    <cellStyle name="Percent 9 3 4" xfId="3100" xr:uid="{983452A6-E59D-4A11-AB90-FA7A5E60A3D0}"/>
    <cellStyle name="Percent 9 4" xfId="2450" xr:uid="{00000000-0005-0000-0000-0000BB0A0000}"/>
    <cellStyle name="Percent 9 4 2" xfId="2652" xr:uid="{00000000-0005-0000-0000-0000BC0A0000}"/>
    <cellStyle name="Percent 9 4 2 2" xfId="3396" xr:uid="{3471BFA0-679D-436B-B872-831CF5DF038C}"/>
    <cellStyle name="Percent 9 4 3" xfId="2854" xr:uid="{00000000-0005-0000-0000-0000BD0A0000}"/>
    <cellStyle name="Percent 9 4 3 2" xfId="3598" xr:uid="{FFD7ADF5-6774-4508-AA9C-AA7EC63E532E}"/>
    <cellStyle name="Percent 9 4 4" xfId="3194" xr:uid="{C4B614A1-7757-4928-99A2-C15F28E5047D}"/>
    <cellStyle name="Percent 9 5" xfId="2498" xr:uid="{00000000-0005-0000-0000-0000BE0A0000}"/>
    <cellStyle name="Percent 9 5 2" xfId="3242" xr:uid="{666E8745-2AEE-49C7-BCC5-75B8A011BCB9}"/>
    <cellStyle name="Percent 9 6" xfId="2700" xr:uid="{00000000-0005-0000-0000-0000BF0A0000}"/>
    <cellStyle name="Percent 9 6 2" xfId="3444" xr:uid="{49A28532-466C-4BC5-95A5-3C39CEAE13B1}"/>
    <cellStyle name="Percent 9 7" xfId="2915" xr:uid="{00000000-0005-0000-0000-0000C00A0000}"/>
    <cellStyle name="Percent 9 8" xfId="3002" xr:uid="{CBE55A4E-1071-41B7-A94D-49AF5139A3D6}"/>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70">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color rgb="FF9C0006"/>
      </font>
      <fill>
        <patternFill>
          <bgColor rgb="FFFFC7CE"/>
        </patternFill>
      </fill>
    </dxf>
    <dxf>
      <font>
        <color rgb="FF9C0006"/>
      </font>
      <fill>
        <patternFill>
          <bgColor rgb="FFFFC7CE"/>
        </patternFill>
      </fill>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733425</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107156</xdr:colOff>
      <xdr:row>0</xdr:row>
      <xdr:rowOff>130968</xdr:rowOff>
    </xdr:from>
    <xdr:to>
      <xdr:col>1</xdr:col>
      <xdr:colOff>1921706</xdr:colOff>
      <xdr:row>4</xdr:row>
      <xdr:rowOff>151647</xdr:rowOff>
    </xdr:to>
    <xdr:pic>
      <xdr:nvPicPr>
        <xdr:cNvPr id="4" name="Picture 3">
          <a:extLst>
            <a:ext uri="{FF2B5EF4-FFF2-40B4-BE49-F238E27FC236}">
              <a16:creationId xmlns:a16="http://schemas.microsoft.com/office/drawing/2014/main" id="{3AB91D54-822B-4E59-B4F4-B7A61F45680B}"/>
            </a:ext>
          </a:extLst>
        </xdr:cNvPr>
        <xdr:cNvPicPr>
          <a:picLocks noChangeAspect="1"/>
        </xdr:cNvPicPr>
      </xdr:nvPicPr>
      <xdr:blipFill>
        <a:blip xmlns:r="http://schemas.openxmlformats.org/officeDocument/2006/relationships" r:embed="rId1"/>
        <a:stretch>
          <a:fillRect/>
        </a:stretch>
      </xdr:blipFill>
      <xdr:spPr>
        <a:xfrm>
          <a:off x="107156" y="130968"/>
          <a:ext cx="1981714" cy="6874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59531</xdr:colOff>
      <xdr:row>0</xdr:row>
      <xdr:rowOff>95250</xdr:rowOff>
    </xdr:from>
    <xdr:to>
      <xdr:col>1</xdr:col>
      <xdr:colOff>1851221</xdr:colOff>
      <xdr:row>4</xdr:row>
      <xdr:rowOff>115929</xdr:rowOff>
    </xdr:to>
    <xdr:pic>
      <xdr:nvPicPr>
        <xdr:cNvPr id="4" name="Picture 3">
          <a:extLst>
            <a:ext uri="{FF2B5EF4-FFF2-40B4-BE49-F238E27FC236}">
              <a16:creationId xmlns:a16="http://schemas.microsoft.com/office/drawing/2014/main" id="{E7E5AA35-F8C7-40D5-802A-A66335E27D8B}"/>
            </a:ext>
          </a:extLst>
        </xdr:cNvPr>
        <xdr:cNvPicPr>
          <a:picLocks noChangeAspect="1"/>
        </xdr:cNvPicPr>
      </xdr:nvPicPr>
      <xdr:blipFill>
        <a:blip xmlns:r="http://schemas.openxmlformats.org/officeDocument/2006/relationships" r:embed="rId1"/>
        <a:stretch>
          <a:fillRect/>
        </a:stretch>
      </xdr:blipFill>
      <xdr:spPr>
        <a:xfrm>
          <a:off x="59531" y="95250"/>
          <a:ext cx="1981714" cy="6874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57149</xdr:colOff>
      <xdr:row>0</xdr:row>
      <xdr:rowOff>38099</xdr:rowOff>
    </xdr:from>
    <xdr:to>
      <xdr:col>1</xdr:col>
      <xdr:colOff>1850268</xdr:colOff>
      <xdr:row>5</xdr:row>
      <xdr:rowOff>1628</xdr:rowOff>
    </xdr:to>
    <xdr:pic>
      <xdr:nvPicPr>
        <xdr:cNvPr id="4" name="Picture 3">
          <a:extLst>
            <a:ext uri="{FF2B5EF4-FFF2-40B4-BE49-F238E27FC236}">
              <a16:creationId xmlns:a16="http://schemas.microsoft.com/office/drawing/2014/main" id="{3FC6FE42-EDF9-426E-BF3E-0B5BED3763EC}"/>
            </a:ext>
          </a:extLst>
        </xdr:cNvPr>
        <xdr:cNvPicPr>
          <a:picLocks noChangeAspect="1"/>
        </xdr:cNvPicPr>
      </xdr:nvPicPr>
      <xdr:blipFill>
        <a:blip xmlns:r="http://schemas.openxmlformats.org/officeDocument/2006/relationships" r:embed="rId1"/>
        <a:stretch>
          <a:fillRect/>
        </a:stretch>
      </xdr:blipFill>
      <xdr:spPr>
        <a:xfrm>
          <a:off x="57149" y="38099"/>
          <a:ext cx="1981714" cy="687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83342</xdr:colOff>
      <xdr:row>0</xdr:row>
      <xdr:rowOff>130968</xdr:rowOff>
    </xdr:from>
    <xdr:to>
      <xdr:col>1</xdr:col>
      <xdr:colOff>1886462</xdr:colOff>
      <xdr:row>4</xdr:row>
      <xdr:rowOff>151647</xdr:rowOff>
    </xdr:to>
    <xdr:pic>
      <xdr:nvPicPr>
        <xdr:cNvPr id="3" name="Picture 2">
          <a:extLst>
            <a:ext uri="{FF2B5EF4-FFF2-40B4-BE49-F238E27FC236}">
              <a16:creationId xmlns:a16="http://schemas.microsoft.com/office/drawing/2014/main" id="{981B5581-BF93-4E50-AC67-F91EB16199BE}"/>
            </a:ext>
          </a:extLst>
        </xdr:cNvPr>
        <xdr:cNvPicPr>
          <a:picLocks noChangeAspect="1"/>
        </xdr:cNvPicPr>
      </xdr:nvPicPr>
      <xdr:blipFill>
        <a:blip xmlns:r="http://schemas.openxmlformats.org/officeDocument/2006/relationships" r:embed="rId1"/>
        <a:stretch>
          <a:fillRect/>
        </a:stretch>
      </xdr:blipFill>
      <xdr:spPr>
        <a:xfrm>
          <a:off x="83342" y="130968"/>
          <a:ext cx="1981714" cy="6874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85724</xdr:colOff>
      <xdr:row>0</xdr:row>
      <xdr:rowOff>66674</xdr:rowOff>
    </xdr:from>
    <xdr:to>
      <xdr:col>1</xdr:col>
      <xdr:colOff>1886463</xdr:colOff>
      <xdr:row>4</xdr:row>
      <xdr:rowOff>56873</xdr:rowOff>
    </xdr:to>
    <xdr:pic>
      <xdr:nvPicPr>
        <xdr:cNvPr id="3" name="Picture 2">
          <a:extLst>
            <a:ext uri="{FF2B5EF4-FFF2-40B4-BE49-F238E27FC236}">
              <a16:creationId xmlns:a16="http://schemas.microsoft.com/office/drawing/2014/main" id="{A8315E6B-055F-4D5E-9903-50719FF432D0}"/>
            </a:ext>
          </a:extLst>
        </xdr:cNvPr>
        <xdr:cNvPicPr>
          <a:picLocks noChangeAspect="1"/>
        </xdr:cNvPicPr>
      </xdr:nvPicPr>
      <xdr:blipFill>
        <a:blip xmlns:r="http://schemas.openxmlformats.org/officeDocument/2006/relationships" r:embed="rId1"/>
        <a:stretch>
          <a:fillRect/>
        </a:stretch>
      </xdr:blipFill>
      <xdr:spPr>
        <a:xfrm>
          <a:off x="85724" y="66674"/>
          <a:ext cx="1981714" cy="6874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2514600</xdr:colOff>
      <xdr:row>4</xdr:row>
      <xdr:rowOff>7408</xdr:rowOff>
    </xdr:to>
    <xdr:pic>
      <xdr:nvPicPr>
        <xdr:cNvPr id="2" name="Picture 47" descr="CCRD_FIN_BW300">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14300"/>
          <a:ext cx="2552700" cy="493183"/>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95249</xdr:colOff>
      <xdr:row>0</xdr:row>
      <xdr:rowOff>23812</xdr:rowOff>
    </xdr:from>
    <xdr:to>
      <xdr:col>1</xdr:col>
      <xdr:colOff>1888844</xdr:colOff>
      <xdr:row>5</xdr:row>
      <xdr:rowOff>676</xdr:rowOff>
    </xdr:to>
    <xdr:pic>
      <xdr:nvPicPr>
        <xdr:cNvPr id="3" name="Picture 2">
          <a:extLst>
            <a:ext uri="{FF2B5EF4-FFF2-40B4-BE49-F238E27FC236}">
              <a16:creationId xmlns:a16="http://schemas.microsoft.com/office/drawing/2014/main" id="{37E3464B-A593-4682-8624-83B35EA48A7D}"/>
            </a:ext>
          </a:extLst>
        </xdr:cNvPr>
        <xdr:cNvPicPr>
          <a:picLocks noChangeAspect="1"/>
        </xdr:cNvPicPr>
      </xdr:nvPicPr>
      <xdr:blipFill>
        <a:blip xmlns:r="http://schemas.openxmlformats.org/officeDocument/2006/relationships" r:embed="rId1"/>
        <a:stretch>
          <a:fillRect/>
        </a:stretch>
      </xdr:blipFill>
      <xdr:spPr>
        <a:xfrm>
          <a:off x="95249" y="23812"/>
          <a:ext cx="1981714" cy="6874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83343</xdr:colOff>
      <xdr:row>1</xdr:row>
      <xdr:rowOff>11905</xdr:rowOff>
    </xdr:from>
    <xdr:to>
      <xdr:col>1</xdr:col>
      <xdr:colOff>1882653</xdr:colOff>
      <xdr:row>4</xdr:row>
      <xdr:rowOff>206892</xdr:rowOff>
    </xdr:to>
    <xdr:pic>
      <xdr:nvPicPr>
        <xdr:cNvPr id="4" name="Picture 3">
          <a:extLst>
            <a:ext uri="{FF2B5EF4-FFF2-40B4-BE49-F238E27FC236}">
              <a16:creationId xmlns:a16="http://schemas.microsoft.com/office/drawing/2014/main" id="{DFB7CC44-4AD7-4885-AEE7-2CCDD95837BA}"/>
            </a:ext>
          </a:extLst>
        </xdr:cNvPr>
        <xdr:cNvPicPr>
          <a:picLocks noChangeAspect="1"/>
        </xdr:cNvPicPr>
      </xdr:nvPicPr>
      <xdr:blipFill>
        <a:blip xmlns:r="http://schemas.openxmlformats.org/officeDocument/2006/relationships" r:embed="rId1"/>
        <a:stretch>
          <a:fillRect/>
        </a:stretch>
      </xdr:blipFill>
      <xdr:spPr>
        <a:xfrm>
          <a:off x="83343" y="83343"/>
          <a:ext cx="1981714" cy="6874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71437</xdr:rowOff>
    </xdr:from>
    <xdr:to>
      <xdr:col>1</xdr:col>
      <xdr:colOff>1846935</xdr:colOff>
      <xdr:row>4</xdr:row>
      <xdr:rowOff>95926</xdr:rowOff>
    </xdr:to>
    <xdr:pic>
      <xdr:nvPicPr>
        <xdr:cNvPr id="4" name="Picture 3">
          <a:extLst>
            <a:ext uri="{FF2B5EF4-FFF2-40B4-BE49-F238E27FC236}">
              <a16:creationId xmlns:a16="http://schemas.microsoft.com/office/drawing/2014/main" id="{B0CDCC99-8624-459D-A9C4-951159C8BFD5}"/>
            </a:ext>
          </a:extLst>
        </xdr:cNvPr>
        <xdr:cNvPicPr>
          <a:picLocks noChangeAspect="1"/>
        </xdr:cNvPicPr>
      </xdr:nvPicPr>
      <xdr:blipFill>
        <a:blip xmlns:r="http://schemas.openxmlformats.org/officeDocument/2006/relationships" r:embed="rId1"/>
        <a:stretch>
          <a:fillRect/>
        </a:stretch>
      </xdr:blipFill>
      <xdr:spPr>
        <a:xfrm>
          <a:off x="47625" y="71437"/>
          <a:ext cx="1981714" cy="687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52916</xdr:colOff>
      <xdr:row>0</xdr:row>
      <xdr:rowOff>63499</xdr:rowOff>
    </xdr:from>
    <xdr:to>
      <xdr:col>1</xdr:col>
      <xdr:colOff>1812380</xdr:colOff>
      <xdr:row>4</xdr:row>
      <xdr:rowOff>132438</xdr:rowOff>
    </xdr:to>
    <xdr:pic>
      <xdr:nvPicPr>
        <xdr:cNvPr id="4" name="Picture 3">
          <a:extLst>
            <a:ext uri="{FF2B5EF4-FFF2-40B4-BE49-F238E27FC236}">
              <a16:creationId xmlns:a16="http://schemas.microsoft.com/office/drawing/2014/main" id="{4A58A1CB-BF25-4465-A6D6-27D7240A4D8A}"/>
            </a:ext>
          </a:extLst>
        </xdr:cNvPr>
        <xdr:cNvPicPr>
          <a:picLocks noChangeAspect="1"/>
        </xdr:cNvPicPr>
      </xdr:nvPicPr>
      <xdr:blipFill>
        <a:blip xmlns:r="http://schemas.openxmlformats.org/officeDocument/2006/relationships" r:embed="rId1"/>
        <a:stretch>
          <a:fillRect/>
        </a:stretch>
      </xdr:blipFill>
      <xdr:spPr>
        <a:xfrm>
          <a:off x="52916" y="63499"/>
          <a:ext cx="1981714" cy="687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71437</xdr:rowOff>
    </xdr:from>
    <xdr:to>
      <xdr:col>1</xdr:col>
      <xdr:colOff>1981714</xdr:colOff>
      <xdr:row>3</xdr:row>
      <xdr:rowOff>187366</xdr:rowOff>
    </xdr:to>
    <xdr:pic>
      <xdr:nvPicPr>
        <xdr:cNvPr id="4" name="Picture 3">
          <a:extLst>
            <a:ext uri="{FF2B5EF4-FFF2-40B4-BE49-F238E27FC236}">
              <a16:creationId xmlns:a16="http://schemas.microsoft.com/office/drawing/2014/main" id="{F658D07B-F50C-42B4-AC56-5C47D408A6C8}"/>
            </a:ext>
          </a:extLst>
        </xdr:cNvPr>
        <xdr:cNvPicPr>
          <a:picLocks noChangeAspect="1"/>
        </xdr:cNvPicPr>
      </xdr:nvPicPr>
      <xdr:blipFill>
        <a:blip xmlns:r="http://schemas.openxmlformats.org/officeDocument/2006/relationships" r:embed="rId1"/>
        <a:stretch>
          <a:fillRect/>
        </a:stretch>
      </xdr:blipFill>
      <xdr:spPr>
        <a:xfrm>
          <a:off x="488156" y="71437"/>
          <a:ext cx="1981714" cy="6874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2517775</xdr:colOff>
      <xdr:row>3</xdr:row>
      <xdr:rowOff>123825</xdr:rowOff>
    </xdr:to>
    <xdr:pic>
      <xdr:nvPicPr>
        <xdr:cNvPr id="29697" name="Picture 48" descr="CCRD_FIN_BW300">
          <a:extLst>
            <a:ext uri="{FF2B5EF4-FFF2-40B4-BE49-F238E27FC236}">
              <a16:creationId xmlns:a16="http://schemas.microsoft.com/office/drawing/2014/main" id="{00000000-0008-0000-1100-0000017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14300"/>
          <a:ext cx="2552700" cy="4953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142875</xdr:colOff>
      <xdr:row>0</xdr:row>
      <xdr:rowOff>152400</xdr:rowOff>
    </xdr:from>
    <xdr:to>
      <xdr:col>1</xdr:col>
      <xdr:colOff>2514600</xdr:colOff>
      <xdr:row>4</xdr:row>
      <xdr:rowOff>0</xdr:rowOff>
    </xdr:to>
    <xdr:pic>
      <xdr:nvPicPr>
        <xdr:cNvPr id="2" name="Picture 49" descr="CCRD_FIN_BW300">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875" y="152400"/>
          <a:ext cx="2552700" cy="4953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142875</xdr:colOff>
      <xdr:row>0</xdr:row>
      <xdr:rowOff>104775</xdr:rowOff>
    </xdr:from>
    <xdr:to>
      <xdr:col>1</xdr:col>
      <xdr:colOff>2514600</xdr:colOff>
      <xdr:row>3</xdr:row>
      <xdr:rowOff>114300</xdr:rowOff>
    </xdr:to>
    <xdr:pic>
      <xdr:nvPicPr>
        <xdr:cNvPr id="31745" name="Picture 49" descr="CCRD_FIN_BW300">
          <a:extLst>
            <a:ext uri="{FF2B5EF4-FFF2-40B4-BE49-F238E27FC236}">
              <a16:creationId xmlns:a16="http://schemas.microsoft.com/office/drawing/2014/main" id="{00000000-0008-0000-1300-0000017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2875" y="104775"/>
          <a:ext cx="2552700" cy="4953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83343</xdr:colOff>
      <xdr:row>0</xdr:row>
      <xdr:rowOff>119062</xdr:rowOff>
    </xdr:from>
    <xdr:to>
      <xdr:col>1</xdr:col>
      <xdr:colOff>1886463</xdr:colOff>
      <xdr:row>4</xdr:row>
      <xdr:rowOff>132121</xdr:rowOff>
    </xdr:to>
    <xdr:pic>
      <xdr:nvPicPr>
        <xdr:cNvPr id="4" name="Picture 3">
          <a:extLst>
            <a:ext uri="{FF2B5EF4-FFF2-40B4-BE49-F238E27FC236}">
              <a16:creationId xmlns:a16="http://schemas.microsoft.com/office/drawing/2014/main" id="{3D529388-A9C0-4D77-83C1-4E5EA687B6FC}"/>
            </a:ext>
          </a:extLst>
        </xdr:cNvPr>
        <xdr:cNvPicPr>
          <a:picLocks noChangeAspect="1"/>
        </xdr:cNvPicPr>
      </xdr:nvPicPr>
      <xdr:blipFill>
        <a:blip xmlns:r="http://schemas.openxmlformats.org/officeDocument/2006/relationships" r:embed="rId1"/>
        <a:stretch>
          <a:fillRect/>
        </a:stretch>
      </xdr:blipFill>
      <xdr:spPr>
        <a:xfrm>
          <a:off x="83343" y="119062"/>
          <a:ext cx="1981714" cy="68742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21165</xdr:colOff>
      <xdr:row>0</xdr:row>
      <xdr:rowOff>74083</xdr:rowOff>
    </xdr:from>
    <xdr:to>
      <xdr:col>4</xdr:col>
      <xdr:colOff>1353486</xdr:colOff>
      <xdr:row>3</xdr:row>
      <xdr:rowOff>145774</xdr:rowOff>
    </xdr:to>
    <xdr:pic>
      <xdr:nvPicPr>
        <xdr:cNvPr id="6" name="Picture 5">
          <a:extLst>
            <a:ext uri="{FF2B5EF4-FFF2-40B4-BE49-F238E27FC236}">
              <a16:creationId xmlns:a16="http://schemas.microsoft.com/office/drawing/2014/main" id="{D8B53308-26EE-4968-A1F2-A263EF88F48E}"/>
            </a:ext>
          </a:extLst>
        </xdr:cNvPr>
        <xdr:cNvPicPr>
          <a:picLocks noChangeAspect="1"/>
        </xdr:cNvPicPr>
      </xdr:nvPicPr>
      <xdr:blipFill>
        <a:blip xmlns:r="http://schemas.openxmlformats.org/officeDocument/2006/relationships" r:embed="rId1"/>
        <a:stretch>
          <a:fillRect/>
        </a:stretch>
      </xdr:blipFill>
      <xdr:spPr>
        <a:xfrm>
          <a:off x="21165" y="74083"/>
          <a:ext cx="1981714" cy="687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47623</xdr:colOff>
      <xdr:row>0</xdr:row>
      <xdr:rowOff>85724</xdr:rowOff>
    </xdr:from>
    <xdr:to>
      <xdr:col>1</xdr:col>
      <xdr:colOff>1848362</xdr:colOff>
      <xdr:row>4</xdr:row>
      <xdr:rowOff>131168</xdr:rowOff>
    </xdr:to>
    <xdr:pic>
      <xdr:nvPicPr>
        <xdr:cNvPr id="4" name="Picture 3">
          <a:extLst>
            <a:ext uri="{FF2B5EF4-FFF2-40B4-BE49-F238E27FC236}">
              <a16:creationId xmlns:a16="http://schemas.microsoft.com/office/drawing/2014/main" id="{978D79E7-EC9A-453E-B427-939068AE3FAE}"/>
            </a:ext>
          </a:extLst>
        </xdr:cNvPr>
        <xdr:cNvPicPr>
          <a:picLocks noChangeAspect="1"/>
        </xdr:cNvPicPr>
      </xdr:nvPicPr>
      <xdr:blipFill>
        <a:blip xmlns:r="http://schemas.openxmlformats.org/officeDocument/2006/relationships" r:embed="rId1"/>
        <a:stretch>
          <a:fillRect/>
        </a:stretch>
      </xdr:blipFill>
      <xdr:spPr>
        <a:xfrm>
          <a:off x="47623" y="85724"/>
          <a:ext cx="1981714" cy="687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47623</xdr:colOff>
      <xdr:row>1</xdr:row>
      <xdr:rowOff>38099</xdr:rowOff>
    </xdr:from>
    <xdr:to>
      <xdr:col>1</xdr:col>
      <xdr:colOff>1844552</xdr:colOff>
      <xdr:row>5</xdr:row>
      <xdr:rowOff>2052</xdr:rowOff>
    </xdr:to>
    <xdr:pic>
      <xdr:nvPicPr>
        <xdr:cNvPr id="4" name="Picture 3">
          <a:extLst>
            <a:ext uri="{FF2B5EF4-FFF2-40B4-BE49-F238E27FC236}">
              <a16:creationId xmlns:a16="http://schemas.microsoft.com/office/drawing/2014/main" id="{394203F4-A344-4364-BBBB-8E435131D2DC}"/>
            </a:ext>
          </a:extLst>
        </xdr:cNvPr>
        <xdr:cNvPicPr>
          <a:picLocks noChangeAspect="1"/>
        </xdr:cNvPicPr>
      </xdr:nvPicPr>
      <xdr:blipFill>
        <a:blip xmlns:r="http://schemas.openxmlformats.org/officeDocument/2006/relationships" r:embed="rId1"/>
        <a:stretch>
          <a:fillRect/>
        </a:stretch>
      </xdr:blipFill>
      <xdr:spPr>
        <a:xfrm>
          <a:off x="47623" y="104774"/>
          <a:ext cx="1991239" cy="687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78439</xdr:colOff>
      <xdr:row>1</xdr:row>
      <xdr:rowOff>22410</xdr:rowOff>
    </xdr:from>
    <xdr:to>
      <xdr:col>1</xdr:col>
      <xdr:colOff>1884669</xdr:colOff>
      <xdr:row>5</xdr:row>
      <xdr:rowOff>1067</xdr:rowOff>
    </xdr:to>
    <xdr:pic>
      <xdr:nvPicPr>
        <xdr:cNvPr id="3" name="Picture 2">
          <a:extLst>
            <a:ext uri="{FF2B5EF4-FFF2-40B4-BE49-F238E27FC236}">
              <a16:creationId xmlns:a16="http://schemas.microsoft.com/office/drawing/2014/main" id="{B9E71C8D-C31B-4FB9-BD25-331640800EF4}"/>
            </a:ext>
          </a:extLst>
        </xdr:cNvPr>
        <xdr:cNvPicPr>
          <a:picLocks noChangeAspect="1"/>
        </xdr:cNvPicPr>
      </xdr:nvPicPr>
      <xdr:blipFill>
        <a:blip xmlns:r="http://schemas.openxmlformats.org/officeDocument/2006/relationships" r:embed="rId1"/>
        <a:stretch>
          <a:fillRect/>
        </a:stretch>
      </xdr:blipFill>
      <xdr:spPr>
        <a:xfrm>
          <a:off x="78439" y="179292"/>
          <a:ext cx="1981714" cy="687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2857500</xdr:colOff>
      <xdr:row>3</xdr:row>
      <xdr:rowOff>155575</xdr:rowOff>
    </xdr:to>
    <xdr:pic>
      <xdr:nvPicPr>
        <xdr:cNvPr id="2" name="Picture 1" descr="Canaccord Genuity Group Inc.">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2857500" cy="47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78439</xdr:colOff>
      <xdr:row>1</xdr:row>
      <xdr:rowOff>22410</xdr:rowOff>
    </xdr:from>
    <xdr:to>
      <xdr:col>1</xdr:col>
      <xdr:colOff>1880859</xdr:colOff>
      <xdr:row>4</xdr:row>
      <xdr:rowOff>239192</xdr:rowOff>
    </xdr:to>
    <xdr:pic>
      <xdr:nvPicPr>
        <xdr:cNvPr id="2" name="Picture 1">
          <a:extLst>
            <a:ext uri="{FF2B5EF4-FFF2-40B4-BE49-F238E27FC236}">
              <a16:creationId xmlns:a16="http://schemas.microsoft.com/office/drawing/2014/main" id="{1F9D0770-CF2F-4A5B-8B47-F4D774E75E0E}"/>
            </a:ext>
          </a:extLst>
        </xdr:cNvPr>
        <xdr:cNvPicPr>
          <a:picLocks noChangeAspect="1"/>
        </xdr:cNvPicPr>
      </xdr:nvPicPr>
      <xdr:blipFill>
        <a:blip xmlns:r="http://schemas.openxmlformats.org/officeDocument/2006/relationships" r:embed="rId1"/>
        <a:stretch>
          <a:fillRect/>
        </a:stretch>
      </xdr:blipFill>
      <xdr:spPr>
        <a:xfrm>
          <a:off x="78439" y="174810"/>
          <a:ext cx="1983395" cy="7025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167930</xdr:colOff>
      <xdr:row>5</xdr:row>
      <xdr:rowOff>58667</xdr:rowOff>
    </xdr:to>
    <xdr:pic>
      <xdr:nvPicPr>
        <xdr:cNvPr id="2" name="Picture 1">
          <a:extLst>
            <a:ext uri="{FF2B5EF4-FFF2-40B4-BE49-F238E27FC236}">
              <a16:creationId xmlns:a16="http://schemas.microsoft.com/office/drawing/2014/main" id="{B0BC4FB1-ABD2-4E02-A8CA-33AD171E1F58}"/>
            </a:ext>
          </a:extLst>
        </xdr:cNvPr>
        <xdr:cNvPicPr>
          <a:picLocks noChangeAspect="1"/>
        </xdr:cNvPicPr>
      </xdr:nvPicPr>
      <xdr:blipFill>
        <a:blip xmlns:r="http://schemas.openxmlformats.org/officeDocument/2006/relationships" r:embed="rId1"/>
        <a:stretch>
          <a:fillRect/>
        </a:stretch>
      </xdr:blipFill>
      <xdr:spPr>
        <a:xfrm>
          <a:off x="0" y="171450"/>
          <a:ext cx="1991015" cy="7444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59</xdr:col>
      <xdr:colOff>0</xdr:colOff>
      <xdr:row>44</xdr:row>
      <xdr:rowOff>0</xdr:rowOff>
    </xdr:from>
    <xdr:to>
      <xdr:col>64</xdr:col>
      <xdr:colOff>95250</xdr:colOff>
      <xdr:row>45</xdr:row>
      <xdr:rowOff>53762</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twoCellAnchor editAs="oneCell">
    <xdr:from>
      <xdr:col>0</xdr:col>
      <xdr:colOff>56028</xdr:colOff>
      <xdr:row>1</xdr:row>
      <xdr:rowOff>78439</xdr:rowOff>
    </xdr:from>
    <xdr:to>
      <xdr:col>1</xdr:col>
      <xdr:colOff>1850828</xdr:colOff>
      <xdr:row>4</xdr:row>
      <xdr:rowOff>285696</xdr:rowOff>
    </xdr:to>
    <xdr:pic>
      <xdr:nvPicPr>
        <xdr:cNvPr id="5" name="Picture 4">
          <a:extLst>
            <a:ext uri="{FF2B5EF4-FFF2-40B4-BE49-F238E27FC236}">
              <a16:creationId xmlns:a16="http://schemas.microsoft.com/office/drawing/2014/main" id="{BC3453C2-8890-48E0-B89E-67F3C4F1B948}"/>
            </a:ext>
          </a:extLst>
        </xdr:cNvPr>
        <xdr:cNvPicPr>
          <a:picLocks noChangeAspect="1"/>
        </xdr:cNvPicPr>
      </xdr:nvPicPr>
      <xdr:blipFill>
        <a:blip xmlns:r="http://schemas.openxmlformats.org/officeDocument/2006/relationships" r:embed="rId2"/>
        <a:stretch>
          <a:fillRect/>
        </a:stretch>
      </xdr:blipFill>
      <xdr:spPr>
        <a:xfrm>
          <a:off x="56028" y="168086"/>
          <a:ext cx="1981714" cy="687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90"/>
  <sheetViews>
    <sheetView showGridLines="0" topLeftCell="A20" workbookViewId="0">
      <selection activeCell="D52" sqref="D52"/>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8"/>
    </row>
    <row r="5" spans="2:21" x14ac:dyDescent="0.2">
      <c r="I5" t="s">
        <v>43</v>
      </c>
    </row>
    <row r="6" spans="2:21" x14ac:dyDescent="0.2">
      <c r="C6" s="49"/>
    </row>
    <row r="13" spans="2:21" ht="28.5" customHeight="1" x14ac:dyDescent="0.4">
      <c r="D13" s="837"/>
      <c r="E13" s="838" t="s">
        <v>342</v>
      </c>
      <c r="F13" s="837"/>
      <c r="G13" s="837"/>
    </row>
    <row r="14" spans="2:21" x14ac:dyDescent="0.2">
      <c r="T14" s="61"/>
      <c r="U14" s="61"/>
    </row>
    <row r="15" spans="2:21" x14ac:dyDescent="0.2">
      <c r="T15" s="61"/>
      <c r="U15" s="61"/>
    </row>
    <row r="16" spans="2:21" ht="25.5" customHeight="1" x14ac:dyDescent="0.35">
      <c r="B16" s="3055" t="s">
        <v>44</v>
      </c>
      <c r="C16" s="3054"/>
      <c r="D16" s="3054"/>
      <c r="E16" s="3054"/>
      <c r="F16" s="3054"/>
      <c r="G16" s="3054"/>
      <c r="H16" s="3054"/>
      <c r="T16" s="61"/>
      <c r="U16" s="61"/>
    </row>
    <row r="17" spans="1:50" x14ac:dyDescent="0.2">
      <c r="T17" s="61"/>
      <c r="U17" s="61"/>
    </row>
    <row r="18" spans="1:50" ht="20.25" x14ac:dyDescent="0.3">
      <c r="E18" s="52" t="s">
        <v>672</v>
      </c>
      <c r="T18" s="61"/>
      <c r="U18" s="61"/>
    </row>
    <row r="19" spans="1:50" ht="18" customHeight="1" x14ac:dyDescent="0.2">
      <c r="B19" t="s">
        <v>43</v>
      </c>
      <c r="D19" s="53"/>
      <c r="E19" s="463" t="s">
        <v>673</v>
      </c>
      <c r="F19" s="53"/>
      <c r="T19" s="61"/>
      <c r="U19" s="61"/>
    </row>
    <row r="20" spans="1:50" x14ac:dyDescent="0.2">
      <c r="E20" s="54"/>
      <c r="T20" s="61"/>
      <c r="U20" s="61"/>
    </row>
    <row r="21" spans="1:50" x14ac:dyDescent="0.2">
      <c r="E21" s="55" t="s">
        <v>45</v>
      </c>
      <c r="T21" s="61"/>
      <c r="U21" s="61"/>
    </row>
    <row r="22" spans="1:50" x14ac:dyDescent="0.2">
      <c r="T22" s="61"/>
      <c r="U22" s="61"/>
    </row>
    <row r="23" spans="1:50" ht="29.25" customHeight="1" x14ac:dyDescent="0.35">
      <c r="E23" s="261"/>
      <c r="T23" s="61"/>
      <c r="U23" s="61"/>
    </row>
    <row r="24" spans="1:50" ht="23.25" customHeight="1" x14ac:dyDescent="0.3">
      <c r="B24" s="3053" t="s">
        <v>46</v>
      </c>
      <c r="C24" s="3054"/>
      <c r="D24" s="3054"/>
      <c r="E24" s="3054"/>
      <c r="F24" s="3054"/>
      <c r="G24" s="3054"/>
      <c r="H24" s="3054"/>
      <c r="T24" s="61"/>
      <c r="U24" s="61"/>
    </row>
    <row r="25" spans="1:50" s="480" customFormat="1" ht="23.25" customHeight="1" x14ac:dyDescent="0.3">
      <c r="B25" s="847"/>
      <c r="C25" s="848"/>
      <c r="D25" s="848"/>
      <c r="E25" s="848"/>
      <c r="F25" s="848"/>
      <c r="G25" s="848"/>
      <c r="H25" s="848"/>
      <c r="T25" s="61"/>
      <c r="U25" s="61"/>
    </row>
    <row r="27" spans="1:50" x14ac:dyDescent="0.2">
      <c r="E27" s="850" t="s">
        <v>47</v>
      </c>
    </row>
    <row r="28" spans="1:50" x14ac:dyDescent="0.2">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X28">
        <v>0</v>
      </c>
    </row>
    <row r="29" spans="1:50" ht="12.75" customHeight="1" x14ac:dyDescent="0.2">
      <c r="A29" s="432"/>
      <c r="B29" s="61" t="s">
        <v>308</v>
      </c>
      <c r="C29" s="61"/>
      <c r="D29" s="65"/>
      <c r="E29" s="185" t="s">
        <v>501</v>
      </c>
      <c r="F29" s="830"/>
      <c r="G29" s="61"/>
      <c r="H29" s="61"/>
      <c r="I29" s="65" t="s">
        <v>309</v>
      </c>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X29">
        <v>0</v>
      </c>
    </row>
    <row r="30" spans="1:50" s="480" customFormat="1" ht="12.75" customHeight="1" x14ac:dyDescent="0.2">
      <c r="A30" s="432"/>
      <c r="B30" s="61"/>
      <c r="C30" s="61"/>
      <c r="D30" s="65"/>
      <c r="E30" s="831"/>
      <c r="F30" s="846"/>
      <c r="G30" s="61"/>
      <c r="H30" s="61"/>
      <c r="I30" s="65"/>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row>
    <row r="31" spans="1:50" ht="12.75" customHeight="1" x14ac:dyDescent="0.2">
      <c r="B31" s="61" t="s">
        <v>352</v>
      </c>
      <c r="C31" s="846"/>
      <c r="D31" s="846"/>
      <c r="E31" s="849" t="s">
        <v>353</v>
      </c>
      <c r="F31" s="831"/>
      <c r="G31" s="56"/>
      <c r="H31" s="61"/>
      <c r="I31" s="839" t="s">
        <v>354</v>
      </c>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row>
    <row r="32" spans="1:50" x14ac:dyDescent="0.2">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row>
    <row r="33" spans="2:50" x14ac:dyDescent="0.2">
      <c r="D33" s="3"/>
      <c r="E33" s="57"/>
      <c r="F33" s="3"/>
      <c r="G33" s="3"/>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row>
    <row r="34" spans="2:50" x14ac:dyDescent="0.2">
      <c r="D34" s="2"/>
      <c r="E34" s="58"/>
      <c r="F34" s="2"/>
      <c r="G34" s="3"/>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row>
    <row r="35" spans="2:50" x14ac:dyDescent="0.2">
      <c r="D35" s="3"/>
      <c r="E35" s="59"/>
      <c r="F35" s="3"/>
      <c r="G35" s="3"/>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2:50" x14ac:dyDescent="0.2">
      <c r="D36" s="3"/>
      <c r="E36" s="60"/>
      <c r="F36" s="3"/>
      <c r="G36" s="3"/>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X36" t="s">
        <v>41</v>
      </c>
    </row>
    <row r="37" spans="2:50" x14ac:dyDescent="0.2">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X37" s="480"/>
    </row>
    <row r="38" spans="2:50" x14ac:dyDescent="0.2">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row>
    <row r="39" spans="2:50" x14ac:dyDescent="0.2">
      <c r="G39" t="s">
        <v>43</v>
      </c>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row>
    <row r="40" spans="2:50" x14ac:dyDescent="0.2">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row>
    <row r="41" spans="2:50" x14ac:dyDescent="0.2">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row>
    <row r="42" spans="2:50" x14ac:dyDescent="0.2">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row>
    <row r="43" spans="2:50" x14ac:dyDescent="0.2">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row>
    <row r="44" spans="2:50" x14ac:dyDescent="0.2">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2:50" x14ac:dyDescent="0.2">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row>
    <row r="46" spans="2:50" x14ac:dyDescent="0.2">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row>
    <row r="47" spans="2:50" ht="14.25" x14ac:dyDescent="0.2">
      <c r="B47" s="79"/>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row>
    <row r="48" spans="2:50" x14ac:dyDescent="0.2">
      <c r="B48" s="407"/>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row>
    <row r="49" spans="1:47" x14ac:dyDescent="0.2">
      <c r="B49" s="407"/>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x14ac:dyDescent="0.2">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row>
    <row r="53" spans="1:47" x14ac:dyDescent="0.2">
      <c r="I53" s="61"/>
      <c r="J53" s="61"/>
      <c r="K53" s="61"/>
    </row>
    <row r="54" spans="1:47" x14ac:dyDescent="0.2">
      <c r="I54" s="61"/>
      <c r="J54" s="61"/>
      <c r="K54" s="61"/>
    </row>
    <row r="55" spans="1:47" x14ac:dyDescent="0.2">
      <c r="I55" s="61"/>
      <c r="J55" s="61"/>
      <c r="K55" s="61"/>
    </row>
    <row r="56" spans="1:47" x14ac:dyDescent="0.2">
      <c r="A56" s="44"/>
      <c r="I56" s="61"/>
      <c r="J56" s="61"/>
      <c r="K56" s="61"/>
      <c r="M56" s="62"/>
      <c r="AA56" s="61"/>
      <c r="AG56" s="62"/>
    </row>
    <row r="57" spans="1:47" x14ac:dyDescent="0.2">
      <c r="A57" s="63"/>
      <c r="B57" s="64"/>
      <c r="C57" s="64"/>
      <c r="D57" s="64"/>
      <c r="E57" s="64"/>
      <c r="F57" s="64"/>
      <c r="G57" s="64"/>
      <c r="H57" s="64"/>
      <c r="I57" s="65"/>
      <c r="J57" s="65"/>
      <c r="K57" s="65"/>
      <c r="L57" s="64"/>
      <c r="M57" s="64"/>
      <c r="N57" s="64"/>
      <c r="O57" s="64"/>
      <c r="P57" s="64"/>
      <c r="Q57" s="64"/>
      <c r="R57" s="64"/>
      <c r="S57" s="64"/>
      <c r="T57" s="64"/>
      <c r="U57" s="64"/>
      <c r="V57" s="64"/>
      <c r="W57" s="64"/>
      <c r="X57" s="64"/>
      <c r="AA57" s="61"/>
    </row>
    <row r="58" spans="1:47" x14ac:dyDescent="0.2">
      <c r="I58" s="61"/>
      <c r="J58" s="61"/>
      <c r="K58" s="61"/>
      <c r="AA58" s="61"/>
    </row>
    <row r="59" spans="1:47" x14ac:dyDescent="0.2">
      <c r="I59" s="61"/>
      <c r="J59" s="61"/>
      <c r="K59" s="61"/>
    </row>
    <row r="63" spans="1:47" x14ac:dyDescent="0.2">
      <c r="T63" s="66"/>
      <c r="AH63" s="66"/>
    </row>
    <row r="74" spans="49:49" x14ac:dyDescent="0.2">
      <c r="AW74" s="347"/>
    </row>
    <row r="75" spans="49:49" x14ac:dyDescent="0.2">
      <c r="AW75" s="347"/>
    </row>
    <row r="83" spans="8:8" x14ac:dyDescent="0.2">
      <c r="H83" s="61"/>
    </row>
    <row r="84" spans="8:8" x14ac:dyDescent="0.2">
      <c r="H84" s="61"/>
    </row>
    <row r="85" spans="8:8" x14ac:dyDescent="0.2">
      <c r="H85" s="61"/>
    </row>
    <row r="86" spans="8:8" x14ac:dyDescent="0.2">
      <c r="H86" s="61"/>
    </row>
    <row r="87" spans="8:8" x14ac:dyDescent="0.2">
      <c r="H87" s="61"/>
    </row>
    <row r="88" spans="8:8" x14ac:dyDescent="0.2">
      <c r="H88" s="61"/>
    </row>
    <row r="89" spans="8:8" x14ac:dyDescent="0.2">
      <c r="H89" s="61"/>
    </row>
    <row r="90" spans="8:8" x14ac:dyDescent="0.2">
      <c r="H90" s="61"/>
    </row>
  </sheetData>
  <mergeCells count="2">
    <mergeCell ref="B24:H24"/>
    <mergeCell ref="B16:H16"/>
  </mergeCells>
  <phoneticPr fontId="0" type="noConversion"/>
  <printOptions horizontalCentered="1"/>
  <pageMargins left="0.3" right="0.3" top="0.4" bottom="0.6" header="0" footer="0.3"/>
  <pageSetup orientation="landscape" horizontalDpi="4294967295" verticalDpi="4294967295" r:id="rId1"/>
  <headerFooter alignWithMargins="0">
    <oddFooter>&amp;L&amp;F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CQ120"/>
  <sheetViews>
    <sheetView topLeftCell="A64" zoomScale="85" zoomScaleNormal="85" workbookViewId="0">
      <selection activeCell="D52" sqref="D52"/>
    </sheetView>
  </sheetViews>
  <sheetFormatPr defaultColWidth="9.140625" defaultRowHeight="12.75" x14ac:dyDescent="0.2"/>
  <cols>
    <col min="1" max="1" width="2.7109375" style="1183" customWidth="1"/>
    <col min="2" max="2" width="50.140625" style="1183" customWidth="1"/>
    <col min="3" max="4" width="11" style="1920" customWidth="1"/>
    <col min="5" max="5" width="1.5703125" style="1315" customWidth="1"/>
    <col min="6" max="6" width="12.28515625" style="1315" customWidth="1"/>
    <col min="7" max="7" width="10.5703125" style="1315" customWidth="1"/>
    <col min="8" max="14" width="10.5703125" style="1357" customWidth="1"/>
    <col min="15" max="16" width="10.5703125" style="1357" hidden="1" customWidth="1"/>
    <col min="17" max="17" width="10.42578125" style="1357" hidden="1" customWidth="1"/>
    <col min="18" max="18" width="11.5703125" style="1357" hidden="1" customWidth="1"/>
    <col min="19" max="19" width="11" style="1357" hidden="1" customWidth="1"/>
    <col min="20" max="20" width="10.5703125" style="1357" hidden="1" customWidth="1"/>
    <col min="21" max="21" width="11" style="1357" hidden="1" customWidth="1"/>
    <col min="22" max="22" width="10.5703125" style="1357" hidden="1" customWidth="1"/>
    <col min="23" max="23" width="11.140625" style="1357" hidden="1" customWidth="1"/>
    <col min="24" max="24" width="10.85546875" style="1357" hidden="1" customWidth="1"/>
    <col min="25" max="28" width="8" style="1357" hidden="1" customWidth="1"/>
    <col min="29" max="46" width="9.5703125" style="1357" hidden="1" customWidth="1"/>
    <col min="47" max="49" width="9.7109375" style="1357" hidden="1" customWidth="1"/>
    <col min="50" max="57" width="9.7109375" style="1920" hidden="1" customWidth="1"/>
    <col min="58" max="58" width="3" style="1920" hidden="1" customWidth="1"/>
    <col min="59" max="59" width="1.85546875" style="1357" customWidth="1"/>
    <col min="60" max="60" width="13.140625" style="1920" hidden="1" customWidth="1"/>
    <col min="61" max="61" width="12.28515625" style="1920" hidden="1" customWidth="1"/>
    <col min="62" max="63" width="10" style="1920" hidden="1" customWidth="1"/>
    <col min="64" max="64" width="1.85546875" style="1920" hidden="1" customWidth="1"/>
    <col min="65" max="65" width="12.140625" style="1920" customWidth="1"/>
    <col min="66" max="68" width="12.140625" style="1920" bestFit="1" customWidth="1"/>
    <col min="69" max="69" width="11" style="1920" customWidth="1"/>
    <col min="70" max="70" width="11.5703125" style="1920" hidden="1" customWidth="1"/>
    <col min="71" max="79" width="9.7109375" style="1920" hidden="1" customWidth="1"/>
    <col min="80" max="80" width="0.85546875" style="1920" hidden="1" customWidth="1"/>
    <col min="81" max="81" width="3.7109375" style="1920" customWidth="1"/>
    <col min="82" max="82" width="20" style="1920" hidden="1" customWidth="1"/>
    <col min="83" max="83" width="9.42578125" style="1180" hidden="1" customWidth="1"/>
    <col min="84" max="84" width="4.7109375" style="1180" hidden="1" customWidth="1"/>
    <col min="85" max="89" width="9.5703125" style="1180" hidden="1" customWidth="1"/>
    <col min="90" max="95" width="0" style="1180" hidden="1" customWidth="1"/>
    <col min="96" max="16384" width="9.140625" style="1180"/>
  </cols>
  <sheetData>
    <row r="1" spans="1:95" ht="6.75" customHeight="1" x14ac:dyDescent="0.2">
      <c r="C1" s="1183"/>
      <c r="D1" s="1183"/>
      <c r="E1" s="1145"/>
      <c r="F1" s="1145"/>
      <c r="G1" s="1145"/>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84"/>
      <c r="AW1" s="1184"/>
      <c r="AX1" s="1183"/>
      <c r="AY1" s="1183"/>
      <c r="AZ1" s="1183"/>
      <c r="BA1" s="1183"/>
      <c r="BB1" s="1183"/>
      <c r="BC1" s="1183"/>
      <c r="BD1" s="1183"/>
      <c r="BE1" s="1183"/>
      <c r="BF1" s="1183"/>
      <c r="BG1" s="1184"/>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44"/>
      <c r="CF1" s="1144"/>
      <c r="CG1" s="1144"/>
      <c r="CH1" s="1144"/>
      <c r="CI1" s="1144"/>
      <c r="CJ1" s="1144"/>
      <c r="CK1" s="1144"/>
      <c r="CL1" s="1144"/>
      <c r="CM1" s="1144"/>
      <c r="CN1" s="1144"/>
      <c r="CO1" s="1144"/>
      <c r="CP1" s="1144"/>
      <c r="CQ1" s="1144"/>
    </row>
    <row r="2" spans="1:95" x14ac:dyDescent="0.2">
      <c r="C2" s="1183"/>
      <c r="D2" s="1183"/>
      <c r="E2" s="1145"/>
      <c r="F2" s="1145"/>
      <c r="G2" s="1145"/>
      <c r="H2" s="1184"/>
      <c r="I2" s="1184"/>
      <c r="J2" s="1184"/>
      <c r="K2" s="1184"/>
      <c r="L2" s="1184"/>
      <c r="M2" s="1184"/>
      <c r="N2" s="1184"/>
      <c r="O2" s="1184"/>
      <c r="P2" s="1184"/>
      <c r="Q2" s="1184"/>
      <c r="R2" s="1184"/>
      <c r="S2" s="1184"/>
      <c r="T2" s="1184"/>
      <c r="U2" s="1184"/>
      <c r="V2" s="1184"/>
      <c r="W2" s="1184"/>
      <c r="X2" s="1184"/>
      <c r="Y2" s="1184"/>
      <c r="Z2" s="1213"/>
      <c r="AA2" s="1184"/>
      <c r="AB2" s="1184"/>
      <c r="AC2" s="1184"/>
      <c r="AD2" s="1213"/>
      <c r="AE2" s="1184"/>
      <c r="AF2" s="1184"/>
      <c r="AG2" s="1184"/>
      <c r="AH2" s="1213"/>
      <c r="AI2" s="1184"/>
      <c r="AJ2" s="1184"/>
      <c r="AK2" s="1184"/>
      <c r="AL2" s="1213"/>
      <c r="AM2" s="1184"/>
      <c r="AN2" s="1184"/>
      <c r="AO2" s="1213"/>
      <c r="AP2" s="1213"/>
      <c r="AQ2" s="1184"/>
      <c r="AR2" s="1184"/>
      <c r="AS2" s="1213"/>
      <c r="AT2" s="1213"/>
      <c r="AU2" s="1184"/>
      <c r="AV2" s="1184"/>
      <c r="AW2" s="1184"/>
      <c r="AX2" s="1184"/>
      <c r="AY2" s="1184"/>
      <c r="AZ2" s="1184"/>
      <c r="BA2" s="1184"/>
      <c r="BB2" s="1184"/>
      <c r="BC2" s="1184"/>
      <c r="BD2" s="1184"/>
      <c r="BE2" s="1184"/>
      <c r="BF2" s="1184"/>
      <c r="BG2" s="1184"/>
      <c r="BH2" s="1184"/>
      <c r="BI2" s="1183"/>
      <c r="BJ2" s="1183"/>
      <c r="BK2" s="1183"/>
      <c r="BL2" s="1183"/>
      <c r="BM2" s="1183"/>
      <c r="BN2" s="1183"/>
      <c r="BO2" s="1183"/>
      <c r="BP2" s="1183"/>
      <c r="BQ2" s="1183"/>
      <c r="BR2" s="1183"/>
      <c r="BS2" s="1183"/>
      <c r="BT2" s="1183"/>
      <c r="BU2" s="1183"/>
      <c r="BV2" s="1183"/>
      <c r="BW2" s="1183"/>
      <c r="BX2" s="1183"/>
      <c r="BY2" s="1183"/>
      <c r="BZ2" s="1183"/>
      <c r="CA2" s="1183"/>
      <c r="CB2" s="1183"/>
      <c r="CC2" s="1183"/>
      <c r="CD2" s="1183"/>
      <c r="CE2" s="1144"/>
      <c r="CF2" s="1144"/>
      <c r="CG2" s="1144"/>
      <c r="CH2" s="1144"/>
      <c r="CI2" s="1144"/>
      <c r="CJ2" s="1144"/>
      <c r="CK2" s="1144"/>
      <c r="CL2" s="1144"/>
      <c r="CM2" s="1144"/>
      <c r="CN2" s="1144"/>
      <c r="CO2" s="1144"/>
      <c r="CP2" s="1144"/>
      <c r="CQ2" s="1144"/>
    </row>
    <row r="3" spans="1:95" x14ac:dyDescent="0.2">
      <c r="C3" s="1202"/>
      <c r="D3" s="1183"/>
      <c r="E3" s="1145"/>
      <c r="F3" s="1145"/>
      <c r="G3" s="1145"/>
      <c r="H3" s="1184"/>
      <c r="I3" s="1184"/>
      <c r="J3" s="1184"/>
      <c r="K3" s="1184"/>
      <c r="L3" s="1184"/>
      <c r="M3" s="1184"/>
      <c r="N3" s="1184"/>
      <c r="O3" s="1184"/>
      <c r="P3" s="1184"/>
      <c r="Q3" s="1184"/>
      <c r="R3" s="1184"/>
      <c r="S3" s="1216"/>
      <c r="T3" s="1216"/>
      <c r="U3" s="1355"/>
      <c r="V3" s="1216"/>
      <c r="W3" s="1216"/>
      <c r="X3" s="1216"/>
      <c r="Y3" s="1355"/>
      <c r="Z3" s="1216"/>
      <c r="AA3" s="1216"/>
      <c r="AB3" s="1216"/>
      <c r="AC3" s="1355"/>
      <c r="AD3" s="1216"/>
      <c r="AE3" s="1216"/>
      <c r="AF3" s="1216"/>
      <c r="AG3" s="1355"/>
      <c r="AH3" s="1216"/>
      <c r="AI3" s="1216"/>
      <c r="AJ3" s="1216"/>
      <c r="AK3" s="1216"/>
      <c r="AL3" s="1216"/>
      <c r="AM3" s="1184"/>
      <c r="AN3" s="1184"/>
      <c r="AO3" s="1184"/>
      <c r="AP3" s="1184"/>
      <c r="AQ3" s="1184"/>
      <c r="AR3" s="1184"/>
      <c r="AS3" s="1184"/>
      <c r="AT3" s="1184"/>
      <c r="AU3" s="1184"/>
      <c r="AV3" s="1184"/>
      <c r="AW3" s="1184"/>
      <c r="AX3" s="1184"/>
      <c r="AY3" s="1184"/>
      <c r="AZ3" s="1184"/>
      <c r="BA3" s="1184"/>
      <c r="BB3" s="1184"/>
      <c r="BC3" s="1184"/>
      <c r="BD3" s="1184"/>
      <c r="BE3" s="1184"/>
      <c r="BF3" s="1184"/>
      <c r="BG3" s="1184"/>
      <c r="BH3" s="1216"/>
      <c r="BI3" s="1183"/>
      <c r="BJ3" s="1183"/>
      <c r="BK3" s="1183"/>
      <c r="BL3" s="1183"/>
      <c r="BM3" s="1183"/>
      <c r="BN3" s="1183"/>
      <c r="BO3" s="1183"/>
      <c r="BP3" s="1183"/>
      <c r="BQ3" s="1183"/>
      <c r="BR3" s="1183"/>
      <c r="BS3" s="1183"/>
      <c r="BT3" s="1183"/>
      <c r="BU3" s="1183"/>
      <c r="BV3" s="1183"/>
      <c r="BW3" s="1183"/>
      <c r="BX3" s="1183"/>
      <c r="BY3" s="1183"/>
      <c r="BZ3" s="1183"/>
      <c r="CA3" s="1183"/>
      <c r="CB3" s="1183"/>
      <c r="CC3" s="1183"/>
      <c r="CD3" s="1183"/>
      <c r="CE3" s="1144"/>
      <c r="CF3" s="1144"/>
      <c r="CG3" s="1144"/>
      <c r="CH3" s="1144"/>
      <c r="CI3" s="1144"/>
      <c r="CJ3" s="1144"/>
      <c r="CK3" s="1144"/>
      <c r="CL3" s="1144"/>
      <c r="CM3" s="1144"/>
      <c r="CN3" s="1144"/>
      <c r="CO3" s="1144"/>
      <c r="CP3" s="1144"/>
      <c r="CQ3" s="1144"/>
    </row>
    <row r="4" spans="1:95" x14ac:dyDescent="0.2">
      <c r="C4" s="1202"/>
      <c r="D4" s="1183"/>
      <c r="E4" s="1145"/>
      <c r="F4" s="1145"/>
      <c r="G4" s="1145"/>
      <c r="H4" s="1184"/>
      <c r="I4" s="1184"/>
      <c r="J4" s="1184"/>
      <c r="K4" s="1184"/>
      <c r="L4" s="1184"/>
      <c r="M4" s="1184"/>
      <c r="N4" s="1184"/>
      <c r="O4" s="1184"/>
      <c r="P4" s="1184"/>
      <c r="Q4" s="1184"/>
      <c r="R4" s="1184"/>
      <c r="S4" s="1216"/>
      <c r="T4" s="1216"/>
      <c r="U4" s="1208"/>
      <c r="V4" s="1216"/>
      <c r="W4" s="1216"/>
      <c r="X4" s="1216"/>
      <c r="Y4" s="1208"/>
      <c r="Z4" s="1216"/>
      <c r="AA4" s="1216"/>
      <c r="AB4" s="1216"/>
      <c r="AC4" s="1208"/>
      <c r="AD4" s="1216"/>
      <c r="AE4" s="1216"/>
      <c r="AF4" s="1216"/>
      <c r="AG4" s="1208"/>
      <c r="AH4" s="1216"/>
      <c r="AI4" s="1216"/>
      <c r="AJ4" s="1216"/>
      <c r="AK4" s="1216"/>
      <c r="AL4" s="1356"/>
      <c r="AM4" s="1356"/>
      <c r="AO4" s="1184"/>
      <c r="AP4" s="1184"/>
      <c r="AQ4" s="1184"/>
      <c r="AR4" s="1184"/>
      <c r="AS4" s="1184"/>
      <c r="AT4" s="1184"/>
      <c r="AU4" s="1184"/>
      <c r="AV4" s="1184"/>
      <c r="AW4" s="1184"/>
      <c r="AX4" s="1184"/>
      <c r="AY4" s="1184"/>
      <c r="AZ4" s="1184"/>
      <c r="BA4" s="1184"/>
      <c r="BB4" s="1184"/>
      <c r="BC4" s="1184"/>
      <c r="BD4" s="1184"/>
      <c r="BE4" s="1184"/>
      <c r="BF4" s="1184"/>
      <c r="BG4" s="1184"/>
      <c r="BH4" s="1216"/>
      <c r="BI4" s="1183"/>
      <c r="BJ4" s="1183"/>
      <c r="BK4" s="1183"/>
      <c r="BL4" s="1183"/>
      <c r="BM4" s="1183"/>
      <c r="BN4" s="1183"/>
      <c r="BO4" s="1183"/>
      <c r="BP4" s="1183"/>
      <c r="BQ4" s="1183"/>
      <c r="BR4" s="1183"/>
      <c r="BS4" s="1183"/>
      <c r="BT4" s="1183"/>
      <c r="BU4" s="1183"/>
      <c r="BV4" s="1183"/>
      <c r="BW4" s="1183"/>
      <c r="BX4" s="1183"/>
      <c r="BY4" s="1183"/>
      <c r="BZ4" s="1183"/>
      <c r="CA4" s="1183"/>
      <c r="CB4" s="1183"/>
      <c r="CC4" s="1183"/>
      <c r="CD4" s="1183"/>
      <c r="CE4" s="1144"/>
      <c r="CF4" s="1144"/>
      <c r="CG4" s="1144"/>
      <c r="CH4" s="1144"/>
      <c r="CI4" s="1144"/>
      <c r="CJ4" s="1144"/>
      <c r="CK4" s="1144"/>
      <c r="CL4" s="1144"/>
      <c r="CM4" s="1144"/>
      <c r="CN4" s="1144"/>
      <c r="CO4" s="1144"/>
      <c r="CP4" s="1144"/>
      <c r="CQ4" s="1144"/>
    </row>
    <row r="5" spans="1:95" ht="24.75" customHeight="1" x14ac:dyDescent="0.2">
      <c r="A5" s="1184"/>
      <c r="B5" s="1184"/>
      <c r="C5" s="1202"/>
      <c r="D5" s="1184"/>
      <c r="E5" s="1145"/>
      <c r="F5" s="1145"/>
      <c r="G5" s="1145"/>
      <c r="H5" s="1184"/>
      <c r="I5" s="1184"/>
      <c r="J5" s="1184"/>
      <c r="K5" s="1184"/>
      <c r="L5" s="1184"/>
      <c r="M5" s="1184"/>
      <c r="N5" s="1184"/>
      <c r="O5" s="1184"/>
      <c r="P5" s="1184"/>
      <c r="Q5" s="1184"/>
      <c r="R5" s="1184"/>
      <c r="S5" s="1216"/>
      <c r="T5" s="1216"/>
      <c r="U5" s="1208"/>
      <c r="V5" s="1216"/>
      <c r="W5" s="1216"/>
      <c r="X5" s="1216"/>
      <c r="Y5" s="1208"/>
      <c r="Z5" s="1216"/>
      <c r="AA5" s="1216"/>
      <c r="AB5" s="1216"/>
      <c r="AC5" s="1208"/>
      <c r="AD5" s="1216"/>
      <c r="AE5" s="1216"/>
      <c r="AF5" s="1216"/>
      <c r="AG5" s="1208"/>
      <c r="AH5" s="1216"/>
      <c r="AI5" s="1216"/>
      <c r="AJ5" s="1216"/>
      <c r="AK5" s="1216"/>
      <c r="AL5" s="1356"/>
      <c r="AM5" s="1356"/>
      <c r="AO5" s="1184"/>
      <c r="AP5" s="1184"/>
      <c r="AQ5" s="1184"/>
      <c r="AR5" s="1184"/>
      <c r="AS5" s="1184"/>
      <c r="AT5" s="1184"/>
      <c r="AU5" s="1184"/>
      <c r="AV5" s="1184"/>
      <c r="AW5" s="1184"/>
      <c r="AX5" s="1184"/>
      <c r="AY5" s="1184"/>
      <c r="AZ5" s="1184"/>
      <c r="BA5" s="1184"/>
      <c r="BB5" s="1184"/>
      <c r="BC5" s="1184"/>
      <c r="BD5" s="1184"/>
      <c r="BE5" s="1184"/>
      <c r="BF5" s="1184"/>
      <c r="BG5" s="1184"/>
      <c r="BH5" s="1216"/>
      <c r="BI5" s="1183"/>
      <c r="BJ5" s="1183"/>
      <c r="BK5" s="1183"/>
      <c r="BL5" s="1183"/>
      <c r="BM5" s="1183"/>
      <c r="BN5" s="1183"/>
      <c r="BO5" s="1183"/>
      <c r="BP5" s="1183"/>
      <c r="BQ5" s="1183"/>
      <c r="BR5" s="1183"/>
      <c r="BS5" s="1183"/>
      <c r="BT5" s="1183"/>
      <c r="BU5" s="1183"/>
      <c r="BV5" s="1183"/>
      <c r="BW5" s="1183"/>
      <c r="BX5" s="1183"/>
      <c r="BY5" s="1183"/>
      <c r="BZ5" s="1183"/>
      <c r="CA5" s="1183"/>
      <c r="CB5" s="1183"/>
      <c r="CC5" s="1183"/>
      <c r="CD5" s="1183"/>
      <c r="CE5" s="1144"/>
      <c r="CF5" s="1144"/>
      <c r="CG5" s="1144"/>
      <c r="CH5" s="1144"/>
      <c r="CI5" s="1144"/>
      <c r="CJ5" s="1144"/>
      <c r="CK5" s="1144"/>
      <c r="CL5" s="1144"/>
      <c r="CM5" s="1144"/>
      <c r="CN5" s="1144"/>
      <c r="CO5" s="1144"/>
      <c r="CP5" s="1144"/>
      <c r="CQ5" s="1144"/>
    </row>
    <row r="6" spans="1:95" ht="18" customHeight="1" x14ac:dyDescent="0.2">
      <c r="A6" s="1185" t="s">
        <v>651</v>
      </c>
      <c r="B6" s="1184"/>
      <c r="C6" s="1202"/>
      <c r="D6" s="1184"/>
      <c r="E6" s="1145"/>
      <c r="F6" s="1145"/>
      <c r="G6" s="1145"/>
      <c r="H6" s="980"/>
      <c r="I6" s="980"/>
      <c r="J6" s="980"/>
      <c r="K6" s="1184"/>
      <c r="L6" s="980"/>
      <c r="M6" s="1184"/>
      <c r="N6" s="1184"/>
      <c r="O6" s="1184"/>
      <c r="P6" s="1184"/>
      <c r="Q6" s="2204"/>
      <c r="R6" s="1184"/>
      <c r="S6" s="1216"/>
      <c r="T6" s="1216"/>
      <c r="U6" s="1216"/>
      <c r="V6" s="1216"/>
      <c r="W6" s="1216"/>
      <c r="X6" s="1216"/>
      <c r="Y6" s="1216"/>
      <c r="Z6" s="1216"/>
      <c r="AA6" s="1216"/>
      <c r="AB6" s="1216"/>
      <c r="AC6" s="1216"/>
      <c r="AD6" s="1216"/>
      <c r="AE6" s="1216"/>
      <c r="AF6" s="1216"/>
      <c r="AG6" s="1216"/>
      <c r="AH6" s="1216"/>
      <c r="AI6" s="1216"/>
      <c r="AJ6" s="1216"/>
      <c r="AK6" s="1216"/>
      <c r="AL6" s="1216"/>
      <c r="AM6" s="1216"/>
      <c r="AN6" s="1216"/>
      <c r="AO6" s="1216"/>
      <c r="AP6" s="1216"/>
      <c r="AQ6" s="1216"/>
      <c r="AR6" s="1216"/>
      <c r="AS6" s="1216"/>
      <c r="AT6" s="1216"/>
      <c r="AU6" s="1216"/>
      <c r="AV6" s="1216"/>
      <c r="AW6" s="1216"/>
      <c r="AX6" s="1216"/>
      <c r="AY6" s="1216"/>
      <c r="AZ6" s="1216"/>
      <c r="BA6" s="1216"/>
      <c r="BB6" s="1216"/>
      <c r="BC6" s="1216"/>
      <c r="BD6" s="1216"/>
      <c r="BE6" s="1216"/>
      <c r="BF6" s="1216"/>
      <c r="BG6" s="1216"/>
      <c r="BH6" s="980"/>
      <c r="BI6" s="980"/>
      <c r="BJ6" s="1202"/>
      <c r="BK6" s="1202"/>
      <c r="BL6" s="1313"/>
      <c r="BM6" s="1313"/>
      <c r="BN6" s="1313"/>
      <c r="BO6" s="1313"/>
      <c r="BP6" s="1313"/>
      <c r="BQ6" s="1313"/>
      <c r="BR6" s="1313"/>
      <c r="BS6" s="1313"/>
      <c r="BT6" s="1313"/>
      <c r="BU6" s="1313"/>
      <c r="BV6" s="1313"/>
      <c r="BW6" s="1183"/>
      <c r="BX6" s="1183"/>
      <c r="BY6" s="1183"/>
      <c r="BZ6" s="1183"/>
      <c r="CA6" s="1183"/>
      <c r="CB6" s="1183"/>
      <c r="CC6" s="1183"/>
      <c r="CD6" s="1183"/>
      <c r="CE6" s="1144"/>
      <c r="CF6" s="1144"/>
      <c r="CG6" s="1144"/>
      <c r="CH6" s="1144"/>
      <c r="CI6" s="1144"/>
      <c r="CJ6" s="1144"/>
      <c r="CK6" s="1144"/>
      <c r="CL6" s="1144"/>
      <c r="CM6" s="1144"/>
      <c r="CN6" s="1144"/>
      <c r="CO6" s="1144"/>
      <c r="CP6" s="1144"/>
      <c r="CQ6" s="1144"/>
    </row>
    <row r="7" spans="1:95" ht="18" hidden="1" customHeight="1" x14ac:dyDescent="0.2">
      <c r="A7" s="1185" t="s">
        <v>345</v>
      </c>
      <c r="B7" s="1184"/>
      <c r="C7" s="1202"/>
      <c r="D7" s="1184"/>
      <c r="E7" s="1145"/>
      <c r="F7" s="1145"/>
      <c r="G7" s="1145"/>
      <c r="H7" s="980"/>
      <c r="I7" s="980"/>
      <c r="J7" s="980"/>
      <c r="K7" s="1184"/>
      <c r="L7" s="980"/>
      <c r="M7" s="1184"/>
      <c r="N7" s="1216"/>
      <c r="O7" s="1184"/>
      <c r="P7" s="1184"/>
      <c r="Q7" s="2837"/>
      <c r="R7" s="1184"/>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16"/>
      <c r="AV7" s="1216"/>
      <c r="AW7" s="1216"/>
      <c r="AX7" s="1216"/>
      <c r="AY7" s="1216"/>
      <c r="AZ7" s="1216"/>
      <c r="BA7" s="1216"/>
      <c r="BB7" s="1216"/>
      <c r="BC7" s="1216"/>
      <c r="BD7" s="1216"/>
      <c r="BE7" s="1216"/>
      <c r="BF7" s="1216"/>
      <c r="BG7" s="1216"/>
      <c r="BH7" s="980"/>
      <c r="BI7" s="980"/>
      <c r="BJ7" s="1202"/>
      <c r="BK7" s="1202"/>
      <c r="BL7" s="1313"/>
      <c r="BM7" s="1313"/>
      <c r="BN7" s="1313"/>
      <c r="BO7" s="1313"/>
      <c r="BP7" s="1313"/>
      <c r="BQ7" s="1313"/>
      <c r="BR7" s="1313"/>
      <c r="BS7" s="1313"/>
      <c r="BT7" s="1313"/>
      <c r="BU7" s="1313"/>
      <c r="BV7" s="1313"/>
      <c r="BW7" s="1183"/>
      <c r="BX7" s="1183"/>
      <c r="BY7" s="1183"/>
      <c r="BZ7" s="1183"/>
      <c r="CA7" s="1183"/>
      <c r="CB7" s="1183"/>
      <c r="CC7" s="1183"/>
      <c r="CD7" s="1183"/>
      <c r="CE7" s="1144"/>
      <c r="CF7" s="1144"/>
      <c r="CG7" s="1144"/>
      <c r="CH7" s="1144"/>
      <c r="CI7" s="1144"/>
      <c r="CJ7" s="1144"/>
      <c r="CK7" s="1144"/>
      <c r="CL7" s="1144"/>
      <c r="CM7" s="1144"/>
      <c r="CN7" s="1144"/>
      <c r="CO7" s="1144"/>
      <c r="CP7" s="1144"/>
      <c r="CQ7" s="1144"/>
    </row>
    <row r="8" spans="1:95" ht="18" customHeight="1" x14ac:dyDescent="0.2">
      <c r="A8" s="1186" t="s">
        <v>628</v>
      </c>
      <c r="B8" s="943"/>
      <c r="C8" s="1202"/>
      <c r="D8" s="978"/>
      <c r="E8" s="899"/>
      <c r="F8" s="899"/>
      <c r="G8" s="899"/>
      <c r="H8" s="980"/>
      <c r="I8" s="980"/>
      <c r="J8" s="980"/>
      <c r="K8" s="943"/>
      <c r="L8" s="980"/>
      <c r="M8" s="943"/>
      <c r="N8" s="943"/>
      <c r="O8" s="943"/>
      <c r="P8" s="943"/>
      <c r="Q8" s="943"/>
      <c r="R8" s="943"/>
      <c r="S8" s="943"/>
      <c r="T8" s="1216"/>
      <c r="U8" s="1216"/>
      <c r="V8" s="1216"/>
      <c r="W8" s="943"/>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6"/>
      <c r="AY8" s="1216"/>
      <c r="AZ8" s="1216"/>
      <c r="BA8" s="1216"/>
      <c r="BB8" s="1216"/>
      <c r="BC8" s="1216"/>
      <c r="BD8" s="1216"/>
      <c r="BE8" s="1216"/>
      <c r="BF8" s="1216"/>
      <c r="BG8" s="1216"/>
      <c r="BH8" s="980"/>
      <c r="BI8" s="980"/>
      <c r="BJ8" s="1202"/>
      <c r="BK8" s="1202"/>
      <c r="BL8" s="1313"/>
      <c r="BM8" s="1313"/>
      <c r="BQ8" s="1313"/>
      <c r="BR8" s="1313"/>
      <c r="BS8" s="1313"/>
      <c r="BT8" s="1313"/>
      <c r="BU8" s="1313"/>
      <c r="BV8" s="1313"/>
      <c r="BW8" s="1183"/>
      <c r="BX8" s="1183"/>
      <c r="BY8" s="1183"/>
      <c r="BZ8" s="1183"/>
      <c r="CA8" s="1183"/>
      <c r="CB8" s="1183"/>
      <c r="CC8" s="1183"/>
      <c r="CD8" s="1183"/>
      <c r="CE8" s="1144"/>
      <c r="CF8" s="1144"/>
      <c r="CG8" s="1144"/>
      <c r="CH8" s="1144"/>
      <c r="CI8" s="1144"/>
      <c r="CJ8" s="1144"/>
      <c r="CK8" s="1144"/>
      <c r="CL8" s="1144"/>
      <c r="CM8" s="1144"/>
      <c r="CN8" s="1144"/>
      <c r="CO8" s="1144"/>
      <c r="CP8" s="1144"/>
      <c r="CQ8" s="1144"/>
    </row>
    <row r="9" spans="1:95" ht="15" x14ac:dyDescent="0.2">
      <c r="A9" s="944"/>
      <c r="B9" s="943"/>
      <c r="C9" s="1202"/>
      <c r="D9" s="943"/>
      <c r="E9" s="899"/>
      <c r="F9" s="899"/>
      <c r="G9" s="899"/>
      <c r="H9" s="980"/>
      <c r="I9" s="980"/>
      <c r="J9" s="980"/>
      <c r="K9" s="943"/>
      <c r="L9" s="980"/>
      <c r="M9" s="943"/>
      <c r="N9" s="943"/>
      <c r="O9" s="943"/>
      <c r="P9" s="943"/>
      <c r="Q9" s="943"/>
      <c r="R9" s="943"/>
      <c r="S9" s="979"/>
      <c r="T9" s="1216"/>
      <c r="U9" s="1216"/>
      <c r="V9" s="1216"/>
      <c r="W9" s="1358"/>
      <c r="X9" s="1216"/>
      <c r="Y9" s="1216"/>
      <c r="Z9" s="1359"/>
      <c r="AA9" s="1216"/>
      <c r="AB9" s="1216"/>
      <c r="AC9" s="1216"/>
      <c r="AD9" s="1216"/>
      <c r="AE9" s="1216"/>
      <c r="AF9" s="1216"/>
      <c r="AG9" s="1216"/>
      <c r="AH9" s="1216"/>
      <c r="AI9" s="1216"/>
      <c r="AJ9" s="1216"/>
      <c r="AK9" s="1216"/>
      <c r="AL9" s="1216"/>
      <c r="AM9" s="1216"/>
      <c r="AN9" s="1216"/>
      <c r="AO9" s="1216"/>
      <c r="AP9" s="1216"/>
      <c r="AQ9" s="1216"/>
      <c r="AR9" s="1216"/>
      <c r="AS9" s="1216"/>
      <c r="AT9" s="1216"/>
      <c r="AU9" s="1216"/>
      <c r="AV9" s="1216"/>
      <c r="AW9" s="1216"/>
      <c r="AX9" s="1216"/>
      <c r="AY9" s="1216"/>
      <c r="AZ9" s="1216"/>
      <c r="BA9" s="1216"/>
      <c r="BB9" s="1216"/>
      <c r="BC9" s="1216"/>
      <c r="BD9" s="1216"/>
      <c r="BE9" s="1216"/>
      <c r="BF9" s="1216"/>
      <c r="BG9" s="1216"/>
      <c r="BH9" s="980"/>
      <c r="BI9" s="980"/>
      <c r="BJ9" s="1202"/>
      <c r="BK9" s="1202"/>
      <c r="BL9" s="1313"/>
      <c r="BM9" s="1313"/>
      <c r="BN9" s="1313"/>
      <c r="BO9" s="1313"/>
      <c r="BP9" s="1313"/>
      <c r="BQ9" s="1313"/>
      <c r="BR9" s="1313"/>
      <c r="BS9" s="1313"/>
      <c r="BT9" s="1313"/>
      <c r="BU9" s="1313"/>
      <c r="BV9" s="1313"/>
      <c r="BW9" s="1183"/>
      <c r="BX9" s="1183"/>
      <c r="BY9" s="1183"/>
      <c r="BZ9" s="1183"/>
      <c r="CA9" s="1183"/>
      <c r="CB9" s="1183"/>
      <c r="CC9" s="1183"/>
      <c r="CD9" s="1183"/>
      <c r="CE9" s="1144"/>
      <c r="CF9" s="1144"/>
      <c r="CG9" s="1144"/>
      <c r="CH9" s="1144"/>
      <c r="CI9" s="1144"/>
      <c r="CJ9" s="1144"/>
      <c r="CK9" s="1144"/>
      <c r="CL9" s="1144"/>
      <c r="CM9" s="1144"/>
      <c r="CN9" s="1144"/>
      <c r="CO9" s="1144"/>
      <c r="CP9" s="1144"/>
      <c r="CQ9" s="1144"/>
    </row>
    <row r="10" spans="1:95" ht="9.75" customHeight="1" x14ac:dyDescent="0.2">
      <c r="A10" s="1208"/>
      <c r="B10" s="943"/>
      <c r="C10" s="943"/>
      <c r="D10" s="943"/>
      <c r="E10" s="899"/>
      <c r="F10" s="899"/>
      <c r="G10" s="899"/>
      <c r="H10" s="980"/>
      <c r="I10" s="943"/>
      <c r="J10" s="943"/>
      <c r="K10" s="943"/>
      <c r="L10" s="943"/>
      <c r="M10" s="943"/>
      <c r="N10" s="943"/>
      <c r="O10" s="943"/>
      <c r="P10" s="943"/>
      <c r="Q10" s="943"/>
      <c r="R10" s="943"/>
      <c r="S10" s="1360"/>
      <c r="T10" s="1216"/>
      <c r="U10" s="1216"/>
      <c r="V10" s="1216"/>
      <c r="W10" s="1360"/>
      <c r="X10" s="1216"/>
      <c r="Y10" s="1216"/>
      <c r="Z10" s="1216"/>
      <c r="AA10" s="978"/>
      <c r="AB10" s="1216"/>
      <c r="AC10" s="978"/>
      <c r="AD10" s="1216"/>
      <c r="AE10" s="978"/>
      <c r="AF10" s="1216"/>
      <c r="AG10" s="1361"/>
      <c r="AH10" s="978"/>
      <c r="AI10" s="978"/>
      <c r="AJ10" s="978"/>
      <c r="AK10" s="978"/>
      <c r="AL10" s="978"/>
      <c r="AM10" s="978"/>
      <c r="AN10" s="978"/>
      <c r="AO10" s="978"/>
      <c r="AP10" s="978"/>
      <c r="AQ10" s="978"/>
      <c r="AR10" s="978"/>
      <c r="AS10" s="978"/>
      <c r="AT10" s="978"/>
      <c r="AU10" s="978"/>
      <c r="AV10" s="978"/>
      <c r="AW10" s="978"/>
      <c r="AX10" s="1216"/>
      <c r="AY10" s="1216"/>
      <c r="AZ10" s="1216"/>
      <c r="BA10" s="1313"/>
      <c r="BB10" s="1313"/>
      <c r="BC10" s="1313"/>
      <c r="BD10" s="1313"/>
      <c r="BE10" s="1313"/>
      <c r="BF10" s="1313"/>
      <c r="BG10" s="1216"/>
      <c r="BH10" s="980"/>
      <c r="BI10" s="1216"/>
      <c r="BJ10" s="1361"/>
      <c r="BK10" s="1313"/>
      <c r="BL10" s="1313"/>
      <c r="BM10" s="1313"/>
      <c r="BN10" s="1313"/>
      <c r="BO10" s="1313"/>
      <c r="BP10" s="1313"/>
      <c r="BQ10" s="1313"/>
      <c r="BR10" s="1313"/>
      <c r="BS10" s="1313"/>
      <c r="BT10" s="1313"/>
      <c r="BU10" s="1313"/>
      <c r="BV10" s="1313"/>
      <c r="BW10" s="1183"/>
      <c r="BX10" s="1183"/>
      <c r="BY10" s="1183"/>
      <c r="BZ10" s="1183"/>
      <c r="CA10" s="1183"/>
      <c r="CB10" s="1183"/>
      <c r="CC10" s="1183"/>
      <c r="CD10" s="1183"/>
      <c r="CE10" s="1144"/>
      <c r="CF10" s="1144"/>
      <c r="CG10" s="1144"/>
      <c r="CH10" s="1144"/>
      <c r="CI10" s="1144"/>
      <c r="CJ10" s="1144"/>
      <c r="CK10" s="1144"/>
      <c r="CL10" s="1144"/>
      <c r="CM10" s="1144"/>
      <c r="CN10" s="1144"/>
      <c r="CO10" s="1144"/>
      <c r="CP10" s="1144"/>
      <c r="CQ10" s="1144"/>
    </row>
    <row r="11" spans="1:95" ht="12" customHeight="1" x14ac:dyDescent="0.2">
      <c r="A11" s="945" t="s">
        <v>1</v>
      </c>
      <c r="B11" s="941"/>
      <c r="C11" s="941"/>
      <c r="D11" s="941"/>
      <c r="E11" s="897"/>
      <c r="F11" s="897"/>
      <c r="G11" s="897"/>
      <c r="H11" s="1141"/>
      <c r="I11" s="941"/>
      <c r="J11" s="941"/>
      <c r="K11" s="941"/>
      <c r="L11" s="941"/>
      <c r="M11" s="941"/>
      <c r="N11" s="941"/>
      <c r="O11" s="941"/>
      <c r="P11" s="941"/>
      <c r="Q11" s="941"/>
      <c r="R11" s="941"/>
      <c r="S11" s="941"/>
      <c r="T11" s="941"/>
      <c r="U11" s="975"/>
      <c r="V11" s="941"/>
      <c r="W11" s="941"/>
      <c r="X11" s="941"/>
      <c r="Y11" s="975"/>
      <c r="Z11" s="975"/>
      <c r="AA11" s="975"/>
      <c r="AB11" s="975"/>
      <c r="AC11" s="975"/>
      <c r="AD11" s="975"/>
      <c r="AE11" s="975"/>
      <c r="AF11" s="975"/>
      <c r="AG11" s="975"/>
      <c r="AH11" s="975"/>
      <c r="AI11" s="1362"/>
      <c r="AJ11" s="975"/>
      <c r="AK11" s="975"/>
      <c r="AL11" s="975"/>
      <c r="AM11" s="1362"/>
      <c r="AN11" s="975"/>
      <c r="AO11" s="1362"/>
      <c r="AP11" s="975"/>
      <c r="AQ11" s="1362"/>
      <c r="AR11" s="975"/>
      <c r="AS11" s="1362"/>
      <c r="AT11" s="975"/>
      <c r="AU11" s="1362"/>
      <c r="AV11" s="975"/>
      <c r="AW11" s="975"/>
      <c r="AX11" s="975"/>
      <c r="AY11" s="975"/>
      <c r="AZ11" s="975"/>
      <c r="BA11" s="1946"/>
      <c r="BB11" s="1946"/>
      <c r="BC11" s="1946"/>
      <c r="BD11" s="1946"/>
      <c r="BE11" s="1946"/>
      <c r="BF11" s="1946"/>
      <c r="BG11" s="975"/>
      <c r="BH11" s="1141"/>
      <c r="BI11" s="1141"/>
      <c r="BJ11" s="2437"/>
      <c r="BK11" s="2437"/>
      <c r="BL11" s="1946"/>
      <c r="BM11" s="1946"/>
      <c r="BN11" s="1946"/>
      <c r="BO11" s="1946"/>
      <c r="BP11" s="1946"/>
      <c r="BQ11" s="1313"/>
      <c r="BR11" s="1313"/>
      <c r="BS11" s="1313"/>
      <c r="BT11" s="1313"/>
      <c r="BU11" s="1313"/>
      <c r="BV11" s="1313"/>
      <c r="BW11" s="1183"/>
      <c r="BX11" s="1183"/>
      <c r="BY11" s="1183"/>
      <c r="BZ11" s="1183"/>
      <c r="CA11" s="1183"/>
      <c r="CB11" s="1183"/>
      <c r="CC11" s="1183"/>
      <c r="CD11" s="1183"/>
      <c r="CE11" s="1144"/>
      <c r="CF11" s="1144"/>
      <c r="CG11" s="1144"/>
      <c r="CH11" s="1144"/>
      <c r="CI11" s="1144"/>
      <c r="CJ11" s="1144"/>
      <c r="CK11" s="1144"/>
      <c r="CL11" s="1144"/>
      <c r="CM11" s="1144"/>
      <c r="CN11" s="1144"/>
      <c r="CO11" s="1144"/>
      <c r="CP11" s="1144"/>
      <c r="CQ11" s="1144"/>
    </row>
    <row r="12" spans="1:95" ht="13.5" x14ac:dyDescent="0.2">
      <c r="A12" s="945" t="s">
        <v>2</v>
      </c>
      <c r="B12" s="946"/>
      <c r="C12" s="3073" t="s">
        <v>671</v>
      </c>
      <c r="D12" s="3074"/>
      <c r="E12" s="901"/>
      <c r="F12" s="2958"/>
      <c r="G12" s="902"/>
      <c r="H12" s="982"/>
      <c r="I12" s="982"/>
      <c r="J12" s="983"/>
      <c r="K12" s="982"/>
      <c r="L12" s="982"/>
      <c r="M12" s="982"/>
      <c r="N12" s="982"/>
      <c r="O12" s="984"/>
      <c r="P12" s="982"/>
      <c r="Q12" s="982"/>
      <c r="R12" s="983"/>
      <c r="S12" s="982"/>
      <c r="T12" s="982"/>
      <c r="U12" s="982"/>
      <c r="V12" s="983"/>
      <c r="W12" s="985"/>
      <c r="X12" s="982"/>
      <c r="Y12" s="982"/>
      <c r="Z12" s="983"/>
      <c r="AA12" s="982"/>
      <c r="AB12" s="982"/>
      <c r="AC12" s="982"/>
      <c r="AD12" s="983"/>
      <c r="AE12" s="982"/>
      <c r="AF12" s="982"/>
      <c r="AG12" s="982"/>
      <c r="AH12" s="983"/>
      <c r="AI12" s="984"/>
      <c r="AJ12" s="982"/>
      <c r="AK12" s="982"/>
      <c r="AL12" s="983"/>
      <c r="AM12" s="984"/>
      <c r="AN12" s="982"/>
      <c r="AO12" s="982"/>
      <c r="AP12" s="983"/>
      <c r="AQ12" s="941"/>
      <c r="AR12" s="982"/>
      <c r="AS12" s="941"/>
      <c r="AT12" s="983"/>
      <c r="AU12" s="982"/>
      <c r="AV12" s="941"/>
      <c r="AW12" s="982"/>
      <c r="AX12" s="983"/>
      <c r="AY12" s="982"/>
      <c r="AZ12" s="982"/>
      <c r="BA12" s="982"/>
      <c r="BB12" s="982"/>
      <c r="BC12" s="985"/>
      <c r="BD12" s="983"/>
      <c r="BE12" s="983"/>
      <c r="BF12" s="983"/>
      <c r="BG12" s="986"/>
      <c r="BH12" s="988" t="s">
        <v>660</v>
      </c>
      <c r="BI12" s="988"/>
      <c r="BJ12" s="988" t="s">
        <v>563</v>
      </c>
      <c r="BK12" s="989"/>
      <c r="BL12" s="990"/>
      <c r="BM12" s="991"/>
      <c r="BN12" s="991"/>
      <c r="BO12" s="991"/>
      <c r="BP12" s="991"/>
      <c r="BQ12" s="991"/>
      <c r="BR12" s="991"/>
      <c r="BS12" s="991"/>
      <c r="BT12" s="991"/>
      <c r="BU12" s="991"/>
      <c r="BV12" s="991"/>
      <c r="BW12" s="991"/>
      <c r="BX12" s="1219"/>
      <c r="BY12" s="1221"/>
      <c r="BZ12" s="991"/>
      <c r="CA12" s="1986"/>
      <c r="CB12" s="1987"/>
      <c r="CC12" s="1223"/>
      <c r="CD12" s="1183"/>
      <c r="CE12" s="1144"/>
      <c r="CF12" s="1144"/>
      <c r="CG12" s="1144"/>
      <c r="CH12" s="1144"/>
      <c r="CI12" s="1144"/>
      <c r="CJ12" s="1144"/>
      <c r="CK12" s="1144"/>
      <c r="CL12" s="1144"/>
      <c r="CM12" s="1144"/>
      <c r="CN12" s="1144"/>
      <c r="CO12" s="1144"/>
      <c r="CP12" s="1144"/>
      <c r="CQ12" s="1144"/>
    </row>
    <row r="13" spans="1:95" x14ac:dyDescent="0.2">
      <c r="B13" s="946"/>
      <c r="C13" s="3075" t="s">
        <v>38</v>
      </c>
      <c r="D13" s="3076"/>
      <c r="E13" s="906"/>
      <c r="F13" s="1993" t="s">
        <v>670</v>
      </c>
      <c r="G13" s="907" t="s">
        <v>558</v>
      </c>
      <c r="H13" s="992" t="s">
        <v>559</v>
      </c>
      <c r="I13" s="992" t="s">
        <v>560</v>
      </c>
      <c r="J13" s="993" t="s">
        <v>561</v>
      </c>
      <c r="K13" s="992" t="s">
        <v>508</v>
      </c>
      <c r="L13" s="992" t="s">
        <v>507</v>
      </c>
      <c r="M13" s="992" t="s">
        <v>506</v>
      </c>
      <c r="N13" s="992" t="s">
        <v>505</v>
      </c>
      <c r="O13" s="994" t="s">
        <v>382</v>
      </c>
      <c r="P13" s="992" t="s">
        <v>383</v>
      </c>
      <c r="Q13" s="992" t="s">
        <v>384</v>
      </c>
      <c r="R13" s="993" t="s">
        <v>385</v>
      </c>
      <c r="S13" s="992" t="s">
        <v>368</v>
      </c>
      <c r="T13" s="992" t="s">
        <v>367</v>
      </c>
      <c r="U13" s="992" t="s">
        <v>366</v>
      </c>
      <c r="V13" s="993" t="s">
        <v>364</v>
      </c>
      <c r="W13" s="995" t="s">
        <v>348</v>
      </c>
      <c r="X13" s="992" t="s">
        <v>349</v>
      </c>
      <c r="Y13" s="992" t="s">
        <v>350</v>
      </c>
      <c r="Z13" s="993" t="s">
        <v>351</v>
      </c>
      <c r="AA13" s="992" t="s">
        <v>315</v>
      </c>
      <c r="AB13" s="992" t="s">
        <v>314</v>
      </c>
      <c r="AC13" s="992" t="s">
        <v>313</v>
      </c>
      <c r="AD13" s="993" t="s">
        <v>311</v>
      </c>
      <c r="AE13" s="992" t="s">
        <v>270</v>
      </c>
      <c r="AF13" s="992" t="s">
        <v>271</v>
      </c>
      <c r="AG13" s="992" t="s">
        <v>272</v>
      </c>
      <c r="AH13" s="993" t="s">
        <v>273</v>
      </c>
      <c r="AI13" s="994" t="s">
        <v>223</v>
      </c>
      <c r="AJ13" s="992" t="s">
        <v>224</v>
      </c>
      <c r="AK13" s="992" t="s">
        <v>225</v>
      </c>
      <c r="AL13" s="993" t="s">
        <v>222</v>
      </c>
      <c r="AM13" s="994" t="s">
        <v>189</v>
      </c>
      <c r="AN13" s="992" t="s">
        <v>190</v>
      </c>
      <c r="AO13" s="992" t="s">
        <v>191</v>
      </c>
      <c r="AP13" s="993" t="s">
        <v>192</v>
      </c>
      <c r="AQ13" s="992" t="s">
        <v>121</v>
      </c>
      <c r="AR13" s="992" t="s">
        <v>120</v>
      </c>
      <c r="AS13" s="992" t="s">
        <v>119</v>
      </c>
      <c r="AT13" s="993" t="s">
        <v>118</v>
      </c>
      <c r="AU13" s="992" t="s">
        <v>81</v>
      </c>
      <c r="AV13" s="992" t="s">
        <v>82</v>
      </c>
      <c r="AW13" s="992" t="s">
        <v>83</v>
      </c>
      <c r="AX13" s="993" t="s">
        <v>29</v>
      </c>
      <c r="AY13" s="992" t="s">
        <v>30</v>
      </c>
      <c r="AZ13" s="992" t="s">
        <v>31</v>
      </c>
      <c r="BA13" s="992" t="s">
        <v>32</v>
      </c>
      <c r="BB13" s="992" t="s">
        <v>33</v>
      </c>
      <c r="BC13" s="995" t="s">
        <v>34</v>
      </c>
      <c r="BD13" s="993" t="s">
        <v>35</v>
      </c>
      <c r="BE13" s="993" t="s">
        <v>36</v>
      </c>
      <c r="BF13" s="993" t="s">
        <v>37</v>
      </c>
      <c r="BG13" s="996"/>
      <c r="BH13" s="992" t="s">
        <v>558</v>
      </c>
      <c r="BI13" s="992" t="s">
        <v>508</v>
      </c>
      <c r="BJ13" s="3071" t="s">
        <v>38</v>
      </c>
      <c r="BK13" s="3072"/>
      <c r="BL13" s="997"/>
      <c r="BM13" s="994" t="s">
        <v>562</v>
      </c>
      <c r="BN13" s="994" t="s">
        <v>509</v>
      </c>
      <c r="BO13" s="994" t="s">
        <v>502</v>
      </c>
      <c r="BP13" s="994" t="s">
        <v>379</v>
      </c>
      <c r="BQ13" s="994" t="s">
        <v>360</v>
      </c>
      <c r="BR13" s="994" t="s">
        <v>317</v>
      </c>
      <c r="BS13" s="994" t="s">
        <v>275</v>
      </c>
      <c r="BT13" s="994" t="s">
        <v>227</v>
      </c>
      <c r="BU13" s="994" t="s">
        <v>123</v>
      </c>
      <c r="BV13" s="994" t="s">
        <v>122</v>
      </c>
      <c r="BW13" s="994" t="s">
        <v>42</v>
      </c>
      <c r="BX13" s="994" t="s">
        <v>39</v>
      </c>
      <c r="BY13" s="995" t="s">
        <v>40</v>
      </c>
      <c r="BZ13" s="995" t="s">
        <v>142</v>
      </c>
      <c r="CA13" s="995" t="s">
        <v>143</v>
      </c>
      <c r="CB13" s="994" t="s">
        <v>144</v>
      </c>
      <c r="CC13" s="1223"/>
      <c r="CD13" s="2433" t="s">
        <v>533</v>
      </c>
      <c r="CE13" s="2434"/>
      <c r="CF13" s="2434"/>
      <c r="CG13" s="2434"/>
      <c r="CH13" s="1145"/>
      <c r="CI13" s="2434" t="s">
        <v>534</v>
      </c>
      <c r="CJ13" s="2434"/>
      <c r="CK13" s="1144"/>
      <c r="CL13" s="2435" t="s">
        <v>535</v>
      </c>
      <c r="CM13" s="2435"/>
      <c r="CN13" s="2435"/>
      <c r="CO13" s="2435"/>
      <c r="CP13" s="1144"/>
      <c r="CQ13" s="1144"/>
    </row>
    <row r="14" spans="1:95" x14ac:dyDescent="0.2">
      <c r="A14" s="947" t="s">
        <v>59</v>
      </c>
      <c r="B14" s="948"/>
      <c r="C14" s="1198"/>
      <c r="D14" s="1291"/>
      <c r="E14" s="921"/>
      <c r="F14" s="1997"/>
      <c r="G14" s="1151"/>
      <c r="H14" s="1224"/>
      <c r="I14" s="1224"/>
      <c r="J14" s="1225"/>
      <c r="K14" s="1224"/>
      <c r="L14" s="1224"/>
      <c r="M14" s="1224"/>
      <c r="N14" s="1224"/>
      <c r="O14" s="1226"/>
      <c r="P14" s="1224"/>
      <c r="Q14" s="1224"/>
      <c r="R14" s="1225"/>
      <c r="S14" s="1224"/>
      <c r="T14" s="1224"/>
      <c r="U14" s="1224"/>
      <c r="V14" s="1225"/>
      <c r="W14" s="1228"/>
      <c r="X14" s="1224"/>
      <c r="Y14" s="1224"/>
      <c r="Z14" s="1225"/>
      <c r="AA14" s="1224"/>
      <c r="AB14" s="1224"/>
      <c r="AC14" s="1224"/>
      <c r="AD14" s="1225"/>
      <c r="AE14" s="1224"/>
      <c r="AF14" s="1224"/>
      <c r="AG14" s="1224"/>
      <c r="AH14" s="1225"/>
      <c r="AI14" s="1226"/>
      <c r="AJ14" s="1224"/>
      <c r="AK14" s="1224"/>
      <c r="AL14" s="1225"/>
      <c r="AM14" s="1226"/>
      <c r="AN14" s="1224"/>
      <c r="AO14" s="1224"/>
      <c r="AP14" s="1225"/>
      <c r="AQ14" s="1226"/>
      <c r="AR14" s="1224"/>
      <c r="AS14" s="1224"/>
      <c r="AT14" s="1225"/>
      <c r="AU14" s="990"/>
      <c r="AV14" s="990"/>
      <c r="AW14" s="990"/>
      <c r="AX14" s="1227"/>
      <c r="AY14" s="990"/>
      <c r="AZ14" s="990"/>
      <c r="BA14" s="990"/>
      <c r="BB14" s="990"/>
      <c r="BC14" s="996"/>
      <c r="BD14" s="1227"/>
      <c r="BE14" s="1227"/>
      <c r="BF14" s="1227"/>
      <c r="BG14" s="996"/>
      <c r="BH14" s="1226"/>
      <c r="BI14" s="1224"/>
      <c r="BJ14" s="982"/>
      <c r="BK14" s="983"/>
      <c r="BL14" s="997"/>
      <c r="BM14" s="1226"/>
      <c r="BN14" s="1226"/>
      <c r="BO14" s="1226"/>
      <c r="BP14" s="1226"/>
      <c r="BQ14" s="1226"/>
      <c r="BR14" s="1226"/>
      <c r="BS14" s="1226"/>
      <c r="BT14" s="1226"/>
      <c r="BU14" s="1228"/>
      <c r="BV14" s="1363" t="s">
        <v>241</v>
      </c>
      <c r="BW14" s="1363" t="s">
        <v>241</v>
      </c>
      <c r="BX14" s="1363" t="s">
        <v>241</v>
      </c>
      <c r="BY14" s="1364" t="s">
        <v>241</v>
      </c>
      <c r="BZ14" s="1365"/>
      <c r="CA14" s="1365"/>
      <c r="CB14" s="1366"/>
      <c r="CC14" s="1223"/>
      <c r="CD14" s="1184"/>
      <c r="CE14" s="1145"/>
      <c r="CF14" s="1145"/>
      <c r="CG14" s="1145"/>
      <c r="CH14" s="1145"/>
      <c r="CI14" s="1144"/>
      <c r="CJ14" s="1144"/>
      <c r="CK14" s="1144"/>
      <c r="CL14" s="1144"/>
      <c r="CM14" s="1144"/>
      <c r="CN14" s="1144"/>
      <c r="CO14" s="1144"/>
      <c r="CP14" s="1144"/>
      <c r="CQ14" s="1144"/>
    </row>
    <row r="15" spans="1:95" hidden="1" x14ac:dyDescent="0.2">
      <c r="A15" s="946"/>
      <c r="B15" s="1186" t="s">
        <v>84</v>
      </c>
      <c r="C15" s="1198"/>
      <c r="D15" s="1035"/>
      <c r="E15" s="920"/>
      <c r="F15" s="920"/>
      <c r="G15" s="908"/>
      <c r="H15" s="952"/>
      <c r="I15" s="952"/>
      <c r="J15" s="1035"/>
      <c r="K15" s="952"/>
      <c r="L15" s="952"/>
      <c r="M15" s="952"/>
      <c r="N15" s="952"/>
      <c r="O15" s="1132"/>
      <c r="P15" s="952"/>
      <c r="Q15" s="952"/>
      <c r="R15" s="1035"/>
      <c r="S15" s="952"/>
      <c r="T15" s="952"/>
      <c r="U15" s="952"/>
      <c r="V15" s="1035"/>
      <c r="W15" s="2316"/>
      <c r="X15" s="952"/>
      <c r="Y15" s="952"/>
      <c r="Z15" s="1231"/>
      <c r="AA15" s="952"/>
      <c r="AB15" s="952"/>
      <c r="AC15" s="952"/>
      <c r="AD15" s="1231"/>
      <c r="AE15" s="952"/>
      <c r="AF15" s="952"/>
      <c r="AG15" s="952"/>
      <c r="AH15" s="1231"/>
      <c r="AI15" s="952"/>
      <c r="AJ15" s="952"/>
      <c r="AK15" s="952"/>
      <c r="AL15" s="1231"/>
      <c r="AM15" s="952"/>
      <c r="AN15" s="952"/>
      <c r="AO15" s="952"/>
      <c r="AP15" s="1231"/>
      <c r="AQ15" s="952"/>
      <c r="AR15" s="952"/>
      <c r="AS15" s="952"/>
      <c r="AT15" s="1231"/>
      <c r="AU15" s="952"/>
      <c r="AV15" s="952"/>
      <c r="AW15" s="952"/>
      <c r="AX15" s="1231"/>
      <c r="AY15" s="1007"/>
      <c r="AZ15" s="1259"/>
      <c r="BA15" s="1259"/>
      <c r="BB15" s="1260"/>
      <c r="BC15" s="1209"/>
      <c r="BD15" s="1260"/>
      <c r="BE15" s="1260"/>
      <c r="BF15" s="1260"/>
      <c r="BG15" s="1034"/>
      <c r="BH15" s="2438"/>
      <c r="BI15" s="946"/>
      <c r="BJ15" s="1006"/>
      <c r="BK15" s="1035"/>
      <c r="BL15" s="1201"/>
      <c r="BM15" s="1367"/>
      <c r="BN15" s="1367"/>
      <c r="BO15" s="1367"/>
      <c r="BP15" s="1367"/>
      <c r="BQ15" s="1367"/>
      <c r="BR15" s="1367"/>
      <c r="BS15" s="1367"/>
      <c r="BT15" s="1367"/>
      <c r="BU15" s="1367"/>
      <c r="BV15" s="1367"/>
      <c r="BW15" s="1367"/>
      <c r="BX15" s="1367"/>
      <c r="BY15" s="1367"/>
      <c r="BZ15" s="1368"/>
      <c r="CA15" s="1368"/>
      <c r="CB15" s="1369"/>
      <c r="CC15" s="1223"/>
      <c r="CD15" s="1184"/>
      <c r="CE15" s="1145"/>
      <c r="CF15" s="1145"/>
      <c r="CG15" s="1145"/>
      <c r="CH15" s="1145"/>
      <c r="CI15" s="1144"/>
      <c r="CJ15" s="1144"/>
      <c r="CK15" s="1144"/>
      <c r="CL15" s="1144"/>
      <c r="CM15" s="1144"/>
      <c r="CN15" s="1144"/>
      <c r="CO15" s="1144"/>
      <c r="CP15" s="1144"/>
      <c r="CQ15" s="1144"/>
    </row>
    <row r="16" spans="1:95" hidden="1" x14ac:dyDescent="0.2">
      <c r="A16" s="946"/>
      <c r="B16" s="1339" t="s">
        <v>85</v>
      </c>
      <c r="C16" s="1198">
        <v>-38850</v>
      </c>
      <c r="D16" s="1035">
        <v>-1</v>
      </c>
      <c r="E16" s="920"/>
      <c r="F16" s="2223"/>
      <c r="G16" s="1155"/>
      <c r="H16" s="1230"/>
      <c r="I16" s="1230"/>
      <c r="J16" s="1258"/>
      <c r="K16" s="1230"/>
      <c r="L16" s="1230"/>
      <c r="M16" s="1230"/>
      <c r="N16" s="1230"/>
      <c r="O16" s="1370"/>
      <c r="P16" s="1230"/>
      <c r="Q16" s="1230"/>
      <c r="R16" s="1258"/>
      <c r="S16" s="1230"/>
      <c r="T16" s="1230"/>
      <c r="U16" s="1230"/>
      <c r="V16" s="1258"/>
      <c r="W16" s="1930"/>
      <c r="X16" s="1230"/>
      <c r="Y16" s="1230">
        <v>65778</v>
      </c>
      <c r="Z16" s="1231">
        <v>53197</v>
      </c>
      <c r="AA16" s="1230">
        <v>38850</v>
      </c>
      <c r="AB16" s="1230">
        <v>36602</v>
      </c>
      <c r="AC16" s="1230">
        <v>27456</v>
      </c>
      <c r="AD16" s="1231">
        <v>29008</v>
      </c>
      <c r="AE16" s="1230">
        <v>52412</v>
      </c>
      <c r="AF16" s="1230">
        <v>70965</v>
      </c>
      <c r="AG16" s="1230">
        <v>31432</v>
      </c>
      <c r="AH16" s="1231">
        <v>30276</v>
      </c>
      <c r="AI16" s="1230">
        <v>62753</v>
      </c>
      <c r="AJ16" s="1230">
        <v>50641</v>
      </c>
      <c r="AK16" s="1230">
        <v>39671</v>
      </c>
      <c r="AL16" s="1231">
        <v>56027</v>
      </c>
      <c r="AM16" s="1230">
        <v>88632</v>
      </c>
      <c r="AN16" s="1230">
        <v>109404</v>
      </c>
      <c r="AO16" s="1230">
        <v>49909</v>
      </c>
      <c r="AP16" s="1231">
        <v>53057</v>
      </c>
      <c r="AQ16" s="1230">
        <v>32806</v>
      </c>
      <c r="AR16" s="1230">
        <v>58040</v>
      </c>
      <c r="AS16" s="1230">
        <v>27314</v>
      </c>
      <c r="AT16" s="1231">
        <v>30054</v>
      </c>
      <c r="AU16" s="1230">
        <v>25033</v>
      </c>
      <c r="AV16" s="1230">
        <v>12639</v>
      </c>
      <c r="AW16" s="1230">
        <v>23461</v>
      </c>
      <c r="AX16" s="1231">
        <v>34352</v>
      </c>
      <c r="AY16" s="1270">
        <v>31944</v>
      </c>
      <c r="AZ16" s="1270">
        <v>42952</v>
      </c>
      <c r="BA16" s="1270">
        <v>39210</v>
      </c>
      <c r="BB16" s="1270">
        <v>62549</v>
      </c>
      <c r="BC16" s="1196">
        <v>57382</v>
      </c>
      <c r="BD16" s="1231">
        <v>48897</v>
      </c>
      <c r="BE16" s="1231">
        <v>38533</v>
      </c>
      <c r="BF16" s="1231">
        <v>42750</v>
      </c>
      <c r="BG16" s="1034"/>
      <c r="BH16" s="1198">
        <v>0</v>
      </c>
      <c r="BI16" s="1269">
        <v>0</v>
      </c>
      <c r="BJ16" s="1006">
        <v>0</v>
      </c>
      <c r="BK16" s="1035" t="e">
        <v>#DIV/0!</v>
      </c>
      <c r="BL16" s="1201"/>
      <c r="BM16" s="1367"/>
      <c r="BN16" s="1367"/>
      <c r="BO16" s="1367"/>
      <c r="BP16" s="1367"/>
      <c r="BQ16" s="1367"/>
      <c r="BR16" s="1367">
        <v>131916</v>
      </c>
      <c r="BS16" s="1367">
        <v>185085</v>
      </c>
      <c r="BT16" s="1367">
        <v>209092</v>
      </c>
      <c r="BU16" s="1367">
        <v>301002</v>
      </c>
      <c r="BV16" s="1367">
        <v>148214</v>
      </c>
      <c r="BW16" s="1367">
        <v>95485</v>
      </c>
      <c r="BX16" s="1367">
        <v>176655</v>
      </c>
      <c r="BY16" s="1367">
        <v>187562</v>
      </c>
      <c r="BZ16" s="1033">
        <v>150470</v>
      </c>
      <c r="CA16" s="1033">
        <v>95559</v>
      </c>
      <c r="CB16" s="957">
        <v>88821</v>
      </c>
      <c r="CC16" s="1223"/>
      <c r="CD16" s="1183"/>
      <c r="CE16" s="1145"/>
      <c r="CF16" s="1145"/>
      <c r="CG16" s="1145"/>
      <c r="CH16" s="1145"/>
      <c r="CI16" s="1144"/>
      <c r="CJ16" s="1144"/>
      <c r="CK16" s="1144"/>
      <c r="CL16" s="1144"/>
      <c r="CM16" s="1144"/>
      <c r="CN16" s="1144"/>
      <c r="CO16" s="1144"/>
      <c r="CP16" s="1144"/>
      <c r="CQ16" s="1144"/>
    </row>
    <row r="17" spans="1:95" hidden="1" x14ac:dyDescent="0.2">
      <c r="A17" s="946"/>
      <c r="B17" s="1339" t="s">
        <v>86</v>
      </c>
      <c r="C17" s="1198">
        <v>-1276</v>
      </c>
      <c r="D17" s="1035">
        <v>-1</v>
      </c>
      <c r="E17" s="920"/>
      <c r="F17" s="2223"/>
      <c r="G17" s="1155"/>
      <c r="H17" s="1230"/>
      <c r="I17" s="1230"/>
      <c r="J17" s="1258"/>
      <c r="K17" s="1230"/>
      <c r="L17" s="1230"/>
      <c r="M17" s="1230"/>
      <c r="N17" s="1230"/>
      <c r="O17" s="1370"/>
      <c r="P17" s="1230"/>
      <c r="Q17" s="1230"/>
      <c r="R17" s="1258"/>
      <c r="S17" s="1230"/>
      <c r="T17" s="1230"/>
      <c r="U17" s="1230"/>
      <c r="V17" s="1258"/>
      <c r="W17" s="1930"/>
      <c r="X17" s="1230"/>
      <c r="Y17" s="1230">
        <v>977</v>
      </c>
      <c r="Z17" s="1231">
        <v>1007</v>
      </c>
      <c r="AA17" s="1230">
        <v>1276</v>
      </c>
      <c r="AB17" s="1230">
        <v>1039</v>
      </c>
      <c r="AC17" s="1230">
        <v>679</v>
      </c>
      <c r="AD17" s="1231">
        <v>936</v>
      </c>
      <c r="AE17" s="1230">
        <v>1000</v>
      </c>
      <c r="AF17" s="1230">
        <v>1209</v>
      </c>
      <c r="AG17" s="1230">
        <v>1260</v>
      </c>
      <c r="AH17" s="1231">
        <v>1406</v>
      </c>
      <c r="AI17" s="1230">
        <v>2220</v>
      </c>
      <c r="AJ17" s="1230">
        <v>2820</v>
      </c>
      <c r="AK17" s="1230">
        <v>2815</v>
      </c>
      <c r="AL17" s="1231">
        <v>2818</v>
      </c>
      <c r="AM17" s="1230">
        <v>5985</v>
      </c>
      <c r="AN17" s="1230">
        <v>6339</v>
      </c>
      <c r="AO17" s="1230">
        <v>3714</v>
      </c>
      <c r="AP17" s="1231">
        <v>2600</v>
      </c>
      <c r="AQ17" s="1230">
        <v>2655</v>
      </c>
      <c r="AR17" s="1230">
        <v>3235</v>
      </c>
      <c r="AS17" s="1230">
        <v>2854</v>
      </c>
      <c r="AT17" s="1231">
        <v>2817</v>
      </c>
      <c r="AU17" s="1230">
        <v>2825</v>
      </c>
      <c r="AV17" s="1230">
        <v>3975</v>
      </c>
      <c r="AW17" s="1230">
        <v>3439</v>
      </c>
      <c r="AX17" s="1231">
        <v>4365</v>
      </c>
      <c r="AY17" s="1270">
        <v>4034</v>
      </c>
      <c r="AZ17" s="1270">
        <v>4912</v>
      </c>
      <c r="BA17" s="1270">
        <v>4789</v>
      </c>
      <c r="BB17" s="1270">
        <v>5987</v>
      </c>
      <c r="BC17" s="1196">
        <v>6777</v>
      </c>
      <c r="BD17" s="1231">
        <v>5923</v>
      </c>
      <c r="BE17" s="1231">
        <v>4091</v>
      </c>
      <c r="BF17" s="1231">
        <v>7386</v>
      </c>
      <c r="BG17" s="1034"/>
      <c r="BH17" s="1198">
        <v>0</v>
      </c>
      <c r="BI17" s="1269">
        <v>0</v>
      </c>
      <c r="BJ17" s="1006">
        <v>0</v>
      </c>
      <c r="BK17" s="1035" t="e">
        <v>#DIV/0!</v>
      </c>
      <c r="BL17" s="1201"/>
      <c r="BM17" s="1367"/>
      <c r="BN17" s="1367"/>
      <c r="BO17" s="1367"/>
      <c r="BP17" s="1367"/>
      <c r="BQ17" s="1367"/>
      <c r="BR17" s="1367">
        <v>3930</v>
      </c>
      <c r="BS17" s="1367">
        <v>4875</v>
      </c>
      <c r="BT17" s="1367">
        <v>10673</v>
      </c>
      <c r="BU17" s="1367">
        <v>19244</v>
      </c>
      <c r="BV17" s="1367">
        <v>17417</v>
      </c>
      <c r="BW17" s="1367">
        <v>20929</v>
      </c>
      <c r="BX17" s="1367">
        <v>27090</v>
      </c>
      <c r="BY17" s="1367">
        <v>24177</v>
      </c>
      <c r="BZ17" s="1033">
        <v>20940</v>
      </c>
      <c r="CA17" s="1033">
        <v>15452</v>
      </c>
      <c r="CB17" s="1033">
        <v>16800</v>
      </c>
      <c r="CC17" s="1184"/>
      <c r="CD17" s="1183"/>
      <c r="CE17" s="1145"/>
      <c r="CF17" s="1145"/>
      <c r="CG17" s="1145"/>
      <c r="CH17" s="1145"/>
      <c r="CI17" s="1144"/>
      <c r="CJ17" s="1144"/>
      <c r="CK17" s="1144"/>
      <c r="CL17" s="1144"/>
      <c r="CM17" s="1144"/>
      <c r="CN17" s="1144"/>
      <c r="CO17" s="1144"/>
      <c r="CP17" s="1144"/>
      <c r="CQ17" s="1144"/>
    </row>
    <row r="18" spans="1:95" hidden="1" x14ac:dyDescent="0.2">
      <c r="A18" s="946"/>
      <c r="B18" s="1339" t="s">
        <v>87</v>
      </c>
      <c r="C18" s="1198">
        <v>-2931</v>
      </c>
      <c r="D18" s="1035">
        <v>-1</v>
      </c>
      <c r="E18" s="920"/>
      <c r="F18" s="2963"/>
      <c r="G18" s="1318"/>
      <c r="H18" s="1371"/>
      <c r="I18" s="1371"/>
      <c r="J18" s="2320"/>
      <c r="K18" s="1371"/>
      <c r="L18" s="1371"/>
      <c r="M18" s="1371"/>
      <c r="N18" s="1371"/>
      <c r="O18" s="2838"/>
      <c r="P18" s="1371"/>
      <c r="Q18" s="1230"/>
      <c r="R18" s="2320"/>
      <c r="S18" s="1371"/>
      <c r="T18" s="1371"/>
      <c r="U18" s="1230"/>
      <c r="V18" s="2320"/>
      <c r="W18" s="2317"/>
      <c r="X18" s="1371"/>
      <c r="Y18" s="1230">
        <v>1976</v>
      </c>
      <c r="Z18" s="1032">
        <v>3984</v>
      </c>
      <c r="AA18" s="1371">
        <v>2931</v>
      </c>
      <c r="AB18" s="1371">
        <v>3642</v>
      </c>
      <c r="AC18" s="1371">
        <v>3129</v>
      </c>
      <c r="AD18" s="1032">
        <v>2966</v>
      </c>
      <c r="AE18" s="1371">
        <v>3402</v>
      </c>
      <c r="AF18" s="1371">
        <v>4280</v>
      </c>
      <c r="AG18" s="1371">
        <v>2753</v>
      </c>
      <c r="AH18" s="1032">
        <v>3942</v>
      </c>
      <c r="AI18" s="1230">
        <v>6033</v>
      </c>
      <c r="AJ18" s="1230">
        <v>3481</v>
      </c>
      <c r="AK18" s="1230">
        <v>5</v>
      </c>
      <c r="AL18" s="1231">
        <v>3022</v>
      </c>
      <c r="AM18" s="1230">
        <v>6284</v>
      </c>
      <c r="AN18" s="1230">
        <v>5642</v>
      </c>
      <c r="AO18" s="1230">
        <v>4558</v>
      </c>
      <c r="AP18" s="1231">
        <v>1790</v>
      </c>
      <c r="AQ18" s="1230">
        <v>2770</v>
      </c>
      <c r="AR18" s="1230">
        <v>4963</v>
      </c>
      <c r="AS18" s="1230">
        <v>2513</v>
      </c>
      <c r="AT18" s="1231">
        <v>1704</v>
      </c>
      <c r="AU18" s="1230">
        <v>1641</v>
      </c>
      <c r="AV18" s="1230">
        <v>1517</v>
      </c>
      <c r="AW18" s="1230">
        <v>1575</v>
      </c>
      <c r="AX18" s="1231">
        <v>1703</v>
      </c>
      <c r="AY18" s="1270">
        <v>2042</v>
      </c>
      <c r="AZ18" s="1270">
        <v>2499</v>
      </c>
      <c r="BA18" s="1270">
        <v>2178</v>
      </c>
      <c r="BB18" s="1270">
        <v>2121</v>
      </c>
      <c r="BC18" s="1196">
        <v>1715</v>
      </c>
      <c r="BD18" s="1231">
        <v>1595</v>
      </c>
      <c r="BE18" s="1231">
        <v>2568</v>
      </c>
      <c r="BF18" s="1231">
        <v>1829</v>
      </c>
      <c r="BG18" s="1034"/>
      <c r="BH18" s="1198">
        <v>0</v>
      </c>
      <c r="BI18" s="1269">
        <v>0</v>
      </c>
      <c r="BJ18" s="1006">
        <v>0</v>
      </c>
      <c r="BK18" s="1035" t="e">
        <v>#DIV/0!</v>
      </c>
      <c r="BL18" s="1201"/>
      <c r="BM18" s="1367"/>
      <c r="BN18" s="1367"/>
      <c r="BO18" s="1367"/>
      <c r="BP18" s="1367"/>
      <c r="BQ18" s="1367"/>
      <c r="BR18" s="1367">
        <v>12668</v>
      </c>
      <c r="BS18" s="1367">
        <v>14377</v>
      </c>
      <c r="BT18" s="1367">
        <v>12541</v>
      </c>
      <c r="BU18" s="1367">
        <v>18274</v>
      </c>
      <c r="BV18" s="1367">
        <v>11950</v>
      </c>
      <c r="BW18" s="1367">
        <v>6436</v>
      </c>
      <c r="BX18" s="1367">
        <v>8840</v>
      </c>
      <c r="BY18" s="1367">
        <v>7707</v>
      </c>
      <c r="BZ18" s="1033">
        <v>8540</v>
      </c>
      <c r="CA18" s="1033">
        <v>8278</v>
      </c>
      <c r="CB18" s="1033">
        <v>10155</v>
      </c>
      <c r="CC18" s="1184"/>
      <c r="CD18" s="1183"/>
      <c r="CE18" s="1145"/>
      <c r="CF18" s="1145"/>
      <c r="CG18" s="1145"/>
      <c r="CH18" s="1145"/>
      <c r="CI18" s="1144"/>
      <c r="CJ18" s="1144"/>
      <c r="CK18" s="1144"/>
      <c r="CL18" s="1144"/>
      <c r="CM18" s="1144"/>
      <c r="CN18" s="1144"/>
      <c r="CO18" s="1144"/>
      <c r="CP18" s="1144"/>
      <c r="CQ18" s="1144"/>
    </row>
    <row r="19" spans="1:95" hidden="1" x14ac:dyDescent="0.2">
      <c r="A19" s="946"/>
      <c r="B19" s="1339" t="s">
        <v>356</v>
      </c>
      <c r="C19" s="1307">
        <v>0</v>
      </c>
      <c r="D19" s="1192" t="s">
        <v>41</v>
      </c>
      <c r="E19" s="920"/>
      <c r="F19" s="2223"/>
      <c r="G19" s="1155"/>
      <c r="H19" s="1230"/>
      <c r="I19" s="1230"/>
      <c r="J19" s="1258"/>
      <c r="K19" s="1230"/>
      <c r="L19" s="1230"/>
      <c r="M19" s="1230"/>
      <c r="N19" s="1230"/>
      <c r="O19" s="1370"/>
      <c r="P19" s="1230"/>
      <c r="Q19" s="1230"/>
      <c r="R19" s="1258"/>
      <c r="S19" s="1230"/>
      <c r="T19" s="1230"/>
      <c r="U19" s="1230"/>
      <c r="V19" s="1258"/>
      <c r="W19" s="1930"/>
      <c r="X19" s="1230"/>
      <c r="Y19" s="1230">
        <v>182</v>
      </c>
      <c r="Z19" s="1372">
        <v>0</v>
      </c>
      <c r="AA19" s="1373">
        <v>0</v>
      </c>
      <c r="AB19" s="1373">
        <v>0</v>
      </c>
      <c r="AC19" s="1373">
        <v>0</v>
      </c>
      <c r="AD19" s="1374">
        <v>0</v>
      </c>
      <c r="AE19" s="1373">
        <v>0</v>
      </c>
      <c r="AF19" s="1373">
        <v>0</v>
      </c>
      <c r="AG19" s="1373">
        <v>0</v>
      </c>
      <c r="AH19" s="1374"/>
      <c r="AI19" s="1375"/>
      <c r="AJ19" s="1373"/>
      <c r="AK19" s="1373"/>
      <c r="AL19" s="1374"/>
      <c r="AM19" s="1375"/>
      <c r="AN19" s="1373"/>
      <c r="AO19" s="1375"/>
      <c r="AP19" s="1374"/>
      <c r="AQ19" s="1375"/>
      <c r="AR19" s="1373"/>
      <c r="AS19" s="1375"/>
      <c r="AT19" s="1374"/>
      <c r="AU19" s="1373"/>
      <c r="AV19" s="1373"/>
      <c r="AW19" s="1373"/>
      <c r="AX19" s="1372"/>
      <c r="AY19" s="1376"/>
      <c r="AZ19" s="1376"/>
      <c r="BA19" s="1376"/>
      <c r="BB19" s="1376"/>
      <c r="BC19" s="1377"/>
      <c r="BD19" s="1374"/>
      <c r="BE19" s="1374"/>
      <c r="BF19" s="1374"/>
      <c r="BG19" s="2439"/>
      <c r="BH19" s="1377">
        <v>0</v>
      </c>
      <c r="BI19" s="1376">
        <v>0</v>
      </c>
      <c r="BJ19" s="1303">
        <v>0</v>
      </c>
      <c r="BK19" s="1192" t="s">
        <v>41</v>
      </c>
      <c r="BL19" s="954"/>
      <c r="BM19" s="1379"/>
      <c r="BN19" s="1379"/>
      <c r="BO19" s="1379"/>
      <c r="BP19" s="1379"/>
      <c r="BQ19" s="1379"/>
      <c r="BR19" s="1379">
        <v>0</v>
      </c>
      <c r="BS19" s="1379">
        <v>0</v>
      </c>
      <c r="BT19" s="1379">
        <v>0</v>
      </c>
      <c r="BU19" s="1379">
        <v>0</v>
      </c>
      <c r="BV19" s="1379">
        <v>0</v>
      </c>
      <c r="BW19" s="1380">
        <v>6436</v>
      </c>
      <c r="BX19" s="1380">
        <v>8840</v>
      </c>
      <c r="BY19" s="1380">
        <v>7707</v>
      </c>
      <c r="BZ19" s="1033">
        <v>8540</v>
      </c>
      <c r="CA19" s="1033">
        <v>8278</v>
      </c>
      <c r="CB19" s="1033">
        <v>10155</v>
      </c>
      <c r="CC19" s="1184"/>
      <c r="CD19" s="1183"/>
      <c r="CE19" s="1145"/>
      <c r="CF19" s="1145"/>
      <c r="CG19" s="1145"/>
      <c r="CH19" s="1145"/>
      <c r="CI19" s="1144"/>
      <c r="CJ19" s="1144"/>
      <c r="CK19" s="1144"/>
      <c r="CL19" s="1144"/>
      <c r="CM19" s="1144"/>
      <c r="CN19" s="1144"/>
      <c r="CO19" s="1144"/>
      <c r="CP19" s="1144"/>
      <c r="CQ19" s="1144"/>
    </row>
    <row r="20" spans="1:95" x14ac:dyDescent="0.2">
      <c r="A20" s="946"/>
      <c r="B20" s="1186" t="s">
        <v>84</v>
      </c>
      <c r="C20" s="1198">
        <v>18493</v>
      </c>
      <c r="D20" s="1035">
        <v>0.40319626738760739</v>
      </c>
      <c r="E20" s="920"/>
      <c r="F20" s="2010">
        <v>64359</v>
      </c>
      <c r="G20" s="1169">
        <v>54486</v>
      </c>
      <c r="H20" s="1269">
        <v>83341</v>
      </c>
      <c r="I20" s="1269">
        <v>76972</v>
      </c>
      <c r="J20" s="1245">
        <v>45866</v>
      </c>
      <c r="K20" s="1269">
        <v>77614</v>
      </c>
      <c r="L20" s="1269">
        <v>75278</v>
      </c>
      <c r="M20" s="1269">
        <v>28830</v>
      </c>
      <c r="N20" s="1269">
        <v>34384</v>
      </c>
      <c r="O20" s="1198">
        <v>46243</v>
      </c>
      <c r="P20" s="1269">
        <v>31995</v>
      </c>
      <c r="Q20" s="1269">
        <v>28281</v>
      </c>
      <c r="R20" s="1245">
        <v>48892</v>
      </c>
      <c r="S20" s="1269">
        <v>39106</v>
      </c>
      <c r="T20" s="1269">
        <v>33199</v>
      </c>
      <c r="U20" s="1269">
        <v>24758</v>
      </c>
      <c r="V20" s="1245">
        <v>34336</v>
      </c>
      <c r="W20" s="1265">
        <v>48292</v>
      </c>
      <c r="X20" s="1269">
        <v>29192</v>
      </c>
      <c r="Y20" s="1269">
        <v>68913</v>
      </c>
      <c r="Z20" s="1245">
        <v>58188</v>
      </c>
      <c r="AA20" s="1269">
        <v>43057</v>
      </c>
      <c r="AB20" s="1269">
        <v>41283</v>
      </c>
      <c r="AC20" s="1269">
        <v>31264</v>
      </c>
      <c r="AD20" s="1245">
        <v>32910</v>
      </c>
      <c r="AE20" s="1455">
        <v>56814</v>
      </c>
      <c r="AF20" s="1455">
        <v>76454</v>
      </c>
      <c r="AG20" s="1455">
        <v>35445</v>
      </c>
      <c r="AH20" s="1245">
        <v>35624</v>
      </c>
      <c r="AI20" s="1269">
        <v>71006</v>
      </c>
      <c r="AJ20" s="1455">
        <v>56942</v>
      </c>
      <c r="AK20" s="1455">
        <v>42491</v>
      </c>
      <c r="AL20" s="1245">
        <v>61867</v>
      </c>
      <c r="AM20" s="1269">
        <v>100901</v>
      </c>
      <c r="AN20" s="1455">
        <v>121385</v>
      </c>
      <c r="AO20" s="1455">
        <v>58181</v>
      </c>
      <c r="AP20" s="1245">
        <v>57447</v>
      </c>
      <c r="AQ20" s="1269">
        <v>39289</v>
      </c>
      <c r="AR20" s="1455">
        <v>67352</v>
      </c>
      <c r="AS20" s="1455">
        <v>34463</v>
      </c>
      <c r="AT20" s="1245">
        <v>36477</v>
      </c>
      <c r="AU20" s="1455">
        <v>31276</v>
      </c>
      <c r="AV20" s="1455">
        <v>20429</v>
      </c>
      <c r="AW20" s="1455">
        <v>29110</v>
      </c>
      <c r="AX20" s="1780">
        <v>42035</v>
      </c>
      <c r="AY20" s="1269">
        <v>39733</v>
      </c>
      <c r="AZ20" s="1269">
        <v>52078</v>
      </c>
      <c r="BA20" s="1269">
        <v>48387</v>
      </c>
      <c r="BB20" s="1269">
        <v>72387</v>
      </c>
      <c r="BC20" s="1198">
        <v>68481</v>
      </c>
      <c r="BD20" s="1245">
        <v>58781</v>
      </c>
      <c r="BE20" s="1245">
        <v>46473</v>
      </c>
      <c r="BF20" s="1245">
        <v>53589</v>
      </c>
      <c r="BG20" s="1265"/>
      <c r="BH20" s="1198">
        <v>260665</v>
      </c>
      <c r="BI20" s="1269">
        <v>216106</v>
      </c>
      <c r="BJ20" s="1269">
        <v>44559</v>
      </c>
      <c r="BK20" s="1035">
        <v>0.20619048059748457</v>
      </c>
      <c r="BL20" s="1271"/>
      <c r="BM20" s="1413">
        <v>260665</v>
      </c>
      <c r="BN20" s="1413">
        <v>216106</v>
      </c>
      <c r="BO20" s="1413">
        <v>155411</v>
      </c>
      <c r="BP20" s="1413">
        <v>131399</v>
      </c>
      <c r="BQ20" s="1413">
        <v>204585</v>
      </c>
      <c r="BR20" s="1413">
        <v>148514</v>
      </c>
      <c r="BS20" s="1367">
        <v>204337</v>
      </c>
      <c r="BT20" s="1367">
        <v>232306</v>
      </c>
      <c r="BU20" s="1367">
        <v>338520</v>
      </c>
      <c r="BV20" s="1367">
        <v>177581</v>
      </c>
      <c r="BW20" s="1367">
        <v>129286</v>
      </c>
      <c r="BX20" s="1367">
        <v>221425</v>
      </c>
      <c r="BY20" s="1367">
        <v>227324</v>
      </c>
      <c r="BZ20" s="1297">
        <v>189074</v>
      </c>
      <c r="CA20" s="1297">
        <v>123564</v>
      </c>
      <c r="CB20" s="1297">
        <v>127269</v>
      </c>
      <c r="CC20" s="1184"/>
      <c r="CD20" s="1312">
        <v>43283</v>
      </c>
      <c r="CE20" s="2430">
        <v>1.3528051258009064</v>
      </c>
      <c r="CF20" s="2429">
        <v>-24790</v>
      </c>
      <c r="CG20" s="2430">
        <v>-0.94960885841329901</v>
      </c>
      <c r="CH20" s="2430"/>
      <c r="CI20" s="1312">
        <v>138492</v>
      </c>
      <c r="CJ20" s="2432">
        <v>122173</v>
      </c>
      <c r="CK20" s="1312"/>
      <c r="CL20" s="2432">
        <v>44559</v>
      </c>
      <c r="CM20" s="2431">
        <v>0.20619048059748457</v>
      </c>
      <c r="CN20" s="1146">
        <v>0</v>
      </c>
      <c r="CO20" s="2430">
        <v>0</v>
      </c>
      <c r="CP20" s="1144"/>
      <c r="CQ20" s="1144"/>
    </row>
    <row r="21" spans="1:95" ht="13.5" customHeight="1" x14ac:dyDescent="0.2">
      <c r="A21" s="946"/>
      <c r="B21" s="1186" t="s">
        <v>629</v>
      </c>
      <c r="C21" s="1198">
        <v>615</v>
      </c>
      <c r="D21" s="1035">
        <v>2.8222660731494653E-2</v>
      </c>
      <c r="E21" s="920"/>
      <c r="F21" s="2015">
        <v>22406</v>
      </c>
      <c r="G21" s="1159">
        <v>28888</v>
      </c>
      <c r="H21" s="1205">
        <v>38542</v>
      </c>
      <c r="I21" s="1205">
        <v>19568</v>
      </c>
      <c r="J21" s="1409">
        <v>21791</v>
      </c>
      <c r="K21" s="1205">
        <v>34796</v>
      </c>
      <c r="L21" s="1205">
        <v>32222</v>
      </c>
      <c r="M21" s="1205">
        <v>34669</v>
      </c>
      <c r="N21" s="1205">
        <v>26771</v>
      </c>
      <c r="O21" s="1396">
        <v>62190</v>
      </c>
      <c r="P21" s="1205">
        <v>32011</v>
      </c>
      <c r="Q21" s="1205">
        <v>27892</v>
      </c>
      <c r="R21" s="1409">
        <v>24719</v>
      </c>
      <c r="S21" s="1205">
        <v>32565</v>
      </c>
      <c r="T21" s="1205">
        <v>29341</v>
      </c>
      <c r="U21" s="1205">
        <v>38339</v>
      </c>
      <c r="V21" s="1409">
        <v>45233</v>
      </c>
      <c r="W21" s="1413">
        <v>38594</v>
      </c>
      <c r="X21" s="1205">
        <v>23692</v>
      </c>
      <c r="Y21" s="1205">
        <v>48910</v>
      </c>
      <c r="Z21" s="1245">
        <v>44746</v>
      </c>
      <c r="AA21" s="1205">
        <v>63175</v>
      </c>
      <c r="AB21" s="1205">
        <v>65707</v>
      </c>
      <c r="AC21" s="1205">
        <v>42936</v>
      </c>
      <c r="AD21" s="1245">
        <v>40489</v>
      </c>
      <c r="AE21" s="1205">
        <v>45552</v>
      </c>
      <c r="AF21" s="1205">
        <v>44248</v>
      </c>
      <c r="AG21" s="1205">
        <v>39034</v>
      </c>
      <c r="AH21" s="1245">
        <v>29220</v>
      </c>
      <c r="AI21" s="1205">
        <v>19861</v>
      </c>
      <c r="AJ21" s="1205">
        <v>12748</v>
      </c>
      <c r="AK21" s="1205">
        <v>9338</v>
      </c>
      <c r="AL21" s="1245">
        <v>9246</v>
      </c>
      <c r="AM21" s="1205">
        <v>34555</v>
      </c>
      <c r="AN21" s="1205">
        <v>23339</v>
      </c>
      <c r="AO21" s="1205">
        <v>18338</v>
      </c>
      <c r="AP21" s="1245">
        <v>16445</v>
      </c>
      <c r="AQ21" s="1205">
        <v>21333</v>
      </c>
      <c r="AR21" s="1205">
        <v>26421</v>
      </c>
      <c r="AS21" s="1205" t="e">
        <v>#REF!</v>
      </c>
      <c r="AT21" s="1245" t="e">
        <v>#REF!</v>
      </c>
      <c r="AU21" s="1205" t="e">
        <v>#REF!</v>
      </c>
      <c r="AV21" s="1205" t="e">
        <v>#REF!</v>
      </c>
      <c r="AW21" s="1205" t="e">
        <v>#REF!</v>
      </c>
      <c r="AX21" s="1245" t="e">
        <v>#REF!</v>
      </c>
      <c r="AY21" s="1269" t="e">
        <v>#REF!</v>
      </c>
      <c r="AZ21" s="1269" t="e">
        <v>#REF!</v>
      </c>
      <c r="BA21" s="1269" t="e">
        <v>#REF!</v>
      </c>
      <c r="BB21" s="1269" t="e">
        <v>#REF!</v>
      </c>
      <c r="BC21" s="1198" t="e">
        <v>#REF!</v>
      </c>
      <c r="BD21" s="1245" t="e">
        <v>#REF!</v>
      </c>
      <c r="BE21" s="1245" t="e">
        <v>#REF!</v>
      </c>
      <c r="BF21" s="1245" t="e">
        <v>#REF!</v>
      </c>
      <c r="BG21" s="1265"/>
      <c r="BH21" s="1198">
        <v>108789</v>
      </c>
      <c r="BI21" s="1269">
        <v>128458</v>
      </c>
      <c r="BJ21" s="1269">
        <v>-19669</v>
      </c>
      <c r="BK21" s="1035">
        <v>-0.15311619361970449</v>
      </c>
      <c r="BL21" s="1271"/>
      <c r="BM21" s="1413">
        <v>108789</v>
      </c>
      <c r="BN21" s="1413">
        <v>128458</v>
      </c>
      <c r="BO21" s="1413">
        <v>146812</v>
      </c>
      <c r="BP21" s="1413">
        <v>145478</v>
      </c>
      <c r="BQ21" s="1413">
        <v>155942</v>
      </c>
      <c r="BR21" s="1413">
        <v>212307</v>
      </c>
      <c r="BS21" s="1367">
        <v>158054</v>
      </c>
      <c r="BT21" s="1367">
        <v>51193</v>
      </c>
      <c r="BU21" s="1367">
        <v>92677</v>
      </c>
      <c r="BV21" s="1367">
        <v>82454</v>
      </c>
      <c r="BW21" s="1367">
        <v>72926</v>
      </c>
      <c r="BX21" s="1367">
        <v>118332</v>
      </c>
      <c r="BY21" s="1367">
        <v>129852</v>
      </c>
      <c r="BZ21" s="1033">
        <v>125900</v>
      </c>
      <c r="CA21" s="1033">
        <v>116090</v>
      </c>
      <c r="CB21" s="1033">
        <v>84489</v>
      </c>
      <c r="CC21" s="1184"/>
      <c r="CD21" s="1312">
        <v>211</v>
      </c>
      <c r="CE21" s="2430">
        <v>6.5914841773140479E-3</v>
      </c>
      <c r="CF21" s="2429">
        <v>404</v>
      </c>
      <c r="CG21" s="2430">
        <v>2.1631176554180606E-2</v>
      </c>
      <c r="CH21" s="2430"/>
      <c r="CI21" s="1312">
        <v>93662</v>
      </c>
      <c r="CJ21" s="2432">
        <v>15127</v>
      </c>
      <c r="CK21" s="1312"/>
      <c r="CL21" s="2432">
        <v>-19669</v>
      </c>
      <c r="CM21" s="2431">
        <v>-0.15311619361970449</v>
      </c>
      <c r="CN21" s="1146">
        <v>0</v>
      </c>
      <c r="CO21" s="2430">
        <v>0</v>
      </c>
      <c r="CP21" s="1144"/>
      <c r="CQ21" s="1144"/>
    </row>
    <row r="22" spans="1:95" ht="12.75" customHeight="1" x14ac:dyDescent="0.2">
      <c r="A22" s="946"/>
      <c r="B22" s="1186" t="s">
        <v>202</v>
      </c>
      <c r="C22" s="1198">
        <v>17854</v>
      </c>
      <c r="D22" s="1035">
        <v>0.23428601422460174</v>
      </c>
      <c r="E22" s="920"/>
      <c r="F22" s="2015">
        <v>94060</v>
      </c>
      <c r="G22" s="1159">
        <v>73443</v>
      </c>
      <c r="H22" s="1205">
        <v>81208</v>
      </c>
      <c r="I22" s="1205">
        <v>72730</v>
      </c>
      <c r="J22" s="1409">
        <v>76206</v>
      </c>
      <c r="K22" s="1205">
        <v>68158</v>
      </c>
      <c r="L22" s="1205">
        <v>66603</v>
      </c>
      <c r="M22" s="1205">
        <v>46112</v>
      </c>
      <c r="N22" s="1205">
        <v>55069</v>
      </c>
      <c r="O22" s="1396">
        <v>64726</v>
      </c>
      <c r="P22" s="1205">
        <v>60838</v>
      </c>
      <c r="Q22" s="1205">
        <v>54948</v>
      </c>
      <c r="R22" s="1409">
        <v>53699</v>
      </c>
      <c r="S22" s="1205">
        <v>55262</v>
      </c>
      <c r="T22" s="1205">
        <v>51442</v>
      </c>
      <c r="U22" s="1205">
        <v>55932</v>
      </c>
      <c r="V22" s="1409">
        <v>54775</v>
      </c>
      <c r="W22" s="1413">
        <v>56515</v>
      </c>
      <c r="X22" s="1205">
        <v>43493</v>
      </c>
      <c r="Y22" s="1205">
        <v>40703</v>
      </c>
      <c r="Z22" s="1245">
        <v>62261</v>
      </c>
      <c r="AA22" s="1205">
        <v>71273</v>
      </c>
      <c r="AB22" s="1205">
        <v>48269</v>
      </c>
      <c r="AC22" s="1205">
        <v>44000</v>
      </c>
      <c r="AD22" s="1245">
        <v>52943</v>
      </c>
      <c r="AE22" s="1205">
        <v>45206</v>
      </c>
      <c r="AF22" s="1205">
        <v>37625</v>
      </c>
      <c r="AG22" s="1205">
        <v>39474</v>
      </c>
      <c r="AH22" s="1245">
        <v>31050</v>
      </c>
      <c r="AI22" s="1205">
        <v>18487</v>
      </c>
      <c r="AJ22" s="1205">
        <v>17197</v>
      </c>
      <c r="AK22" s="1205">
        <v>17790</v>
      </c>
      <c r="AL22" s="1245">
        <v>26012</v>
      </c>
      <c r="AM22" s="1205">
        <v>27712</v>
      </c>
      <c r="AN22" s="1205">
        <v>32618</v>
      </c>
      <c r="AO22" s="1205">
        <v>20083</v>
      </c>
      <c r="AP22" s="1245">
        <v>25806</v>
      </c>
      <c r="AQ22" s="1205">
        <v>19380</v>
      </c>
      <c r="AR22" s="1205">
        <v>21984</v>
      </c>
      <c r="AS22" s="1205">
        <v>29595</v>
      </c>
      <c r="AT22" s="1245">
        <v>26670</v>
      </c>
      <c r="AU22" s="1252">
        <v>16696</v>
      </c>
      <c r="AV22" s="1252">
        <v>16073</v>
      </c>
      <c r="AW22" s="1252">
        <v>17456</v>
      </c>
      <c r="AX22" s="1253">
        <v>24569</v>
      </c>
      <c r="AY22" s="1269">
        <v>23292</v>
      </c>
      <c r="AZ22" s="1269">
        <v>22388</v>
      </c>
      <c r="BA22" s="1269">
        <v>19827</v>
      </c>
      <c r="BB22" s="1269">
        <v>25281</v>
      </c>
      <c r="BC22" s="1198">
        <v>18686</v>
      </c>
      <c r="BD22" s="1245">
        <v>17651</v>
      </c>
      <c r="BE22" s="1245">
        <v>17682</v>
      </c>
      <c r="BF22" s="1245">
        <v>22625</v>
      </c>
      <c r="BG22" s="1265"/>
      <c r="BH22" s="1198">
        <v>303587</v>
      </c>
      <c r="BI22" s="1269">
        <v>235942</v>
      </c>
      <c r="BJ22" s="1269">
        <v>67645</v>
      </c>
      <c r="BK22" s="1035">
        <v>0.2867018165481347</v>
      </c>
      <c r="BL22" s="1271"/>
      <c r="BM22" s="1413">
        <v>303587</v>
      </c>
      <c r="BN22" s="1413">
        <v>235942</v>
      </c>
      <c r="BO22" s="1413">
        <v>234211</v>
      </c>
      <c r="BP22" s="1413">
        <v>217411</v>
      </c>
      <c r="BQ22" s="1413">
        <v>202972</v>
      </c>
      <c r="BR22" s="1413">
        <v>216485</v>
      </c>
      <c r="BS22" s="1367">
        <v>153355</v>
      </c>
      <c r="BT22" s="1367">
        <v>79486</v>
      </c>
      <c r="BU22" s="1367">
        <v>106219</v>
      </c>
      <c r="BV22" s="1367">
        <v>97629</v>
      </c>
      <c r="BW22" s="1367">
        <v>74794</v>
      </c>
      <c r="BX22" s="1367">
        <v>90788</v>
      </c>
      <c r="BY22" s="1367">
        <v>76644</v>
      </c>
      <c r="BZ22" s="1033">
        <v>18692</v>
      </c>
      <c r="CA22" s="1033">
        <v>0</v>
      </c>
      <c r="CB22" s="1033">
        <v>0</v>
      </c>
      <c r="CC22" s="1184"/>
      <c r="CD22" s="1312">
        <v>5765</v>
      </c>
      <c r="CE22" s="2430">
        <v>9.4759854038594299E-2</v>
      </c>
      <c r="CF22" s="2429">
        <v>12089</v>
      </c>
      <c r="CG22" s="2430">
        <v>0.13952616018600744</v>
      </c>
      <c r="CH22" s="2430"/>
      <c r="CI22" s="1312">
        <v>167784</v>
      </c>
      <c r="CJ22" s="2432">
        <v>135803</v>
      </c>
      <c r="CK22" s="1312"/>
      <c r="CL22" s="2432">
        <v>67645</v>
      </c>
      <c r="CM22" s="2431">
        <v>0.2867018165481347</v>
      </c>
      <c r="CN22" s="1146">
        <v>0</v>
      </c>
      <c r="CO22" s="2430">
        <v>0</v>
      </c>
      <c r="CP22" s="1144"/>
      <c r="CQ22" s="1144"/>
    </row>
    <row r="23" spans="1:95" ht="12.75" customHeight="1" x14ac:dyDescent="0.2">
      <c r="A23" s="946"/>
      <c r="B23" s="1059" t="s">
        <v>283</v>
      </c>
      <c r="C23" s="1198">
        <v>-3114</v>
      </c>
      <c r="D23" s="1035">
        <v>-0.25253426323899114</v>
      </c>
      <c r="E23" s="920"/>
      <c r="F23" s="2017">
        <v>9217</v>
      </c>
      <c r="G23" s="1162">
        <v>3286</v>
      </c>
      <c r="H23" s="1252">
        <v>6296</v>
      </c>
      <c r="I23" s="1252">
        <v>9453</v>
      </c>
      <c r="J23" s="1430">
        <v>12331</v>
      </c>
      <c r="K23" s="1252">
        <v>20102</v>
      </c>
      <c r="L23" s="1252">
        <v>22117</v>
      </c>
      <c r="M23" s="1252">
        <v>9269</v>
      </c>
      <c r="N23" s="1252">
        <v>5534</v>
      </c>
      <c r="O23" s="1429">
        <v>20341</v>
      </c>
      <c r="P23" s="1252">
        <v>12410</v>
      </c>
      <c r="Q23" s="1252">
        <v>15884</v>
      </c>
      <c r="R23" s="1430">
        <v>11058</v>
      </c>
      <c r="S23" s="1252">
        <v>9723</v>
      </c>
      <c r="T23" s="1252">
        <v>6906</v>
      </c>
      <c r="U23" s="1252">
        <v>5205</v>
      </c>
      <c r="V23" s="1430">
        <v>9304</v>
      </c>
      <c r="W23" s="1477">
        <v>13461</v>
      </c>
      <c r="X23" s="1252">
        <v>5519</v>
      </c>
      <c r="Y23" s="1205">
        <v>0</v>
      </c>
      <c r="Z23" s="1205">
        <v>0</v>
      </c>
      <c r="AA23" s="1205"/>
      <c r="AB23" s="1205"/>
      <c r="AC23" s="1205"/>
      <c r="AD23" s="1245"/>
      <c r="AE23" s="1205"/>
      <c r="AF23" s="1205"/>
      <c r="AG23" s="1205"/>
      <c r="AH23" s="1245"/>
      <c r="AI23" s="1205"/>
      <c r="AJ23" s="1205"/>
      <c r="AK23" s="1205"/>
      <c r="AL23" s="1245"/>
      <c r="AM23" s="1205"/>
      <c r="AN23" s="1205"/>
      <c r="AO23" s="1205"/>
      <c r="AP23" s="1245"/>
      <c r="AQ23" s="1205"/>
      <c r="AR23" s="1205"/>
      <c r="AS23" s="1205"/>
      <c r="AT23" s="1245"/>
      <c r="AU23" s="1205"/>
      <c r="AV23" s="1205"/>
      <c r="AW23" s="1205"/>
      <c r="AX23" s="1245"/>
      <c r="AY23" s="1269"/>
      <c r="AZ23" s="1269"/>
      <c r="BA23" s="1269"/>
      <c r="BB23" s="1269"/>
      <c r="BC23" s="1198"/>
      <c r="BD23" s="1245"/>
      <c r="BE23" s="1245"/>
      <c r="BF23" s="1245"/>
      <c r="BG23" s="1265"/>
      <c r="BH23" s="1307">
        <v>31366</v>
      </c>
      <c r="BI23" s="1304">
        <v>57022</v>
      </c>
      <c r="BJ23" s="1304">
        <v>-25656</v>
      </c>
      <c r="BK23" s="1192">
        <v>-0.4499316053453053</v>
      </c>
      <c r="BL23" s="1271"/>
      <c r="BM23" s="1413">
        <v>31366</v>
      </c>
      <c r="BN23" s="1477">
        <v>57022</v>
      </c>
      <c r="BO23" s="1477">
        <v>59693</v>
      </c>
      <c r="BP23" s="1477">
        <v>31138</v>
      </c>
      <c r="BQ23" s="1413">
        <v>41608</v>
      </c>
      <c r="BR23" s="1413">
        <v>28138</v>
      </c>
      <c r="BS23" s="1367">
        <v>15719</v>
      </c>
      <c r="BT23" s="1367">
        <v>3829</v>
      </c>
      <c r="BU23" s="1367"/>
      <c r="BV23" s="1367"/>
      <c r="BW23" s="1367"/>
      <c r="BX23" s="1367"/>
      <c r="BY23" s="1367"/>
      <c r="BZ23" s="1033"/>
      <c r="CA23" s="1033"/>
      <c r="CB23" s="1033"/>
      <c r="CC23" s="1184"/>
      <c r="CD23" s="1312">
        <v>9707</v>
      </c>
      <c r="CE23" s="2430">
        <v>0.78219178082191776</v>
      </c>
      <c r="CF23" s="2429">
        <v>-12821</v>
      </c>
      <c r="CG23" s="2430">
        <v>-1.034726044060909</v>
      </c>
      <c r="CH23" s="2430"/>
      <c r="CI23" s="1312">
        <v>36920</v>
      </c>
      <c r="CJ23" s="2432">
        <v>-5554</v>
      </c>
      <c r="CK23" s="1312"/>
      <c r="CL23" s="2432">
        <v>-25656</v>
      </c>
      <c r="CM23" s="2431">
        <v>-0.4499316053453053</v>
      </c>
      <c r="CN23" s="1146">
        <v>0</v>
      </c>
      <c r="CO23" s="2430">
        <v>0</v>
      </c>
      <c r="CP23" s="1144"/>
      <c r="CQ23" s="1144"/>
    </row>
    <row r="24" spans="1:95" ht="12.75" customHeight="1" x14ac:dyDescent="0.2">
      <c r="A24" s="948"/>
      <c r="B24" s="946"/>
      <c r="C24" s="1195">
        <v>33848</v>
      </c>
      <c r="D24" s="1190">
        <v>0.21670486702434152</v>
      </c>
      <c r="E24" s="920"/>
      <c r="F24" s="2010">
        <v>190042</v>
      </c>
      <c r="G24" s="1169">
        <v>160103</v>
      </c>
      <c r="H24" s="1269">
        <v>209387</v>
      </c>
      <c r="I24" s="1269">
        <v>178723</v>
      </c>
      <c r="J24" s="1245">
        <v>156194</v>
      </c>
      <c r="K24" s="1269">
        <v>200670</v>
      </c>
      <c r="L24" s="1269">
        <v>196220</v>
      </c>
      <c r="M24" s="1269">
        <v>118880</v>
      </c>
      <c r="N24" s="1269">
        <v>121758</v>
      </c>
      <c r="O24" s="1198">
        <v>193500</v>
      </c>
      <c r="P24" s="1269">
        <v>137254</v>
      </c>
      <c r="Q24" s="1269">
        <v>127005</v>
      </c>
      <c r="R24" s="1245">
        <v>138368</v>
      </c>
      <c r="S24" s="1269">
        <v>136656</v>
      </c>
      <c r="T24" s="1269">
        <v>120888</v>
      </c>
      <c r="U24" s="1269">
        <v>124234</v>
      </c>
      <c r="V24" s="1245">
        <v>143648</v>
      </c>
      <c r="W24" s="1265">
        <v>156862</v>
      </c>
      <c r="X24" s="1269">
        <v>101896</v>
      </c>
      <c r="Y24" s="1269">
        <v>170615</v>
      </c>
      <c r="Z24" s="1277">
        <v>179245</v>
      </c>
      <c r="AA24" s="1269">
        <v>186659</v>
      </c>
      <c r="AB24" s="1269">
        <v>171234</v>
      </c>
      <c r="AC24" s="1269">
        <v>118200</v>
      </c>
      <c r="AD24" s="1277">
        <v>126342</v>
      </c>
      <c r="AE24" s="1269">
        <v>147572</v>
      </c>
      <c r="AF24" s="1269">
        <v>158327</v>
      </c>
      <c r="AG24" s="1269">
        <v>113953</v>
      </c>
      <c r="AH24" s="1277">
        <v>95894</v>
      </c>
      <c r="AI24" s="1276">
        <v>109354</v>
      </c>
      <c r="AJ24" s="1269">
        <v>86887</v>
      </c>
      <c r="AK24" s="1269">
        <v>69619</v>
      </c>
      <c r="AL24" s="1277">
        <v>97125</v>
      </c>
      <c r="AM24" s="1276">
        <v>163168</v>
      </c>
      <c r="AN24" s="1269">
        <v>177342</v>
      </c>
      <c r="AO24" s="1276">
        <v>96602</v>
      </c>
      <c r="AP24" s="1277">
        <v>99698</v>
      </c>
      <c r="AQ24" s="1276">
        <v>83496</v>
      </c>
      <c r="AR24" s="1269">
        <v>116090</v>
      </c>
      <c r="AS24" s="1276">
        <v>78475</v>
      </c>
      <c r="AT24" s="1277">
        <v>85497</v>
      </c>
      <c r="AU24" s="1269">
        <v>64972</v>
      </c>
      <c r="AV24" s="1269">
        <v>49250</v>
      </c>
      <c r="AW24" s="1269">
        <v>58336</v>
      </c>
      <c r="AX24" s="1245">
        <v>104793</v>
      </c>
      <c r="AY24" s="1276">
        <v>77965</v>
      </c>
      <c r="AZ24" s="1276">
        <v>109583</v>
      </c>
      <c r="BA24" s="1276">
        <v>89071</v>
      </c>
      <c r="BB24" s="1276">
        <v>155023</v>
      </c>
      <c r="BC24" s="1195">
        <v>130151</v>
      </c>
      <c r="BD24" s="1277">
        <v>101427</v>
      </c>
      <c r="BE24" s="1277">
        <v>93033</v>
      </c>
      <c r="BF24" s="1277">
        <v>125106</v>
      </c>
      <c r="BG24" s="1265"/>
      <c r="BH24" s="1304">
        <v>704407</v>
      </c>
      <c r="BI24" s="1304">
        <v>637528</v>
      </c>
      <c r="BJ24" s="1304">
        <v>66879</v>
      </c>
      <c r="BK24" s="1192">
        <v>0.10490362776223162</v>
      </c>
      <c r="BL24" s="1271"/>
      <c r="BM24" s="1403">
        <v>704407</v>
      </c>
      <c r="BN24" s="1268">
        <v>637528</v>
      </c>
      <c r="BO24" s="1268">
        <v>596127</v>
      </c>
      <c r="BP24" s="1268">
        <v>525426</v>
      </c>
      <c r="BQ24" s="1403">
        <v>605107</v>
      </c>
      <c r="BR24" s="1403">
        <v>605444</v>
      </c>
      <c r="BS24" s="1386">
        <v>531465</v>
      </c>
      <c r="BT24" s="1386">
        <v>366814</v>
      </c>
      <c r="BU24" s="1386">
        <v>538644</v>
      </c>
      <c r="BV24" s="1386">
        <v>357664</v>
      </c>
      <c r="BW24" s="1386">
        <v>277006</v>
      </c>
      <c r="BX24" s="1386">
        <v>430545</v>
      </c>
      <c r="BY24" s="1386">
        <v>449717</v>
      </c>
      <c r="BZ24" s="1244">
        <v>333666</v>
      </c>
      <c r="CA24" s="1244">
        <v>239654</v>
      </c>
      <c r="CB24" s="1244">
        <v>211758</v>
      </c>
      <c r="CC24" s="1184"/>
      <c r="CD24" s="1312">
        <v>58966</v>
      </c>
      <c r="CE24" s="2430">
        <v>0.42961225173765427</v>
      </c>
      <c r="CF24" s="2429">
        <v>-25118</v>
      </c>
      <c r="CG24" s="2430">
        <v>-0.21290738471331275</v>
      </c>
      <c r="CH24" s="2430"/>
      <c r="CI24" s="1312">
        <v>436858</v>
      </c>
      <c r="CJ24" s="2432">
        <v>267549</v>
      </c>
      <c r="CK24" s="1145"/>
      <c r="CL24" s="2432">
        <v>66879</v>
      </c>
      <c r="CM24" s="2431">
        <v>0.10490362776223162</v>
      </c>
      <c r="CN24" s="1146">
        <v>0</v>
      </c>
      <c r="CO24" s="2430">
        <v>0</v>
      </c>
      <c r="CP24" s="1144"/>
      <c r="CQ24" s="1144"/>
    </row>
    <row r="25" spans="1:95" ht="12.75" customHeight="1" x14ac:dyDescent="0.2">
      <c r="A25" s="947" t="s">
        <v>5</v>
      </c>
      <c r="B25" s="946"/>
      <c r="C25" s="2778"/>
      <c r="D25" s="1210"/>
      <c r="E25" s="920"/>
      <c r="F25" s="1319"/>
      <c r="G25" s="1325"/>
      <c r="H25" s="1407"/>
      <c r="I25" s="1407"/>
      <c r="J25" s="1424"/>
      <c r="K25" s="1407"/>
      <c r="L25" s="1407"/>
      <c r="M25" s="1407"/>
      <c r="N25" s="1407"/>
      <c r="O25" s="1408"/>
      <c r="P25" s="1407"/>
      <c r="Q25" s="1407"/>
      <c r="R25" s="1424"/>
      <c r="S25" s="1407"/>
      <c r="T25" s="1407"/>
      <c r="U25" s="1407"/>
      <c r="V25" s="1424"/>
      <c r="W25" s="1393"/>
      <c r="X25" s="1407"/>
      <c r="Y25" s="1407"/>
      <c r="Z25" s="1245"/>
      <c r="AA25" s="1407"/>
      <c r="AB25" s="1407"/>
      <c r="AC25" s="1407"/>
      <c r="AD25" s="1245"/>
      <c r="AE25" s="1407"/>
      <c r="AF25" s="1407"/>
      <c r="AG25" s="1407"/>
      <c r="AH25" s="1245"/>
      <c r="AI25" s="1205"/>
      <c r="AJ25" s="1407"/>
      <c r="AK25" s="1407"/>
      <c r="AL25" s="1245"/>
      <c r="AM25" s="1205"/>
      <c r="AN25" s="1407"/>
      <c r="AO25" s="1205"/>
      <c r="AP25" s="1245"/>
      <c r="AQ25" s="1205"/>
      <c r="AR25" s="1407"/>
      <c r="AS25" s="1205"/>
      <c r="AT25" s="1245"/>
      <c r="AU25" s="1407"/>
      <c r="AV25" s="1407"/>
      <c r="AW25" s="1407"/>
      <c r="AX25" s="1780"/>
      <c r="AY25" s="1269"/>
      <c r="AZ25" s="1269"/>
      <c r="BA25" s="1269"/>
      <c r="BB25" s="1269"/>
      <c r="BC25" s="1198"/>
      <c r="BD25" s="1245"/>
      <c r="BE25" s="1245"/>
      <c r="BF25" s="1245"/>
      <c r="BG25" s="1265"/>
      <c r="BH25" s="2778"/>
      <c r="BI25" s="1455"/>
      <c r="BJ25" s="1455"/>
      <c r="BK25" s="1210"/>
      <c r="BL25" s="1271"/>
      <c r="BM25" s="1393"/>
      <c r="BN25" s="1413"/>
      <c r="BO25" s="1413"/>
      <c r="BP25" s="1413"/>
      <c r="BQ25" s="1619"/>
      <c r="BR25" s="1619"/>
      <c r="BS25" s="2241"/>
      <c r="BT25" s="2241"/>
      <c r="BU25" s="1387"/>
      <c r="BV25" s="1387"/>
      <c r="BW25" s="1387"/>
      <c r="BX25" s="1367"/>
      <c r="BY25" s="1367"/>
      <c r="BZ25" s="1033"/>
      <c r="CA25" s="1033"/>
      <c r="CB25" s="1033"/>
      <c r="CC25" s="1184"/>
      <c r="CD25" s="1183"/>
      <c r="CE25" s="1145"/>
      <c r="CF25" s="1145"/>
      <c r="CG25" s="1145"/>
      <c r="CH25" s="1145"/>
      <c r="CI25" s="1144"/>
      <c r="CJ25" s="1144"/>
      <c r="CK25" s="1144"/>
      <c r="CL25" s="1144"/>
      <c r="CM25" s="1144"/>
      <c r="CN25" s="1144"/>
      <c r="CO25" s="1144"/>
      <c r="CP25" s="1144"/>
      <c r="CQ25" s="1144"/>
    </row>
    <row r="26" spans="1:95" ht="12.75" hidden="1" customHeight="1" x14ac:dyDescent="0.2">
      <c r="A26" s="947"/>
      <c r="B26" s="946" t="s">
        <v>292</v>
      </c>
      <c r="C26" s="1198">
        <v>15871</v>
      </c>
      <c r="D26" s="1035">
        <v>0.19413592328016441</v>
      </c>
      <c r="E26" s="920"/>
      <c r="F26" s="2015">
        <v>97623</v>
      </c>
      <c r="G26" s="1159">
        <v>57180</v>
      </c>
      <c r="H26" s="1205">
        <v>108509</v>
      </c>
      <c r="I26" s="1205">
        <v>91587</v>
      </c>
      <c r="J26" s="1409">
        <v>81752</v>
      </c>
      <c r="K26" s="1205">
        <v>94759</v>
      </c>
      <c r="L26" s="1205">
        <v>96281</v>
      </c>
      <c r="M26" s="1205">
        <v>59935</v>
      </c>
      <c r="N26" s="1205">
        <v>62260</v>
      </c>
      <c r="O26" s="1396">
        <v>93509</v>
      </c>
      <c r="P26" s="1205">
        <v>66169</v>
      </c>
      <c r="Q26" s="1205">
        <v>66281</v>
      </c>
      <c r="R26" s="1409">
        <v>70258</v>
      </c>
      <c r="S26" s="1205">
        <v>74737</v>
      </c>
      <c r="T26" s="1205">
        <v>72342</v>
      </c>
      <c r="U26" s="1205">
        <v>58255</v>
      </c>
      <c r="V26" s="1409">
        <v>67557</v>
      </c>
      <c r="W26" s="1413">
        <v>81371</v>
      </c>
      <c r="X26" s="1205">
        <v>51418</v>
      </c>
      <c r="Y26" s="1205">
        <v>80234</v>
      </c>
      <c r="Z26" s="1245">
        <v>83836</v>
      </c>
      <c r="AA26" s="1205">
        <v>83812</v>
      </c>
      <c r="AB26" s="1205">
        <v>78890</v>
      </c>
      <c r="AC26" s="1205">
        <v>57661</v>
      </c>
      <c r="AD26" s="1245">
        <v>54055</v>
      </c>
      <c r="AE26" s="1205">
        <v>76337</v>
      </c>
      <c r="AF26" s="1205">
        <v>76074</v>
      </c>
      <c r="AG26" s="1205">
        <v>57422</v>
      </c>
      <c r="AH26" s="1245">
        <v>47123</v>
      </c>
      <c r="AI26" s="1205">
        <v>60386</v>
      </c>
      <c r="AJ26" s="1205">
        <v>39742</v>
      </c>
      <c r="AK26" s="1205">
        <v>31911</v>
      </c>
      <c r="AL26" s="1245">
        <v>47297</v>
      </c>
      <c r="AM26" s="1205">
        <v>79647</v>
      </c>
      <c r="AN26" s="1205">
        <v>80361</v>
      </c>
      <c r="AO26" s="1245">
        <v>42653</v>
      </c>
      <c r="AP26" s="1245"/>
      <c r="AQ26" s="1205"/>
      <c r="AR26" s="1205"/>
      <c r="AS26" s="1205"/>
      <c r="AT26" s="1245"/>
      <c r="AU26" s="1205"/>
      <c r="AV26" s="1205"/>
      <c r="AW26" s="1205"/>
      <c r="AX26" s="1245"/>
      <c r="AY26" s="1269"/>
      <c r="AZ26" s="1269"/>
      <c r="BA26" s="1269"/>
      <c r="BB26" s="1269"/>
      <c r="BC26" s="1198"/>
      <c r="BD26" s="1245"/>
      <c r="BE26" s="1245"/>
      <c r="BF26" s="1245"/>
      <c r="BG26" s="1265"/>
      <c r="BH26" s="1198">
        <v>339028</v>
      </c>
      <c r="BI26" s="1269">
        <v>313235</v>
      </c>
      <c r="BJ26" s="1269">
        <v>25793</v>
      </c>
      <c r="BK26" s="1035">
        <v>8.2343927083499607E-2</v>
      </c>
      <c r="BL26" s="1271"/>
      <c r="BM26" s="1413">
        <v>339028</v>
      </c>
      <c r="BN26" s="1413">
        <v>313235</v>
      </c>
      <c r="BO26" s="1413">
        <v>296217</v>
      </c>
      <c r="BP26" s="1413">
        <v>272891</v>
      </c>
      <c r="BQ26" s="1413">
        <v>293559</v>
      </c>
      <c r="BR26" s="1413">
        <v>267234</v>
      </c>
      <c r="BS26" s="2223">
        <v>251426</v>
      </c>
      <c r="BT26" s="2223">
        <v>176277</v>
      </c>
      <c r="BU26" s="1367">
        <v>247207</v>
      </c>
      <c r="BV26" s="1367">
        <v>184644</v>
      </c>
      <c r="BW26" s="1367">
        <v>135129</v>
      </c>
      <c r="BX26" s="1367">
        <v>213579</v>
      </c>
      <c r="BY26" s="1367"/>
      <c r="BZ26" s="1033"/>
      <c r="CA26" s="1033"/>
      <c r="CB26" s="1033"/>
      <c r="CC26" s="1184"/>
      <c r="CD26" s="1312">
        <v>30112</v>
      </c>
      <c r="CE26" s="2430">
        <v>0.4550771509317052</v>
      </c>
      <c r="CF26" s="2429">
        <v>-14241</v>
      </c>
      <c r="CG26" s="2430">
        <v>-0.26094122765154082</v>
      </c>
      <c r="CH26" s="2430"/>
      <c r="CI26" s="1312">
        <v>218476</v>
      </c>
      <c r="CJ26" s="2432">
        <v>120552</v>
      </c>
      <c r="CK26" s="1145"/>
      <c r="CL26" s="2432">
        <v>25793</v>
      </c>
      <c r="CM26" s="2431">
        <v>8.2343927083499607E-2</v>
      </c>
      <c r="CN26" s="1146">
        <v>0</v>
      </c>
      <c r="CO26" s="2430">
        <v>0</v>
      </c>
      <c r="CP26" s="1144"/>
      <c r="CQ26" s="1144"/>
    </row>
    <row r="27" spans="1:95" ht="12.75" hidden="1" customHeight="1" x14ac:dyDescent="0.2">
      <c r="A27" s="947"/>
      <c r="B27" s="946" t="s">
        <v>293</v>
      </c>
      <c r="C27" s="1307">
        <v>-524</v>
      </c>
      <c r="D27" s="1192">
        <v>-0.12511938872970391</v>
      </c>
      <c r="E27" s="1166"/>
      <c r="F27" s="2017">
        <v>3664</v>
      </c>
      <c r="G27" s="1162">
        <v>30091</v>
      </c>
      <c r="H27" s="1252">
        <v>2722</v>
      </c>
      <c r="I27" s="1252">
        <v>3437</v>
      </c>
      <c r="J27" s="1430">
        <v>4188</v>
      </c>
      <c r="K27" s="1252">
        <v>8806</v>
      </c>
      <c r="L27" s="1252">
        <v>9520</v>
      </c>
      <c r="M27" s="1252">
        <v>9542</v>
      </c>
      <c r="N27" s="1252">
        <v>10352</v>
      </c>
      <c r="O27" s="1429">
        <v>8283</v>
      </c>
      <c r="P27" s="1252">
        <v>8432</v>
      </c>
      <c r="Q27" s="1252">
        <v>8428</v>
      </c>
      <c r="R27" s="1430">
        <v>7860</v>
      </c>
      <c r="S27" s="1252">
        <v>8178</v>
      </c>
      <c r="T27" s="1252">
        <v>6944</v>
      </c>
      <c r="U27" s="1252">
        <v>7062</v>
      </c>
      <c r="V27" s="1430">
        <v>7884</v>
      </c>
      <c r="W27" s="1477">
        <v>9583</v>
      </c>
      <c r="X27" s="1252">
        <v>8839</v>
      </c>
      <c r="Y27" s="1252">
        <v>8443</v>
      </c>
      <c r="Z27" s="1253">
        <v>8735</v>
      </c>
      <c r="AA27" s="1252">
        <v>8058</v>
      </c>
      <c r="AB27" s="1252">
        <v>8960</v>
      </c>
      <c r="AC27" s="1252">
        <v>6978</v>
      </c>
      <c r="AD27" s="1253">
        <v>8282</v>
      </c>
      <c r="AE27" s="1252">
        <v>7927</v>
      </c>
      <c r="AF27" s="1252">
        <v>7510</v>
      </c>
      <c r="AG27" s="1252">
        <v>9158</v>
      </c>
      <c r="AH27" s="1253">
        <v>11039</v>
      </c>
      <c r="AI27" s="1252">
        <v>5755</v>
      </c>
      <c r="AJ27" s="1252">
        <v>5491</v>
      </c>
      <c r="AK27" s="1252">
        <v>4965</v>
      </c>
      <c r="AL27" s="1253">
        <v>-1142</v>
      </c>
      <c r="AM27" s="1252">
        <v>-3795</v>
      </c>
      <c r="AN27" s="1252">
        <v>2682</v>
      </c>
      <c r="AO27" s="1253">
        <v>3602</v>
      </c>
      <c r="AP27" s="1245"/>
      <c r="AQ27" s="1205"/>
      <c r="AR27" s="1205"/>
      <c r="AS27" s="1205"/>
      <c r="AT27" s="1245"/>
      <c r="AU27" s="1205"/>
      <c r="AV27" s="1205"/>
      <c r="AW27" s="1205"/>
      <c r="AX27" s="1245"/>
      <c r="AY27" s="1269"/>
      <c r="AZ27" s="1269"/>
      <c r="BA27" s="1269"/>
      <c r="BB27" s="1269"/>
      <c r="BC27" s="1198"/>
      <c r="BD27" s="1245"/>
      <c r="BE27" s="1245"/>
      <c r="BF27" s="1245"/>
      <c r="BG27" s="1265"/>
      <c r="BH27" s="1307">
        <v>40438</v>
      </c>
      <c r="BI27" s="1304">
        <v>38220</v>
      </c>
      <c r="BJ27" s="1304">
        <v>2218</v>
      </c>
      <c r="BK27" s="1192">
        <v>5.8032443746729459E-2</v>
      </c>
      <c r="BL27" s="1271"/>
      <c r="BM27" s="1477">
        <v>40438</v>
      </c>
      <c r="BN27" s="1477">
        <v>38220</v>
      </c>
      <c r="BO27" s="1477">
        <v>33003</v>
      </c>
      <c r="BP27" s="1477">
        <v>30068</v>
      </c>
      <c r="BQ27" s="1477">
        <v>35600</v>
      </c>
      <c r="BR27" s="1477">
        <v>32280</v>
      </c>
      <c r="BS27" s="2240">
        <v>35634</v>
      </c>
      <c r="BT27" s="2240">
        <v>15069</v>
      </c>
      <c r="BU27" s="1380">
        <v>4113</v>
      </c>
      <c r="BV27" s="1380">
        <v>10560</v>
      </c>
      <c r="BW27" s="1380">
        <v>6465</v>
      </c>
      <c r="BX27" s="1380">
        <v>3157</v>
      </c>
      <c r="BY27" s="1367"/>
      <c r="BZ27" s="1033"/>
      <c r="CA27" s="1033"/>
      <c r="CB27" s="1033"/>
      <c r="CC27" s="1184"/>
      <c r="CD27" s="1312">
        <v>1088</v>
      </c>
      <c r="CE27" s="2430">
        <v>0.12903225806451613</v>
      </c>
      <c r="CF27" s="2429">
        <v>-1612</v>
      </c>
      <c r="CG27" s="2430">
        <v>-0.25415164679422003</v>
      </c>
      <c r="CH27" s="2430"/>
      <c r="CI27" s="1312">
        <v>29414</v>
      </c>
      <c r="CJ27" s="2432">
        <v>11024</v>
      </c>
      <c r="CK27" s="1145"/>
      <c r="CL27" s="2432">
        <v>2218</v>
      </c>
      <c r="CM27" s="2431">
        <v>5.8032443746729459E-2</v>
      </c>
      <c r="CN27" s="1146">
        <v>0</v>
      </c>
      <c r="CO27" s="2430">
        <v>0</v>
      </c>
      <c r="CP27" s="1144"/>
      <c r="CQ27" s="1144"/>
    </row>
    <row r="28" spans="1:95" ht="12.75" hidden="1" customHeight="1" x14ac:dyDescent="0.2">
      <c r="A28" s="948"/>
      <c r="B28" s="1059" t="s">
        <v>620</v>
      </c>
      <c r="C28" s="1198">
        <v>15347</v>
      </c>
      <c r="D28" s="1035">
        <v>0.17857807772864789</v>
      </c>
      <c r="E28" s="920"/>
      <c r="F28" s="2015">
        <v>101287</v>
      </c>
      <c r="G28" s="1159">
        <v>87271</v>
      </c>
      <c r="H28" s="1205">
        <v>111231</v>
      </c>
      <c r="I28" s="1205">
        <v>95024</v>
      </c>
      <c r="J28" s="1409">
        <v>85940</v>
      </c>
      <c r="K28" s="1205">
        <v>103565</v>
      </c>
      <c r="L28" s="1205">
        <v>105801</v>
      </c>
      <c r="M28" s="1205">
        <v>69477</v>
      </c>
      <c r="N28" s="1205">
        <v>72612</v>
      </c>
      <c r="O28" s="1396">
        <v>101792</v>
      </c>
      <c r="P28" s="1205">
        <v>74601</v>
      </c>
      <c r="Q28" s="1205">
        <v>74709</v>
      </c>
      <c r="R28" s="1409">
        <v>78118</v>
      </c>
      <c r="S28" s="1407">
        <v>82915</v>
      </c>
      <c r="T28" s="1205">
        <v>79286</v>
      </c>
      <c r="U28" s="1205">
        <v>65317</v>
      </c>
      <c r="V28" s="1409">
        <v>75441</v>
      </c>
      <c r="W28" s="1393">
        <v>90954</v>
      </c>
      <c r="X28" s="1205">
        <v>60257</v>
      </c>
      <c r="Y28" s="1205">
        <v>88677</v>
      </c>
      <c r="Z28" s="1409">
        <v>92571</v>
      </c>
      <c r="AA28" s="1205">
        <v>91870</v>
      </c>
      <c r="AB28" s="1205">
        <v>87850</v>
      </c>
      <c r="AC28" s="1205">
        <v>64639</v>
      </c>
      <c r="AD28" s="1245">
        <v>62337</v>
      </c>
      <c r="AE28" s="1205">
        <v>84264</v>
      </c>
      <c r="AF28" s="1205">
        <v>83584</v>
      </c>
      <c r="AG28" s="1205">
        <v>66580</v>
      </c>
      <c r="AH28" s="1245">
        <v>58162</v>
      </c>
      <c r="AI28" s="1205">
        <v>66141</v>
      </c>
      <c r="AJ28" s="1205">
        <v>45233</v>
      </c>
      <c r="AK28" s="1205">
        <v>36876</v>
      </c>
      <c r="AL28" s="1245">
        <v>46155</v>
      </c>
      <c r="AM28" s="1205">
        <v>75852</v>
      </c>
      <c r="AN28" s="1205">
        <v>83043</v>
      </c>
      <c r="AO28" s="1205">
        <v>46255</v>
      </c>
      <c r="AP28" s="1245">
        <v>46170</v>
      </c>
      <c r="AQ28" s="1205">
        <v>43645</v>
      </c>
      <c r="AR28" s="1205">
        <v>63567</v>
      </c>
      <c r="AS28" s="1205">
        <v>42761</v>
      </c>
      <c r="AT28" s="1245">
        <v>45231</v>
      </c>
      <c r="AU28" s="1205">
        <v>30210</v>
      </c>
      <c r="AV28" s="1205">
        <v>28857</v>
      </c>
      <c r="AW28" s="1205">
        <v>29998</v>
      </c>
      <c r="AX28" s="1245">
        <v>52529</v>
      </c>
      <c r="AY28" s="1269">
        <v>40395</v>
      </c>
      <c r="AZ28" s="1269">
        <v>57933</v>
      </c>
      <c r="BA28" s="1269">
        <v>42205</v>
      </c>
      <c r="BB28" s="1269">
        <v>76203</v>
      </c>
      <c r="BC28" s="1198">
        <v>70783</v>
      </c>
      <c r="BD28" s="1245">
        <v>51546</v>
      </c>
      <c r="BE28" s="1245">
        <v>45305</v>
      </c>
      <c r="BF28" s="1245">
        <v>65948</v>
      </c>
      <c r="BG28" s="1265"/>
      <c r="BH28" s="1269">
        <v>379466</v>
      </c>
      <c r="BI28" s="1269">
        <v>351455</v>
      </c>
      <c r="BJ28" s="1269">
        <v>28011</v>
      </c>
      <c r="BK28" s="1035">
        <v>7.9700103853978466E-2</v>
      </c>
      <c r="BL28" s="1271"/>
      <c r="BM28" s="1413">
        <v>379466</v>
      </c>
      <c r="BN28" s="1413">
        <v>351455</v>
      </c>
      <c r="BO28" s="1413">
        <v>329220</v>
      </c>
      <c r="BP28" s="1413">
        <v>302959</v>
      </c>
      <c r="BQ28" s="1413">
        <v>329159</v>
      </c>
      <c r="BR28" s="1413">
        <v>299514</v>
      </c>
      <c r="BS28" s="2222">
        <v>287060</v>
      </c>
      <c r="BT28" s="2222">
        <v>191346</v>
      </c>
      <c r="BU28" s="1367">
        <v>251320</v>
      </c>
      <c r="BV28" s="1367">
        <v>195204</v>
      </c>
      <c r="BW28" s="1367">
        <v>141594</v>
      </c>
      <c r="BX28" s="1367">
        <v>216736</v>
      </c>
      <c r="BY28" s="1367">
        <v>233582</v>
      </c>
      <c r="BZ28" s="1033">
        <v>175604</v>
      </c>
      <c r="CA28" s="1033">
        <v>125030</v>
      </c>
      <c r="CB28" s="1033">
        <v>120298</v>
      </c>
      <c r="CC28" s="1184"/>
      <c r="CD28" s="1312">
        <v>31200</v>
      </c>
      <c r="CE28" s="2430">
        <v>0.41822495677001648</v>
      </c>
      <c r="CF28" s="2429">
        <v>-15853</v>
      </c>
      <c r="CG28" s="2430">
        <v>-0.23964687904136858</v>
      </c>
      <c r="CH28" s="2430"/>
      <c r="CI28" s="1312">
        <v>247890</v>
      </c>
      <c r="CJ28" s="2432">
        <v>131576</v>
      </c>
      <c r="CK28" s="1145"/>
      <c r="CL28" s="2432">
        <v>28011</v>
      </c>
      <c r="CM28" s="2431">
        <v>7.9700103853978466E-2</v>
      </c>
      <c r="CN28" s="1146">
        <v>0</v>
      </c>
      <c r="CO28" s="2430">
        <v>0</v>
      </c>
      <c r="CP28" s="1144"/>
      <c r="CQ28" s="1144"/>
    </row>
    <row r="29" spans="1:95" hidden="1" x14ac:dyDescent="0.2">
      <c r="A29" s="948"/>
      <c r="B29" s="1059" t="s">
        <v>64</v>
      </c>
      <c r="C29" s="1198">
        <v>1901</v>
      </c>
      <c r="D29" s="1035">
        <v>0.33263342082239722</v>
      </c>
      <c r="E29" s="920"/>
      <c r="F29" s="2015">
        <v>7616</v>
      </c>
      <c r="G29" s="1159">
        <v>6533</v>
      </c>
      <c r="H29" s="1205">
        <v>6061</v>
      </c>
      <c r="I29" s="1205">
        <v>5664</v>
      </c>
      <c r="J29" s="1409">
        <v>5715</v>
      </c>
      <c r="K29" s="1205">
        <v>6235</v>
      </c>
      <c r="L29" s="1205">
        <v>6253</v>
      </c>
      <c r="M29" s="1205">
        <v>5919</v>
      </c>
      <c r="N29" s="1205">
        <v>6417</v>
      </c>
      <c r="O29" s="1396">
        <v>6456</v>
      </c>
      <c r="P29" s="1205">
        <v>6320</v>
      </c>
      <c r="Q29" s="1205">
        <v>6141</v>
      </c>
      <c r="R29" s="1409">
        <v>6184</v>
      </c>
      <c r="S29" s="1205">
        <v>7412</v>
      </c>
      <c r="T29" s="1205">
        <v>7056</v>
      </c>
      <c r="U29" s="1205">
        <v>6423</v>
      </c>
      <c r="V29" s="1409">
        <v>5923</v>
      </c>
      <c r="W29" s="1413">
        <v>6010</v>
      </c>
      <c r="X29" s="1205">
        <v>5733</v>
      </c>
      <c r="Y29" s="1205">
        <v>6025</v>
      </c>
      <c r="Z29" s="1245">
        <v>6930</v>
      </c>
      <c r="AA29" s="1205">
        <v>9132</v>
      </c>
      <c r="AB29" s="1205">
        <v>8127</v>
      </c>
      <c r="AC29" s="1205">
        <v>8594</v>
      </c>
      <c r="AD29" s="1245">
        <v>8936</v>
      </c>
      <c r="AE29" s="1205">
        <v>9480</v>
      </c>
      <c r="AF29" s="1205">
        <v>8280</v>
      </c>
      <c r="AG29" s="1205">
        <v>8670</v>
      </c>
      <c r="AH29" s="1245">
        <v>8811</v>
      </c>
      <c r="AI29" s="1205">
        <v>4982</v>
      </c>
      <c r="AJ29" s="1205">
        <v>4241</v>
      </c>
      <c r="AK29" s="1205">
        <v>3382</v>
      </c>
      <c r="AL29" s="1245">
        <v>5211</v>
      </c>
      <c r="AM29" s="1205">
        <v>4311</v>
      </c>
      <c r="AN29" s="1205">
        <v>3896</v>
      </c>
      <c r="AO29" s="1205">
        <v>4154</v>
      </c>
      <c r="AP29" s="1245">
        <v>4021</v>
      </c>
      <c r="AQ29" s="1205">
        <v>4088</v>
      </c>
      <c r="AR29" s="1205">
        <v>4441</v>
      </c>
      <c r="AS29" s="1205">
        <v>3376</v>
      </c>
      <c r="AT29" s="1245">
        <v>3404</v>
      </c>
      <c r="AU29" s="1205">
        <v>3513</v>
      </c>
      <c r="AV29" s="1205">
        <v>3413</v>
      </c>
      <c r="AW29" s="1205">
        <v>3919</v>
      </c>
      <c r="AX29" s="1245">
        <v>4223</v>
      </c>
      <c r="AY29" s="1269">
        <v>3306</v>
      </c>
      <c r="AZ29" s="1269">
        <v>3275</v>
      </c>
      <c r="BA29" s="1269">
        <v>3194</v>
      </c>
      <c r="BB29" s="1269">
        <v>4019</v>
      </c>
      <c r="BC29" s="1198">
        <v>2619</v>
      </c>
      <c r="BD29" s="1245">
        <v>3158</v>
      </c>
      <c r="BE29" s="1245">
        <v>2228</v>
      </c>
      <c r="BF29" s="1245">
        <v>3188</v>
      </c>
      <c r="BG29" s="1265"/>
      <c r="BH29" s="1269">
        <v>23973</v>
      </c>
      <c r="BI29" s="1269">
        <v>24824</v>
      </c>
      <c r="BJ29" s="1269">
        <v>-851</v>
      </c>
      <c r="BK29" s="1035">
        <v>-3.428134063809217E-2</v>
      </c>
      <c r="BL29" s="1271"/>
      <c r="BM29" s="1413">
        <v>23973</v>
      </c>
      <c r="BN29" s="1413">
        <v>24824</v>
      </c>
      <c r="BO29" s="1413">
        <v>25101</v>
      </c>
      <c r="BP29" s="1413">
        <v>26814</v>
      </c>
      <c r="BQ29" s="1413">
        <v>23897</v>
      </c>
      <c r="BR29" s="1413">
        <v>33036</v>
      </c>
      <c r="BS29" s="2223">
        <v>33925</v>
      </c>
      <c r="BT29" s="2223">
        <v>16243</v>
      </c>
      <c r="BU29" s="1367">
        <v>16382</v>
      </c>
      <c r="BV29" s="1367">
        <v>15309</v>
      </c>
      <c r="BW29" s="1367">
        <v>15068</v>
      </c>
      <c r="BX29" s="1367">
        <v>13794</v>
      </c>
      <c r="BY29" s="1367">
        <v>11193</v>
      </c>
      <c r="BZ29" s="1033">
        <v>8435</v>
      </c>
      <c r="CA29" s="1033">
        <v>16577</v>
      </c>
      <c r="CB29" s="1033">
        <v>12517</v>
      </c>
      <c r="CC29" s="1184"/>
      <c r="CD29" s="1312">
        <v>-67</v>
      </c>
      <c r="CE29" s="2430">
        <v>-1.0601265822784809E-2</v>
      </c>
      <c r="CF29" s="2429">
        <v>1968</v>
      </c>
      <c r="CG29" s="2430">
        <v>0.34323468664518203</v>
      </c>
      <c r="CH29" s="2430"/>
      <c r="CI29" s="1312">
        <v>18589</v>
      </c>
      <c r="CJ29" s="2432">
        <v>5384</v>
      </c>
      <c r="CK29" s="1145"/>
      <c r="CL29" s="2432">
        <v>-851</v>
      </c>
      <c r="CM29" s="2431">
        <v>-3.428134063809217E-2</v>
      </c>
      <c r="CN29" s="1146">
        <v>0</v>
      </c>
      <c r="CO29" s="2430">
        <v>0</v>
      </c>
      <c r="CP29" s="1144"/>
      <c r="CQ29" s="1144"/>
    </row>
    <row r="30" spans="1:95" ht="13.5" x14ac:dyDescent="0.2">
      <c r="A30" s="948"/>
      <c r="B30" s="1201" t="s">
        <v>715</v>
      </c>
      <c r="C30" s="1198">
        <v>17248</v>
      </c>
      <c r="D30" s="1035">
        <v>0.18818395068463259</v>
      </c>
      <c r="E30" s="920"/>
      <c r="F30" s="2015">
        <v>108903</v>
      </c>
      <c r="G30" s="1159">
        <v>93804</v>
      </c>
      <c r="H30" s="1205">
        <v>117292</v>
      </c>
      <c r="I30" s="1205">
        <v>100688</v>
      </c>
      <c r="J30" s="1409">
        <v>91655</v>
      </c>
      <c r="K30" s="1159">
        <v>109800</v>
      </c>
      <c r="L30" s="1205">
        <v>112054</v>
      </c>
      <c r="M30" s="1205">
        <v>75396</v>
      </c>
      <c r="N30" s="1409">
        <v>79029</v>
      </c>
      <c r="O30" s="1396"/>
      <c r="P30" s="1205"/>
      <c r="Q30" s="1205"/>
      <c r="R30" s="1409"/>
      <c r="S30" s="1205"/>
      <c r="T30" s="1205"/>
      <c r="U30" s="1205"/>
      <c r="V30" s="1409"/>
      <c r="W30" s="1413"/>
      <c r="X30" s="1205"/>
      <c r="Y30" s="1205"/>
      <c r="Z30" s="1245"/>
      <c r="AA30" s="1205"/>
      <c r="AB30" s="1205"/>
      <c r="AC30" s="1205"/>
      <c r="AD30" s="1245"/>
      <c r="AE30" s="1205"/>
      <c r="AF30" s="1205"/>
      <c r="AG30" s="1205"/>
      <c r="AH30" s="1245"/>
      <c r="AI30" s="1205"/>
      <c r="AJ30" s="1205"/>
      <c r="AK30" s="1205"/>
      <c r="AL30" s="1245"/>
      <c r="AM30" s="1205"/>
      <c r="AN30" s="1205"/>
      <c r="AO30" s="1205"/>
      <c r="AP30" s="1245"/>
      <c r="AQ30" s="1205"/>
      <c r="AR30" s="1205"/>
      <c r="AS30" s="1205"/>
      <c r="AT30" s="1245"/>
      <c r="AU30" s="1205"/>
      <c r="AV30" s="1205"/>
      <c r="AW30" s="1205"/>
      <c r="AX30" s="1245"/>
      <c r="AY30" s="1269"/>
      <c r="AZ30" s="1269"/>
      <c r="BA30" s="1269"/>
      <c r="BB30" s="1269"/>
      <c r="BC30" s="1198"/>
      <c r="BD30" s="1245"/>
      <c r="BE30" s="1245"/>
      <c r="BF30" s="1245"/>
      <c r="BG30" s="1265"/>
      <c r="BH30" s="1269"/>
      <c r="BI30" s="1269"/>
      <c r="BJ30" s="1269"/>
      <c r="BK30" s="1035"/>
      <c r="BL30" s="1271"/>
      <c r="BM30" s="1159">
        <v>403439</v>
      </c>
      <c r="BN30" s="1413">
        <v>376279</v>
      </c>
      <c r="BO30" s="1205">
        <v>354321</v>
      </c>
      <c r="BP30" s="1413">
        <v>329773</v>
      </c>
      <c r="BQ30" s="1413">
        <v>353056</v>
      </c>
      <c r="BR30" s="1413"/>
      <c r="BS30" s="2223"/>
      <c r="BT30" s="2223"/>
      <c r="BU30" s="1367"/>
      <c r="BV30" s="1367"/>
      <c r="BW30" s="1367"/>
      <c r="BX30" s="1367"/>
      <c r="BY30" s="1367"/>
      <c r="BZ30" s="1033"/>
      <c r="CA30" s="1033"/>
      <c r="CB30" s="1033"/>
      <c r="CC30" s="1184"/>
      <c r="CD30" s="1312"/>
      <c r="CE30" s="2430"/>
      <c r="CF30" s="2429"/>
      <c r="CG30" s="2430"/>
      <c r="CH30" s="2430"/>
      <c r="CI30" s="1312"/>
      <c r="CJ30" s="2432"/>
      <c r="CK30" s="1145"/>
      <c r="CL30" s="2432"/>
      <c r="CM30" s="2431"/>
      <c r="CN30" s="1146"/>
      <c r="CO30" s="2430"/>
      <c r="CP30" s="1144"/>
      <c r="CQ30" s="1144"/>
    </row>
    <row r="31" spans="1:95" x14ac:dyDescent="0.2">
      <c r="A31" s="948"/>
      <c r="B31" s="1059" t="s">
        <v>93</v>
      </c>
      <c r="C31" s="1198">
        <v>85</v>
      </c>
      <c r="D31" s="1035">
        <v>5.3865652724968318E-3</v>
      </c>
      <c r="E31" s="920"/>
      <c r="F31" s="2015">
        <v>15865</v>
      </c>
      <c r="G31" s="1159">
        <v>14760</v>
      </c>
      <c r="H31" s="1205">
        <v>20524</v>
      </c>
      <c r="I31" s="1205">
        <v>18901</v>
      </c>
      <c r="J31" s="1409">
        <v>15780</v>
      </c>
      <c r="K31" s="1205">
        <v>16227</v>
      </c>
      <c r="L31" s="1205">
        <v>13112</v>
      </c>
      <c r="M31" s="1205">
        <v>11368</v>
      </c>
      <c r="N31" s="1205">
        <v>13878</v>
      </c>
      <c r="O31" s="1396">
        <v>15019</v>
      </c>
      <c r="P31" s="1205">
        <v>13770</v>
      </c>
      <c r="Q31" s="1205">
        <v>12720</v>
      </c>
      <c r="R31" s="1409">
        <v>11466</v>
      </c>
      <c r="S31" s="1205">
        <v>11858</v>
      </c>
      <c r="T31" s="1205">
        <v>13091</v>
      </c>
      <c r="U31" s="1205">
        <v>11966</v>
      </c>
      <c r="V31" s="1409">
        <v>11726</v>
      </c>
      <c r="W31" s="1413">
        <v>12775</v>
      </c>
      <c r="X31" s="1205">
        <v>13150</v>
      </c>
      <c r="Y31" s="1205">
        <v>11493</v>
      </c>
      <c r="Z31" s="1245">
        <v>11625</v>
      </c>
      <c r="AA31" s="1205">
        <v>12769</v>
      </c>
      <c r="AB31" s="1205">
        <v>10340</v>
      </c>
      <c r="AC31" s="1205">
        <v>9282</v>
      </c>
      <c r="AD31" s="1245">
        <v>10867</v>
      </c>
      <c r="AE31" s="1205">
        <v>7759</v>
      </c>
      <c r="AF31" s="1205">
        <v>7327</v>
      </c>
      <c r="AG31" s="1205">
        <v>7721</v>
      </c>
      <c r="AH31" s="1245">
        <v>9845</v>
      </c>
      <c r="AI31" s="1205">
        <v>4179</v>
      </c>
      <c r="AJ31" s="1205">
        <v>5248</v>
      </c>
      <c r="AK31" s="1205">
        <v>5688</v>
      </c>
      <c r="AL31" s="1245">
        <v>6329</v>
      </c>
      <c r="AM31" s="1205">
        <v>5831</v>
      </c>
      <c r="AN31" s="1205">
        <v>5595</v>
      </c>
      <c r="AO31" s="1205">
        <v>5128</v>
      </c>
      <c r="AP31" s="1245">
        <v>4885</v>
      </c>
      <c r="AQ31" s="1205">
        <v>4483</v>
      </c>
      <c r="AR31" s="1205">
        <v>4661</v>
      </c>
      <c r="AS31" s="1205">
        <v>4275</v>
      </c>
      <c r="AT31" s="1245">
        <v>4870</v>
      </c>
      <c r="AU31" s="1205">
        <v>4618</v>
      </c>
      <c r="AV31" s="1205">
        <v>4587</v>
      </c>
      <c r="AW31" s="1205">
        <v>5118</v>
      </c>
      <c r="AX31" s="1245">
        <v>4540</v>
      </c>
      <c r="AY31" s="1269">
        <v>4027</v>
      </c>
      <c r="AZ31" s="1269">
        <v>4655</v>
      </c>
      <c r="BA31" s="1269">
        <v>4906</v>
      </c>
      <c r="BB31" s="1269">
        <v>4441</v>
      </c>
      <c r="BC31" s="1198">
        <v>4178</v>
      </c>
      <c r="BD31" s="1245">
        <v>3700</v>
      </c>
      <c r="BE31" s="1245">
        <v>3796</v>
      </c>
      <c r="BF31" s="1245">
        <v>5308</v>
      </c>
      <c r="BG31" s="1265"/>
      <c r="BH31" s="1269">
        <v>69965</v>
      </c>
      <c r="BI31" s="1269">
        <v>54585</v>
      </c>
      <c r="BJ31" s="1269">
        <v>15380</v>
      </c>
      <c r="BK31" s="1035">
        <v>0.28176238893468902</v>
      </c>
      <c r="BL31" s="1271"/>
      <c r="BM31" s="1413">
        <v>69965</v>
      </c>
      <c r="BN31" s="1413">
        <v>54585</v>
      </c>
      <c r="BO31" s="1413">
        <v>52975</v>
      </c>
      <c r="BP31" s="1413">
        <v>48641</v>
      </c>
      <c r="BQ31" s="1413">
        <v>49043</v>
      </c>
      <c r="BR31" s="1413">
        <v>43258</v>
      </c>
      <c r="BS31" s="2223">
        <v>32652</v>
      </c>
      <c r="BT31" s="2223">
        <v>21444</v>
      </c>
      <c r="BU31" s="1367">
        <v>21439</v>
      </c>
      <c r="BV31" s="1367">
        <v>18289</v>
      </c>
      <c r="BW31" s="1367">
        <v>18863</v>
      </c>
      <c r="BX31" s="1367">
        <v>18029</v>
      </c>
      <c r="BY31" s="1367">
        <v>16982</v>
      </c>
      <c r="BZ31" s="1033">
        <v>10095</v>
      </c>
      <c r="CA31" s="1033">
        <v>6951</v>
      </c>
      <c r="CB31" s="1033">
        <v>3440</v>
      </c>
      <c r="CC31" s="1184"/>
      <c r="CD31" s="1312">
        <v>-658</v>
      </c>
      <c r="CE31" s="2430">
        <v>-4.7785039941902689E-2</v>
      </c>
      <c r="CF31" s="2429">
        <v>743</v>
      </c>
      <c r="CG31" s="2430">
        <v>5.3171605214399523E-2</v>
      </c>
      <c r="CH31" s="2430"/>
      <c r="CI31" s="1312">
        <v>38358</v>
      </c>
      <c r="CJ31" s="2432">
        <v>31607</v>
      </c>
      <c r="CK31" s="1145"/>
      <c r="CL31" s="2432">
        <v>15380</v>
      </c>
      <c r="CM31" s="2431">
        <v>0.28176238893468902</v>
      </c>
      <c r="CN31" s="1146">
        <v>0</v>
      </c>
      <c r="CO31" s="2430">
        <v>0</v>
      </c>
      <c r="CP31" s="1144"/>
      <c r="CQ31" s="1144"/>
    </row>
    <row r="32" spans="1:95" ht="12.75" customHeight="1" x14ac:dyDescent="0.2">
      <c r="A32" s="948"/>
      <c r="B32" s="1059" t="s">
        <v>66</v>
      </c>
      <c r="C32" s="1198">
        <v>-3077</v>
      </c>
      <c r="D32" s="1035">
        <v>-0.5276967930029155</v>
      </c>
      <c r="E32" s="920"/>
      <c r="F32" s="2015">
        <v>2754</v>
      </c>
      <c r="G32" s="1159">
        <v>5849</v>
      </c>
      <c r="H32" s="1205">
        <v>6008</v>
      </c>
      <c r="I32" s="1205">
        <v>5742</v>
      </c>
      <c r="J32" s="1409">
        <v>5831</v>
      </c>
      <c r="K32" s="1205">
        <v>6125</v>
      </c>
      <c r="L32" s="1205">
        <v>5849</v>
      </c>
      <c r="M32" s="1205">
        <v>5776</v>
      </c>
      <c r="N32" s="1205">
        <v>6112</v>
      </c>
      <c r="O32" s="1396">
        <v>5886</v>
      </c>
      <c r="P32" s="1205">
        <v>5930</v>
      </c>
      <c r="Q32" s="1205">
        <v>5953</v>
      </c>
      <c r="R32" s="1409">
        <v>5689</v>
      </c>
      <c r="S32" s="1205">
        <v>6402</v>
      </c>
      <c r="T32" s="1205">
        <v>6030</v>
      </c>
      <c r="U32" s="1205">
        <v>6275</v>
      </c>
      <c r="V32" s="1409">
        <v>6273</v>
      </c>
      <c r="W32" s="1413">
        <v>6203</v>
      </c>
      <c r="X32" s="1205">
        <v>5671</v>
      </c>
      <c r="Y32" s="1205">
        <v>6412</v>
      </c>
      <c r="Z32" s="1245">
        <v>6242</v>
      </c>
      <c r="AA32" s="1205">
        <v>5481</v>
      </c>
      <c r="AB32" s="1205">
        <v>6522</v>
      </c>
      <c r="AC32" s="1205">
        <v>6395</v>
      </c>
      <c r="AD32" s="1245">
        <v>5748</v>
      </c>
      <c r="AE32" s="1205">
        <v>6541</v>
      </c>
      <c r="AF32" s="1205">
        <v>6285</v>
      </c>
      <c r="AG32" s="1205">
        <v>7195</v>
      </c>
      <c r="AH32" s="1245">
        <v>7029</v>
      </c>
      <c r="AI32" s="1205">
        <v>4122</v>
      </c>
      <c r="AJ32" s="1205">
        <v>3512</v>
      </c>
      <c r="AK32" s="1205">
        <v>3993</v>
      </c>
      <c r="AL32" s="1245">
        <v>3109</v>
      </c>
      <c r="AM32" s="1205">
        <v>3422</v>
      </c>
      <c r="AN32" s="1205">
        <v>3417</v>
      </c>
      <c r="AO32" s="1205">
        <v>2947</v>
      </c>
      <c r="AP32" s="1245">
        <v>2602</v>
      </c>
      <c r="AQ32" s="1205">
        <v>2882</v>
      </c>
      <c r="AR32" s="1205">
        <v>2984</v>
      </c>
      <c r="AS32" s="1205">
        <v>2972</v>
      </c>
      <c r="AT32" s="1245">
        <v>2884</v>
      </c>
      <c r="AU32" s="1205">
        <v>3106</v>
      </c>
      <c r="AV32" s="1205">
        <v>3322</v>
      </c>
      <c r="AW32" s="1205">
        <v>3104</v>
      </c>
      <c r="AX32" s="1245">
        <v>2868</v>
      </c>
      <c r="AY32" s="1269">
        <v>3067</v>
      </c>
      <c r="AZ32" s="1269">
        <v>3011</v>
      </c>
      <c r="BA32" s="1269">
        <v>2910</v>
      </c>
      <c r="BB32" s="1269">
        <v>2613</v>
      </c>
      <c r="BC32" s="1198">
        <v>5054</v>
      </c>
      <c r="BD32" s="1245">
        <v>3183</v>
      </c>
      <c r="BE32" s="1245">
        <v>2884</v>
      </c>
      <c r="BF32" s="1245">
        <v>3008</v>
      </c>
      <c r="BG32" s="1265"/>
      <c r="BH32" s="1269">
        <v>23430</v>
      </c>
      <c r="BI32" s="1269">
        <v>23862</v>
      </c>
      <c r="BJ32" s="1269">
        <v>-432</v>
      </c>
      <c r="BK32" s="1035">
        <v>-1.8104098566758865E-2</v>
      </c>
      <c r="BL32" s="1271"/>
      <c r="BM32" s="1413">
        <v>23430</v>
      </c>
      <c r="BN32" s="1413">
        <v>23862</v>
      </c>
      <c r="BO32" s="1413">
        <v>23458</v>
      </c>
      <c r="BP32" s="1413">
        <v>24980</v>
      </c>
      <c r="BQ32" s="1413">
        <v>23992</v>
      </c>
      <c r="BR32" s="1413">
        <v>23250</v>
      </c>
      <c r="BS32" s="2223">
        <v>26107</v>
      </c>
      <c r="BT32" s="2223">
        <v>14163</v>
      </c>
      <c r="BU32" s="1367">
        <v>12388</v>
      </c>
      <c r="BV32" s="1367">
        <v>11722</v>
      </c>
      <c r="BW32" s="1367">
        <v>12400</v>
      </c>
      <c r="BX32" s="1367">
        <v>11601</v>
      </c>
      <c r="BY32" s="1367">
        <v>14129</v>
      </c>
      <c r="BZ32" s="1033">
        <v>5886</v>
      </c>
      <c r="CA32" s="1033">
        <v>3980</v>
      </c>
      <c r="CB32" s="1033">
        <v>4236</v>
      </c>
      <c r="CC32" s="1184"/>
      <c r="CD32" s="1312">
        <v>-81</v>
      </c>
      <c r="CE32" s="2430">
        <v>-1.3659359190556492E-2</v>
      </c>
      <c r="CF32" s="2429">
        <v>-2996</v>
      </c>
      <c r="CG32" s="2430">
        <v>-0.514037433812359</v>
      </c>
      <c r="CH32" s="2430"/>
      <c r="CI32" s="1312">
        <v>17737</v>
      </c>
      <c r="CJ32" s="2432">
        <v>5693</v>
      </c>
      <c r="CK32" s="1145"/>
      <c r="CL32" s="2432">
        <v>-432</v>
      </c>
      <c r="CM32" s="2431">
        <v>-1.8104098566758865E-2</v>
      </c>
      <c r="CN32" s="1146">
        <v>0</v>
      </c>
      <c r="CO32" s="2430">
        <v>0</v>
      </c>
      <c r="CP32" s="1144"/>
      <c r="CQ32" s="1144"/>
    </row>
    <row r="33" spans="1:95" ht="12.75" customHeight="1" x14ac:dyDescent="0.2">
      <c r="A33" s="948"/>
      <c r="B33" s="1059" t="s">
        <v>67</v>
      </c>
      <c r="C33" s="1198">
        <v>978</v>
      </c>
      <c r="D33" s="1035">
        <v>0.11028416779431664</v>
      </c>
      <c r="E33" s="920"/>
      <c r="F33" s="2015">
        <v>9846</v>
      </c>
      <c r="G33" s="1159">
        <v>10364</v>
      </c>
      <c r="H33" s="1205">
        <v>10644</v>
      </c>
      <c r="I33" s="1205">
        <v>8451</v>
      </c>
      <c r="J33" s="1409">
        <v>8868</v>
      </c>
      <c r="K33" s="1205">
        <v>8788</v>
      </c>
      <c r="L33" s="1205">
        <v>9400</v>
      </c>
      <c r="M33" s="1205">
        <v>9656</v>
      </c>
      <c r="N33" s="1205">
        <v>8563</v>
      </c>
      <c r="O33" s="1396">
        <v>8785</v>
      </c>
      <c r="P33" s="1205">
        <v>8530</v>
      </c>
      <c r="Q33" s="1205">
        <v>9918</v>
      </c>
      <c r="R33" s="1409">
        <v>8359</v>
      </c>
      <c r="S33" s="1205">
        <v>9203</v>
      </c>
      <c r="T33" s="1205">
        <v>9424</v>
      </c>
      <c r="U33" s="1205">
        <v>9601</v>
      </c>
      <c r="V33" s="1409">
        <v>9162</v>
      </c>
      <c r="W33" s="1413">
        <v>9827</v>
      </c>
      <c r="X33" s="1205">
        <v>8404</v>
      </c>
      <c r="Y33" s="1205">
        <v>8705</v>
      </c>
      <c r="Z33" s="1245">
        <v>7655</v>
      </c>
      <c r="AA33" s="1205">
        <v>7451</v>
      </c>
      <c r="AB33" s="1205">
        <v>7928</v>
      </c>
      <c r="AC33" s="1205">
        <v>7100</v>
      </c>
      <c r="AD33" s="1245">
        <v>6850</v>
      </c>
      <c r="AE33" s="1205">
        <v>7177</v>
      </c>
      <c r="AF33" s="1205">
        <v>8207</v>
      </c>
      <c r="AG33" s="1205">
        <v>7393</v>
      </c>
      <c r="AH33" s="1245">
        <v>10194</v>
      </c>
      <c r="AI33" s="1205">
        <v>5670</v>
      </c>
      <c r="AJ33" s="1205">
        <v>4181</v>
      </c>
      <c r="AK33" s="1205">
        <v>4209</v>
      </c>
      <c r="AL33" s="1245">
        <v>3961</v>
      </c>
      <c r="AM33" s="1205">
        <v>3886</v>
      </c>
      <c r="AN33" s="1205">
        <v>4023</v>
      </c>
      <c r="AO33" s="1205">
        <v>4197</v>
      </c>
      <c r="AP33" s="1245">
        <v>3871</v>
      </c>
      <c r="AQ33" s="1205">
        <v>2772</v>
      </c>
      <c r="AR33" s="1205">
        <v>3006</v>
      </c>
      <c r="AS33" s="1205">
        <v>2611</v>
      </c>
      <c r="AT33" s="1245">
        <v>2780</v>
      </c>
      <c r="AU33" s="1205">
        <v>3352</v>
      </c>
      <c r="AV33" s="1205">
        <v>3136</v>
      </c>
      <c r="AW33" s="1205">
        <v>3803</v>
      </c>
      <c r="AX33" s="1245">
        <v>3278</v>
      </c>
      <c r="AY33" s="1269">
        <v>3325</v>
      </c>
      <c r="AZ33" s="1269">
        <v>3063</v>
      </c>
      <c r="BA33" s="1269">
        <v>2962</v>
      </c>
      <c r="BB33" s="1269">
        <v>2879</v>
      </c>
      <c r="BC33" s="1198">
        <v>2804</v>
      </c>
      <c r="BD33" s="1245">
        <v>2586</v>
      </c>
      <c r="BE33" s="1245">
        <v>2530</v>
      </c>
      <c r="BF33" s="1245">
        <v>2427</v>
      </c>
      <c r="BG33" s="1265"/>
      <c r="BH33" s="1269">
        <v>38327</v>
      </c>
      <c r="BI33" s="1269">
        <v>36407</v>
      </c>
      <c r="BJ33" s="1269">
        <v>1920</v>
      </c>
      <c r="BK33" s="1035">
        <v>5.2737110995138295E-2</v>
      </c>
      <c r="BL33" s="1271"/>
      <c r="BM33" s="1413">
        <v>38327</v>
      </c>
      <c r="BN33" s="1413">
        <v>36407</v>
      </c>
      <c r="BO33" s="1413">
        <v>35592</v>
      </c>
      <c r="BP33" s="1413">
        <v>37390</v>
      </c>
      <c r="BQ33" s="1413">
        <v>34413</v>
      </c>
      <c r="BR33" s="1413">
        <v>28944</v>
      </c>
      <c r="BS33" s="2223">
        <v>32686</v>
      </c>
      <c r="BT33" s="2223">
        <v>17851</v>
      </c>
      <c r="BU33" s="1367">
        <v>15977</v>
      </c>
      <c r="BV33" s="1367">
        <v>11169</v>
      </c>
      <c r="BW33" s="1367">
        <v>13569</v>
      </c>
      <c r="BX33" s="1367">
        <v>12229</v>
      </c>
      <c r="BY33" s="1367">
        <v>10347</v>
      </c>
      <c r="BZ33" s="1033">
        <v>6727</v>
      </c>
      <c r="CA33" s="1033">
        <v>5252</v>
      </c>
      <c r="CB33" s="1033">
        <v>4205</v>
      </c>
      <c r="CC33" s="1184"/>
      <c r="CD33" s="1312">
        <v>870</v>
      </c>
      <c r="CE33" s="2430">
        <v>0.10199296600234467</v>
      </c>
      <c r="CF33" s="2429">
        <v>108</v>
      </c>
      <c r="CG33" s="2430">
        <v>8.2912017919719722E-3</v>
      </c>
      <c r="CH33" s="2430"/>
      <c r="CI33" s="1312">
        <v>27619</v>
      </c>
      <c r="CJ33" s="2432">
        <v>10708</v>
      </c>
      <c r="CK33" s="1145"/>
      <c r="CL33" s="2432">
        <v>1920</v>
      </c>
      <c r="CM33" s="2431">
        <v>5.2737110995138295E-2</v>
      </c>
      <c r="CN33" s="1146">
        <v>0</v>
      </c>
      <c r="CO33" s="2430">
        <v>0</v>
      </c>
      <c r="CP33" s="1144"/>
      <c r="CQ33" s="1144"/>
    </row>
    <row r="34" spans="1:95" ht="12.75" customHeight="1" x14ac:dyDescent="0.2">
      <c r="A34" s="948"/>
      <c r="B34" s="1059" t="s">
        <v>62</v>
      </c>
      <c r="C34" s="1198">
        <v>1187</v>
      </c>
      <c r="D34" s="1035">
        <v>0.44060876020786932</v>
      </c>
      <c r="E34" s="920"/>
      <c r="F34" s="2015">
        <v>3881</v>
      </c>
      <c r="G34" s="1159">
        <v>2188</v>
      </c>
      <c r="H34" s="1205">
        <v>2422</v>
      </c>
      <c r="I34" s="1205">
        <v>2466</v>
      </c>
      <c r="J34" s="1409">
        <v>2694</v>
      </c>
      <c r="K34" s="1205">
        <v>2608</v>
      </c>
      <c r="L34" s="1205">
        <v>1876</v>
      </c>
      <c r="M34" s="1205">
        <v>2367</v>
      </c>
      <c r="N34" s="1205">
        <v>2576</v>
      </c>
      <c r="O34" s="1396">
        <v>2489</v>
      </c>
      <c r="P34" s="1205">
        <v>1878</v>
      </c>
      <c r="Q34" s="1205">
        <v>2271</v>
      </c>
      <c r="R34" s="1409">
        <v>3016</v>
      </c>
      <c r="S34" s="1205">
        <v>1712</v>
      </c>
      <c r="T34" s="1205">
        <v>2045</v>
      </c>
      <c r="U34" s="1205">
        <v>1871</v>
      </c>
      <c r="V34" s="1409">
        <v>2856</v>
      </c>
      <c r="W34" s="1409">
        <v>2453</v>
      </c>
      <c r="X34" s="1205">
        <v>2743</v>
      </c>
      <c r="Y34" s="1205">
        <v>2507</v>
      </c>
      <c r="Z34" s="1245">
        <v>3741</v>
      </c>
      <c r="AA34" s="1205">
        <v>3280</v>
      </c>
      <c r="AB34" s="1205">
        <v>3189</v>
      </c>
      <c r="AC34" s="1205">
        <v>3565</v>
      </c>
      <c r="AD34" s="1245">
        <v>4132</v>
      </c>
      <c r="AE34" s="1205">
        <v>2908</v>
      </c>
      <c r="AF34" s="1205">
        <v>3511</v>
      </c>
      <c r="AG34" s="1205">
        <v>2864</v>
      </c>
      <c r="AH34" s="1245">
        <v>3917</v>
      </c>
      <c r="AI34" s="1205">
        <v>2645</v>
      </c>
      <c r="AJ34" s="1205">
        <v>1918</v>
      </c>
      <c r="AK34" s="1205">
        <v>1514</v>
      </c>
      <c r="AL34" s="1245">
        <v>1908</v>
      </c>
      <c r="AM34" s="1205">
        <v>1968</v>
      </c>
      <c r="AN34" s="1205">
        <v>2549</v>
      </c>
      <c r="AO34" s="1205">
        <v>1249</v>
      </c>
      <c r="AP34" s="1245">
        <v>202</v>
      </c>
      <c r="AQ34" s="1205">
        <v>232</v>
      </c>
      <c r="AR34" s="1205">
        <v>290</v>
      </c>
      <c r="AS34" s="1205">
        <v>66</v>
      </c>
      <c r="AT34" s="1245">
        <v>160</v>
      </c>
      <c r="AU34" s="1205">
        <v>261</v>
      </c>
      <c r="AV34" s="1205">
        <v>272</v>
      </c>
      <c r="AW34" s="1205">
        <v>357</v>
      </c>
      <c r="AX34" s="1245">
        <v>482</v>
      </c>
      <c r="AY34" s="1269">
        <v>722</v>
      </c>
      <c r="AZ34" s="1269">
        <v>738</v>
      </c>
      <c r="BA34" s="1269">
        <v>353</v>
      </c>
      <c r="BB34" s="1269">
        <v>594</v>
      </c>
      <c r="BC34" s="1198">
        <v>617</v>
      </c>
      <c r="BD34" s="1245">
        <v>520</v>
      </c>
      <c r="BE34" s="1245">
        <v>889</v>
      </c>
      <c r="BF34" s="1245">
        <v>691</v>
      </c>
      <c r="BG34" s="1265"/>
      <c r="BH34" s="1269">
        <v>9770</v>
      </c>
      <c r="BI34" s="1269">
        <v>9427</v>
      </c>
      <c r="BJ34" s="1269">
        <v>343</v>
      </c>
      <c r="BK34" s="1035">
        <v>3.6384852020791343E-2</v>
      </c>
      <c r="BL34" s="1271"/>
      <c r="BM34" s="1413">
        <v>9770</v>
      </c>
      <c r="BN34" s="1413">
        <v>9427</v>
      </c>
      <c r="BO34" s="1413">
        <v>9654</v>
      </c>
      <c r="BP34" s="1413">
        <v>8484</v>
      </c>
      <c r="BQ34" s="1413">
        <v>11427</v>
      </c>
      <c r="BR34" s="1413">
        <v>14156</v>
      </c>
      <c r="BS34" s="2223">
        <v>13195</v>
      </c>
      <c r="BT34" s="2223">
        <v>7981</v>
      </c>
      <c r="BU34" s="1367">
        <v>5968</v>
      </c>
      <c r="BV34" s="1367">
        <v>748</v>
      </c>
      <c r="BW34" s="1367">
        <v>1372</v>
      </c>
      <c r="BX34" s="1367">
        <v>2407</v>
      </c>
      <c r="BY34" s="1367">
        <v>2717</v>
      </c>
      <c r="BZ34" s="1033">
        <v>1789</v>
      </c>
      <c r="CA34" s="1033">
        <v>611</v>
      </c>
      <c r="CB34" s="1033">
        <v>35</v>
      </c>
      <c r="CC34" s="1184"/>
      <c r="CD34" s="1312">
        <v>-2</v>
      </c>
      <c r="CE34" s="2430">
        <v>-1.0649627263045794E-3</v>
      </c>
      <c r="CF34" s="2429">
        <v>1189</v>
      </c>
      <c r="CG34" s="2430">
        <v>0.4416737229341739</v>
      </c>
      <c r="CH34" s="2430"/>
      <c r="CI34" s="1312">
        <v>6819</v>
      </c>
      <c r="CJ34" s="2432">
        <v>2951</v>
      </c>
      <c r="CK34" s="1145"/>
      <c r="CL34" s="2432">
        <v>343</v>
      </c>
      <c r="CM34" s="2431">
        <v>3.6384852020791343E-2</v>
      </c>
      <c r="CN34" s="1146">
        <v>0</v>
      </c>
      <c r="CO34" s="2430">
        <v>0</v>
      </c>
      <c r="CP34" s="1144"/>
      <c r="CQ34" s="1144"/>
    </row>
    <row r="35" spans="1:95" ht="12.75" customHeight="1" x14ac:dyDescent="0.2">
      <c r="A35" s="948"/>
      <c r="B35" s="1059" t="s">
        <v>68</v>
      </c>
      <c r="C35" s="1198">
        <v>6503</v>
      </c>
      <c r="D35" s="1035">
        <v>0.541871510707441</v>
      </c>
      <c r="E35" s="920"/>
      <c r="F35" s="2015">
        <v>18504</v>
      </c>
      <c r="G35" s="1159">
        <v>15265</v>
      </c>
      <c r="H35" s="1205">
        <v>14545</v>
      </c>
      <c r="I35" s="1205">
        <v>11848</v>
      </c>
      <c r="J35" s="1409">
        <v>12001</v>
      </c>
      <c r="K35" s="1205">
        <v>14425</v>
      </c>
      <c r="L35" s="1205">
        <v>13126</v>
      </c>
      <c r="M35" s="1205">
        <v>10160</v>
      </c>
      <c r="N35" s="1205">
        <v>11133</v>
      </c>
      <c r="O35" s="1396">
        <v>8398</v>
      </c>
      <c r="P35" s="1205">
        <v>12115</v>
      </c>
      <c r="Q35" s="1205">
        <v>10698</v>
      </c>
      <c r="R35" s="1409">
        <v>11879</v>
      </c>
      <c r="S35" s="1205">
        <v>9510</v>
      </c>
      <c r="T35" s="1205">
        <v>14207</v>
      </c>
      <c r="U35" s="1205">
        <v>14768</v>
      </c>
      <c r="V35" s="1409">
        <v>12942</v>
      </c>
      <c r="W35" s="1409">
        <v>11912</v>
      </c>
      <c r="X35" s="1205">
        <v>16983</v>
      </c>
      <c r="Y35" s="1205">
        <v>12789</v>
      </c>
      <c r="Z35" s="1245">
        <v>14677</v>
      </c>
      <c r="AA35" s="1205">
        <v>13621</v>
      </c>
      <c r="AB35" s="1205">
        <v>12387</v>
      </c>
      <c r="AC35" s="1205">
        <v>12092</v>
      </c>
      <c r="AD35" s="1245">
        <v>12352</v>
      </c>
      <c r="AE35" s="1205">
        <v>11771</v>
      </c>
      <c r="AF35" s="1205">
        <v>14915</v>
      </c>
      <c r="AG35" s="1205">
        <v>13669</v>
      </c>
      <c r="AH35" s="1245">
        <v>15129</v>
      </c>
      <c r="AI35" s="1205">
        <v>11583</v>
      </c>
      <c r="AJ35" s="1205">
        <v>8697</v>
      </c>
      <c r="AK35" s="1205">
        <v>10314</v>
      </c>
      <c r="AL35" s="1245">
        <v>9346</v>
      </c>
      <c r="AM35" s="1205">
        <v>8959</v>
      </c>
      <c r="AN35" s="1205">
        <v>9264</v>
      </c>
      <c r="AO35" s="1205">
        <v>8110</v>
      </c>
      <c r="AP35" s="1245">
        <v>8987</v>
      </c>
      <c r="AQ35" s="1205">
        <v>4283</v>
      </c>
      <c r="AR35" s="1205">
        <v>5794</v>
      </c>
      <c r="AS35" s="1205">
        <v>5244</v>
      </c>
      <c r="AT35" s="1245">
        <v>5901</v>
      </c>
      <c r="AU35" s="1205">
        <v>5237</v>
      </c>
      <c r="AV35" s="1205">
        <v>8873</v>
      </c>
      <c r="AW35" s="1205">
        <v>12243</v>
      </c>
      <c r="AX35" s="1245">
        <v>12065</v>
      </c>
      <c r="AY35" s="1269">
        <v>10920</v>
      </c>
      <c r="AZ35" s="1269">
        <v>8753</v>
      </c>
      <c r="BA35" s="1269">
        <v>9885</v>
      </c>
      <c r="BB35" s="1269">
        <v>10397</v>
      </c>
      <c r="BC35" s="1198">
        <v>10292</v>
      </c>
      <c r="BD35" s="1245">
        <v>7376</v>
      </c>
      <c r="BE35" s="1245">
        <v>8470</v>
      </c>
      <c r="BF35" s="1245">
        <v>8715</v>
      </c>
      <c r="BG35" s="1265"/>
      <c r="BH35" s="1269">
        <v>53659</v>
      </c>
      <c r="BI35" s="1269">
        <v>48844</v>
      </c>
      <c r="BJ35" s="1269">
        <v>4815</v>
      </c>
      <c r="BK35" s="1035">
        <v>9.8579149946769307E-2</v>
      </c>
      <c r="BL35" s="1271"/>
      <c r="BM35" s="1413">
        <v>53659</v>
      </c>
      <c r="BN35" s="1413">
        <v>48844</v>
      </c>
      <c r="BO35" s="1413">
        <v>43090</v>
      </c>
      <c r="BP35" s="1413">
        <v>51427</v>
      </c>
      <c r="BQ35" s="1413">
        <v>55576</v>
      </c>
      <c r="BR35" s="1413">
        <v>47639</v>
      </c>
      <c r="BS35" s="2223">
        <v>52748</v>
      </c>
      <c r="BT35" s="2223">
        <v>38743</v>
      </c>
      <c r="BU35" s="1367">
        <v>35320</v>
      </c>
      <c r="BV35" s="1367">
        <v>21222</v>
      </c>
      <c r="BW35" s="1367">
        <v>38418</v>
      </c>
      <c r="BX35" s="1367">
        <v>39955</v>
      </c>
      <c r="BY35" s="1367">
        <v>34853</v>
      </c>
      <c r="BZ35" s="1033">
        <v>19998</v>
      </c>
      <c r="CA35" s="1033">
        <v>13448</v>
      </c>
      <c r="CB35" s="1033">
        <v>7632</v>
      </c>
      <c r="CC35" s="1184"/>
      <c r="CD35" s="1312">
        <v>1011</v>
      </c>
      <c r="CE35" s="2430">
        <v>8.3450268262484528E-2</v>
      </c>
      <c r="CF35" s="2429">
        <v>5492</v>
      </c>
      <c r="CG35" s="2430">
        <v>0.45842124244495647</v>
      </c>
      <c r="CH35" s="2430"/>
      <c r="CI35" s="1312">
        <v>34419</v>
      </c>
      <c r="CJ35" s="2432">
        <v>19240</v>
      </c>
      <c r="CK35" s="1145"/>
      <c r="CL35" s="2432">
        <v>4815</v>
      </c>
      <c r="CM35" s="2431">
        <v>9.8579149946769307E-2</v>
      </c>
      <c r="CN35" s="1146">
        <v>0</v>
      </c>
      <c r="CO35" s="2430">
        <v>0</v>
      </c>
      <c r="CP35" s="1144"/>
      <c r="CQ35" s="1144"/>
    </row>
    <row r="36" spans="1:95" ht="12.75" customHeight="1" x14ac:dyDescent="0.2">
      <c r="A36" s="948"/>
      <c r="B36" s="1059" t="s">
        <v>69</v>
      </c>
      <c r="C36" s="1198">
        <v>1371</v>
      </c>
      <c r="D36" s="1035">
        <v>0.66650461837627617</v>
      </c>
      <c r="E36" s="920"/>
      <c r="F36" s="2015">
        <v>3428</v>
      </c>
      <c r="G36" s="1159">
        <v>1643</v>
      </c>
      <c r="H36" s="1205">
        <v>1633</v>
      </c>
      <c r="I36" s="1205">
        <v>1841</v>
      </c>
      <c r="J36" s="1409">
        <v>2057</v>
      </c>
      <c r="K36" s="1205">
        <v>2290</v>
      </c>
      <c r="L36" s="1205">
        <v>2308</v>
      </c>
      <c r="M36" s="1205">
        <v>2433</v>
      </c>
      <c r="N36" s="1205">
        <v>2410</v>
      </c>
      <c r="O36" s="1396">
        <v>2608</v>
      </c>
      <c r="P36" s="1205">
        <v>2626</v>
      </c>
      <c r="Q36" s="1205">
        <v>2658</v>
      </c>
      <c r="R36" s="1409">
        <v>2652</v>
      </c>
      <c r="S36" s="1205">
        <v>3213</v>
      </c>
      <c r="T36" s="1205">
        <v>3542</v>
      </c>
      <c r="U36" s="1205">
        <v>3473</v>
      </c>
      <c r="V36" s="1409">
        <v>3272</v>
      </c>
      <c r="W36" s="1409">
        <v>3690</v>
      </c>
      <c r="X36" s="1205">
        <v>3551</v>
      </c>
      <c r="Y36" s="1205">
        <v>3995</v>
      </c>
      <c r="Z36" s="1245">
        <v>3966</v>
      </c>
      <c r="AA36" s="1205">
        <v>4101</v>
      </c>
      <c r="AB36" s="1205">
        <v>3747</v>
      </c>
      <c r="AC36" s="1205">
        <v>3319</v>
      </c>
      <c r="AD36" s="1245">
        <v>3691</v>
      </c>
      <c r="AE36" s="1205">
        <v>5103</v>
      </c>
      <c r="AF36" s="1205">
        <v>5008</v>
      </c>
      <c r="AG36" s="1205">
        <v>5183</v>
      </c>
      <c r="AH36" s="1245">
        <v>5780</v>
      </c>
      <c r="AI36" s="1205">
        <v>3472</v>
      </c>
      <c r="AJ36" s="1205">
        <v>2933</v>
      </c>
      <c r="AK36" s="1205">
        <v>2057</v>
      </c>
      <c r="AL36" s="1245">
        <v>1802</v>
      </c>
      <c r="AM36" s="1205">
        <v>1773</v>
      </c>
      <c r="AN36" s="1205">
        <v>1829</v>
      </c>
      <c r="AO36" s="1205">
        <v>2788</v>
      </c>
      <c r="AP36" s="1245">
        <v>2348</v>
      </c>
      <c r="AQ36" s="1205">
        <v>846</v>
      </c>
      <c r="AR36" s="1205">
        <v>903</v>
      </c>
      <c r="AS36" s="1205">
        <v>926</v>
      </c>
      <c r="AT36" s="1245">
        <v>958</v>
      </c>
      <c r="AU36" s="1205">
        <v>1009</v>
      </c>
      <c r="AV36" s="1205">
        <v>1586</v>
      </c>
      <c r="AW36" s="1205">
        <v>926</v>
      </c>
      <c r="AX36" s="1245">
        <v>912</v>
      </c>
      <c r="AY36" s="1269">
        <v>998</v>
      </c>
      <c r="AZ36" s="1269">
        <v>984</v>
      </c>
      <c r="BA36" s="1269">
        <v>985</v>
      </c>
      <c r="BB36" s="1269">
        <v>911</v>
      </c>
      <c r="BC36" s="1198">
        <v>895</v>
      </c>
      <c r="BD36" s="1245">
        <v>785</v>
      </c>
      <c r="BE36" s="1245">
        <v>1291</v>
      </c>
      <c r="BF36" s="1245">
        <v>950</v>
      </c>
      <c r="BG36" s="1265"/>
      <c r="BH36" s="1269">
        <v>7174</v>
      </c>
      <c r="BI36" s="1269">
        <v>9441</v>
      </c>
      <c r="BJ36" s="1269">
        <v>-2267</v>
      </c>
      <c r="BK36" s="1035">
        <v>-0.2401228683402182</v>
      </c>
      <c r="BL36" s="1271"/>
      <c r="BM36" s="1413">
        <v>7174</v>
      </c>
      <c r="BN36" s="1413">
        <v>9441</v>
      </c>
      <c r="BO36" s="1413">
        <v>10544</v>
      </c>
      <c r="BP36" s="1413">
        <v>13500</v>
      </c>
      <c r="BQ36" s="1413">
        <v>14975</v>
      </c>
      <c r="BR36" s="1413">
        <v>14397</v>
      </c>
      <c r="BS36" s="2223">
        <v>18780</v>
      </c>
      <c r="BT36" s="2223">
        <v>10146</v>
      </c>
      <c r="BU36" s="1367">
        <v>8738</v>
      </c>
      <c r="BV36" s="1367">
        <v>3633</v>
      </c>
      <c r="BW36" s="1367">
        <v>4433</v>
      </c>
      <c r="BX36" s="1367">
        <v>3878</v>
      </c>
      <c r="BY36" s="1367">
        <v>3921</v>
      </c>
      <c r="BZ36" s="1033">
        <v>1910</v>
      </c>
      <c r="CA36" s="1033">
        <v>1204</v>
      </c>
      <c r="CB36" s="1033">
        <v>1291</v>
      </c>
      <c r="CC36" s="1184"/>
      <c r="CD36" s="1312">
        <v>-318</v>
      </c>
      <c r="CE36" s="2430">
        <v>-0.1210967250571211</v>
      </c>
      <c r="CF36" s="2429">
        <v>1689</v>
      </c>
      <c r="CG36" s="2430">
        <v>0.78760134343339727</v>
      </c>
      <c r="CH36" s="2430"/>
      <c r="CI36" s="1312">
        <v>7151</v>
      </c>
      <c r="CJ36" s="2432">
        <v>23</v>
      </c>
      <c r="CK36" s="1145"/>
      <c r="CL36" s="2432">
        <v>-2267</v>
      </c>
      <c r="CM36" s="2431">
        <v>-0.2401228683402182</v>
      </c>
      <c r="CN36" s="1146">
        <v>0</v>
      </c>
      <c r="CO36" s="2430">
        <v>0</v>
      </c>
      <c r="CP36" s="1144"/>
      <c r="CQ36" s="1144"/>
    </row>
    <row r="37" spans="1:95" ht="12.75" customHeight="1" x14ac:dyDescent="0.2">
      <c r="A37" s="948"/>
      <c r="B37" s="946" t="s">
        <v>684</v>
      </c>
      <c r="C37" s="1198">
        <v>3299</v>
      </c>
      <c r="D37" s="1035" t="s">
        <v>41</v>
      </c>
      <c r="E37" s="920"/>
      <c r="F37" s="2015">
        <v>3299</v>
      </c>
      <c r="G37" s="1159">
        <v>0</v>
      </c>
      <c r="H37" s="1205">
        <v>0</v>
      </c>
      <c r="I37" s="1205">
        <v>0</v>
      </c>
      <c r="J37" s="1409">
        <v>0</v>
      </c>
      <c r="K37" s="1159">
        <v>0</v>
      </c>
      <c r="L37" s="1205">
        <v>0</v>
      </c>
      <c r="M37" s="1205">
        <v>0</v>
      </c>
      <c r="N37" s="1409">
        <v>0</v>
      </c>
      <c r="O37" s="1396"/>
      <c r="P37" s="1205"/>
      <c r="Q37" s="1205"/>
      <c r="R37" s="1409"/>
      <c r="S37" s="1205"/>
      <c r="T37" s="1205"/>
      <c r="U37" s="1205"/>
      <c r="V37" s="1409"/>
      <c r="W37" s="1409"/>
      <c r="X37" s="1205"/>
      <c r="Y37" s="1205"/>
      <c r="Z37" s="1245"/>
      <c r="AA37" s="1205"/>
      <c r="AB37" s="1205"/>
      <c r="AC37" s="1205"/>
      <c r="AD37" s="1245"/>
      <c r="AE37" s="1205"/>
      <c r="AF37" s="1205"/>
      <c r="AG37" s="1205"/>
      <c r="AH37" s="1245"/>
      <c r="AI37" s="1205"/>
      <c r="AJ37" s="1205"/>
      <c r="AK37" s="1205"/>
      <c r="AL37" s="1245"/>
      <c r="AM37" s="1205"/>
      <c r="AN37" s="1205"/>
      <c r="AO37" s="1205"/>
      <c r="AP37" s="1245"/>
      <c r="AQ37" s="1205"/>
      <c r="AR37" s="1205"/>
      <c r="AS37" s="1205"/>
      <c r="AT37" s="1245"/>
      <c r="AU37" s="1205"/>
      <c r="AV37" s="1205"/>
      <c r="AW37" s="1205"/>
      <c r="AX37" s="1245"/>
      <c r="AY37" s="1269"/>
      <c r="AZ37" s="1269"/>
      <c r="BA37" s="1269"/>
      <c r="BB37" s="1269"/>
      <c r="BC37" s="1198"/>
      <c r="BD37" s="1245"/>
      <c r="BE37" s="1245"/>
      <c r="BF37" s="1245"/>
      <c r="BG37" s="1265"/>
      <c r="BH37" s="1269"/>
      <c r="BI37" s="1269"/>
      <c r="BJ37" s="1269"/>
      <c r="BK37" s="1035"/>
      <c r="BL37" s="1271"/>
      <c r="BM37" s="1413">
        <v>0</v>
      </c>
      <c r="BN37" s="1413">
        <v>0</v>
      </c>
      <c r="BO37" s="1413">
        <v>0</v>
      </c>
      <c r="BP37" s="1413">
        <v>0</v>
      </c>
      <c r="BQ37" s="1413">
        <v>0</v>
      </c>
      <c r="BR37" s="1413"/>
      <c r="BS37" s="2223"/>
      <c r="BT37" s="2223"/>
      <c r="BU37" s="1367"/>
      <c r="BV37" s="1367"/>
      <c r="BW37" s="1367"/>
      <c r="BX37" s="1367"/>
      <c r="BY37" s="1367"/>
      <c r="BZ37" s="1033"/>
      <c r="CA37" s="1033"/>
      <c r="CB37" s="1033"/>
      <c r="CC37" s="1184"/>
      <c r="CD37" s="1312"/>
      <c r="CE37" s="2430"/>
      <c r="CF37" s="2429"/>
      <c r="CG37" s="2430"/>
      <c r="CH37" s="2430"/>
      <c r="CI37" s="1312"/>
      <c r="CJ37" s="2432"/>
      <c r="CK37" s="1145"/>
      <c r="CL37" s="2432"/>
      <c r="CM37" s="2431"/>
      <c r="CN37" s="1146"/>
      <c r="CO37" s="2430"/>
      <c r="CP37" s="1144"/>
      <c r="CQ37" s="1144"/>
    </row>
    <row r="38" spans="1:95" x14ac:dyDescent="0.2">
      <c r="A38" s="946"/>
      <c r="B38" s="1059" t="s">
        <v>70</v>
      </c>
      <c r="C38" s="1198">
        <v>105</v>
      </c>
      <c r="D38" s="1035">
        <v>1.9444444444444444</v>
      </c>
      <c r="E38" s="920"/>
      <c r="F38" s="2015">
        <v>159</v>
      </c>
      <c r="G38" s="1159">
        <v>143</v>
      </c>
      <c r="H38" s="1205">
        <v>135</v>
      </c>
      <c r="I38" s="1205">
        <v>120</v>
      </c>
      <c r="J38" s="1409">
        <v>54</v>
      </c>
      <c r="K38" s="1205">
        <v>217</v>
      </c>
      <c r="L38" s="1205">
        <v>88</v>
      </c>
      <c r="M38" s="1205">
        <v>256</v>
      </c>
      <c r="N38" s="1205">
        <v>129</v>
      </c>
      <c r="O38" s="1396">
        <v>436</v>
      </c>
      <c r="P38" s="1205">
        <v>729</v>
      </c>
      <c r="Q38" s="1205">
        <v>869</v>
      </c>
      <c r="R38" s="1409">
        <v>582</v>
      </c>
      <c r="S38" s="1205">
        <v>3432</v>
      </c>
      <c r="T38" s="1205">
        <v>1386</v>
      </c>
      <c r="U38" s="1205">
        <v>1559</v>
      </c>
      <c r="V38" s="1409">
        <v>1705</v>
      </c>
      <c r="W38" s="1409">
        <v>1586</v>
      </c>
      <c r="X38" s="1205">
        <v>4086</v>
      </c>
      <c r="Y38" s="1205">
        <v>1356</v>
      </c>
      <c r="Z38" s="1245">
        <v>2369</v>
      </c>
      <c r="AA38" s="1205">
        <v>2092</v>
      </c>
      <c r="AB38" s="1205">
        <v>1080</v>
      </c>
      <c r="AC38" s="1205">
        <v>4412</v>
      </c>
      <c r="AD38" s="1245">
        <v>2098</v>
      </c>
      <c r="AE38" s="1205">
        <v>956</v>
      </c>
      <c r="AF38" s="1205">
        <v>2806</v>
      </c>
      <c r="AG38" s="1205">
        <v>2025</v>
      </c>
      <c r="AH38" s="1245">
        <v>2158</v>
      </c>
      <c r="AI38" s="1205">
        <v>2098</v>
      </c>
      <c r="AJ38" s="1205">
        <v>3205</v>
      </c>
      <c r="AK38" s="1205">
        <v>2536</v>
      </c>
      <c r="AL38" s="1245">
        <v>3150</v>
      </c>
      <c r="AM38" s="1205">
        <v>2605</v>
      </c>
      <c r="AN38" s="1205">
        <v>2930</v>
      </c>
      <c r="AO38" s="1205">
        <v>2786</v>
      </c>
      <c r="AP38" s="1245">
        <v>2489</v>
      </c>
      <c r="AQ38" s="1205">
        <v>3105</v>
      </c>
      <c r="AR38" s="1205">
        <v>2464</v>
      </c>
      <c r="AS38" s="1205">
        <v>1787</v>
      </c>
      <c r="AT38" s="1245">
        <v>2944</v>
      </c>
      <c r="AU38" s="1205">
        <v>3212</v>
      </c>
      <c r="AV38" s="1205">
        <v>4251</v>
      </c>
      <c r="AW38" s="1205">
        <v>3682</v>
      </c>
      <c r="AX38" s="1245">
        <v>4123</v>
      </c>
      <c r="AY38" s="1269">
        <v>6398</v>
      </c>
      <c r="AZ38" s="1269">
        <v>3936</v>
      </c>
      <c r="BA38" s="1269">
        <v>5582</v>
      </c>
      <c r="BB38" s="1269">
        <v>4292</v>
      </c>
      <c r="BC38" s="1198">
        <v>3663</v>
      </c>
      <c r="BD38" s="1245">
        <v>2463</v>
      </c>
      <c r="BE38" s="1245">
        <v>3310</v>
      </c>
      <c r="BF38" s="1245">
        <v>1287</v>
      </c>
      <c r="BG38" s="1265"/>
      <c r="BH38" s="1269">
        <v>452</v>
      </c>
      <c r="BI38" s="1269">
        <v>690</v>
      </c>
      <c r="BJ38" s="1269">
        <v>-238</v>
      </c>
      <c r="BK38" s="1035">
        <v>-0.34492753623188405</v>
      </c>
      <c r="BL38" s="1271"/>
      <c r="BM38" s="1413">
        <v>452</v>
      </c>
      <c r="BN38" s="1413">
        <v>690</v>
      </c>
      <c r="BO38" s="1413">
        <v>2616</v>
      </c>
      <c r="BP38" s="1413">
        <v>8082</v>
      </c>
      <c r="BQ38" s="1413">
        <v>9330</v>
      </c>
      <c r="BR38" s="1413">
        <v>9550</v>
      </c>
      <c r="BS38" s="2223">
        <v>7679</v>
      </c>
      <c r="BT38" s="2223">
        <v>7598</v>
      </c>
      <c r="BU38" s="1367">
        <v>10810</v>
      </c>
      <c r="BV38" s="1367">
        <v>10300</v>
      </c>
      <c r="BW38" s="1367">
        <v>15268</v>
      </c>
      <c r="BX38" s="1367">
        <v>20208</v>
      </c>
      <c r="BY38" s="1367">
        <v>10723</v>
      </c>
      <c r="BZ38" s="1033">
        <v>1239</v>
      </c>
      <c r="CA38" s="1033">
        <v>682</v>
      </c>
      <c r="CB38" s="1033">
        <v>836</v>
      </c>
      <c r="CC38" s="1184"/>
      <c r="CD38" s="1312">
        <v>-641</v>
      </c>
      <c r="CE38" s="2430">
        <v>-0.87928669410150895</v>
      </c>
      <c r="CF38" s="2429">
        <v>746</v>
      </c>
      <c r="CG38" s="2430">
        <v>2.8237311385459534</v>
      </c>
      <c r="CH38" s="2430"/>
      <c r="CI38" s="1312">
        <v>473</v>
      </c>
      <c r="CJ38" s="2432">
        <v>-21</v>
      </c>
      <c r="CK38" s="1145"/>
      <c r="CL38" s="2432">
        <v>-238</v>
      </c>
      <c r="CM38" s="2431">
        <v>-0.34492753623188405</v>
      </c>
      <c r="CN38" s="1146">
        <v>0</v>
      </c>
      <c r="CO38" s="2430">
        <v>0</v>
      </c>
      <c r="CP38" s="1144"/>
      <c r="CQ38" s="1144"/>
    </row>
    <row r="39" spans="1:95" ht="12.75" customHeight="1" x14ac:dyDescent="0.2">
      <c r="A39" s="948"/>
      <c r="B39" s="946" t="s">
        <v>164</v>
      </c>
      <c r="C39" s="1198">
        <v>-1316</v>
      </c>
      <c r="D39" s="1035">
        <v>-1</v>
      </c>
      <c r="E39" s="920"/>
      <c r="F39" s="2015">
        <v>0</v>
      </c>
      <c r="G39" s="1159">
        <v>11754</v>
      </c>
      <c r="H39" s="1205">
        <v>0</v>
      </c>
      <c r="I39" s="1205">
        <v>0</v>
      </c>
      <c r="J39" s="1409">
        <v>1316</v>
      </c>
      <c r="K39" s="1205">
        <v>0</v>
      </c>
      <c r="L39" s="1205">
        <v>0</v>
      </c>
      <c r="M39" s="1205">
        <v>4256</v>
      </c>
      <c r="N39" s="1205">
        <v>448</v>
      </c>
      <c r="O39" s="1396">
        <v>0</v>
      </c>
      <c r="P39" s="1205">
        <v>0</v>
      </c>
      <c r="Q39" s="1205">
        <v>0</v>
      </c>
      <c r="R39" s="1409">
        <v>0</v>
      </c>
      <c r="S39" s="1205">
        <v>7178</v>
      </c>
      <c r="T39" s="1205">
        <v>1632</v>
      </c>
      <c r="U39" s="1205">
        <v>0</v>
      </c>
      <c r="V39" s="1409">
        <v>0</v>
      </c>
      <c r="W39" s="1409">
        <v>20497</v>
      </c>
      <c r="X39" s="1205">
        <v>0</v>
      </c>
      <c r="Y39" s="1205">
        <v>0</v>
      </c>
      <c r="Z39" s="1409">
        <v>0</v>
      </c>
      <c r="AA39" s="1205">
        <v>0</v>
      </c>
      <c r="AB39" s="1205">
        <v>0</v>
      </c>
      <c r="AC39" s="1205">
        <v>5486</v>
      </c>
      <c r="AD39" s="1409">
        <v>0</v>
      </c>
      <c r="AE39" s="1205">
        <v>5561</v>
      </c>
      <c r="AF39" s="1205">
        <v>5276</v>
      </c>
      <c r="AG39" s="1205">
        <v>4395</v>
      </c>
      <c r="AH39" s="1409">
        <v>0</v>
      </c>
      <c r="AI39" s="1205">
        <v>27786</v>
      </c>
      <c r="AJ39" s="1205">
        <v>1292</v>
      </c>
      <c r="AK39" s="1205">
        <v>0</v>
      </c>
      <c r="AL39" s="1409">
        <v>0</v>
      </c>
      <c r="AM39" s="1205">
        <v>0</v>
      </c>
      <c r="AN39" s="1205">
        <v>0</v>
      </c>
      <c r="AO39" s="1205">
        <v>0</v>
      </c>
      <c r="AP39" s="1409">
        <v>0</v>
      </c>
      <c r="AQ39" s="1205">
        <v>0</v>
      </c>
      <c r="AR39" s="1205">
        <v>0</v>
      </c>
      <c r="AS39" s="1205">
        <v>0</v>
      </c>
      <c r="AT39" s="1409">
        <v>0</v>
      </c>
      <c r="AU39" s="1205">
        <v>22</v>
      </c>
      <c r="AV39" s="1205">
        <v>5949</v>
      </c>
      <c r="AW39" s="1205">
        <v>0</v>
      </c>
      <c r="AX39" s="1409">
        <v>0</v>
      </c>
      <c r="AY39" s="1429">
        <v>1000</v>
      </c>
      <c r="AZ39" s="1205">
        <v>0</v>
      </c>
      <c r="BA39" s="1205">
        <v>0</v>
      </c>
      <c r="BB39" s="1205">
        <v>0</v>
      </c>
      <c r="BC39" s="1396">
        <v>0</v>
      </c>
      <c r="BD39" s="1409">
        <v>0</v>
      </c>
      <c r="BE39" s="1245"/>
      <c r="BF39" s="1245"/>
      <c r="BG39" s="1265"/>
      <c r="BH39" s="1269">
        <v>13070</v>
      </c>
      <c r="BI39" s="1269">
        <v>4704</v>
      </c>
      <c r="BJ39" s="1269">
        <v>8366</v>
      </c>
      <c r="BK39" s="1035">
        <v>1.7784863945578231</v>
      </c>
      <c r="BL39" s="1271"/>
      <c r="BM39" s="1413">
        <v>13070</v>
      </c>
      <c r="BN39" s="1413">
        <v>4704</v>
      </c>
      <c r="BO39" s="1413">
        <v>0</v>
      </c>
      <c r="BP39" s="1413">
        <v>8810</v>
      </c>
      <c r="BQ39" s="1413">
        <v>20497</v>
      </c>
      <c r="BR39" s="1413">
        <v>5486</v>
      </c>
      <c r="BS39" s="2223">
        <v>15232</v>
      </c>
      <c r="BT39" s="2223">
        <v>29078</v>
      </c>
      <c r="BU39" s="1389">
        <v>0</v>
      </c>
      <c r="BV39" s="1389">
        <v>0</v>
      </c>
      <c r="BW39" s="1390">
        <v>5971</v>
      </c>
      <c r="BX39" s="1033">
        <v>1000</v>
      </c>
      <c r="BY39" s="1033">
        <v>0</v>
      </c>
      <c r="BZ39" s="1033">
        <v>0</v>
      </c>
      <c r="CA39" s="1033">
        <v>0</v>
      </c>
      <c r="CB39" s="1033">
        <v>0</v>
      </c>
      <c r="CC39" s="1184"/>
      <c r="CD39" s="1312">
        <v>0</v>
      </c>
      <c r="CE39" s="2430" t="e">
        <v>#DIV/0!</v>
      </c>
      <c r="CF39" s="2429">
        <v>-1316</v>
      </c>
      <c r="CG39" s="2430" t="e">
        <v>#DIV/0!</v>
      </c>
      <c r="CH39" s="2430"/>
      <c r="CI39" s="1312">
        <v>4704</v>
      </c>
      <c r="CJ39" s="2432">
        <v>8366</v>
      </c>
      <c r="CK39" s="1145"/>
      <c r="CL39" s="2432">
        <v>8366</v>
      </c>
      <c r="CM39" s="2431">
        <v>1.7784863945578231</v>
      </c>
      <c r="CN39" s="1146">
        <v>0</v>
      </c>
      <c r="CO39" s="2430">
        <v>0</v>
      </c>
      <c r="CP39" s="1144"/>
      <c r="CQ39" s="1144"/>
    </row>
    <row r="40" spans="1:95" ht="12.75" customHeight="1" x14ac:dyDescent="0.2">
      <c r="A40" s="946"/>
      <c r="B40" s="946" t="s">
        <v>185</v>
      </c>
      <c r="C40" s="1198">
        <v>-996</v>
      </c>
      <c r="D40" s="1035">
        <v>-0.84910485933503832</v>
      </c>
      <c r="E40" s="920"/>
      <c r="F40" s="2015">
        <v>177</v>
      </c>
      <c r="G40" s="1159">
        <v>803</v>
      </c>
      <c r="H40" s="1159">
        <v>0</v>
      </c>
      <c r="I40" s="1159">
        <v>0</v>
      </c>
      <c r="J40" s="1409">
        <v>1173</v>
      </c>
      <c r="K40" s="1205">
        <v>0</v>
      </c>
      <c r="L40" s="1205">
        <v>0</v>
      </c>
      <c r="M40" s="1205">
        <v>0</v>
      </c>
      <c r="N40" s="1205">
        <v>0</v>
      </c>
      <c r="O40" s="1396">
        <v>0</v>
      </c>
      <c r="P40" s="1205">
        <v>0</v>
      </c>
      <c r="Q40" s="1205">
        <v>0</v>
      </c>
      <c r="R40" s="1409">
        <v>0</v>
      </c>
      <c r="S40" s="1205">
        <v>0</v>
      </c>
      <c r="T40" s="1205">
        <v>0</v>
      </c>
      <c r="U40" s="1205">
        <v>0</v>
      </c>
      <c r="V40" s="1409">
        <v>0</v>
      </c>
      <c r="W40" s="1409" t="e">
        <v>#REF!</v>
      </c>
      <c r="X40" s="1205" t="e">
        <v>#REF!</v>
      </c>
      <c r="Y40" s="1205">
        <v>0</v>
      </c>
      <c r="Z40" s="1409">
        <v>0</v>
      </c>
      <c r="AA40" s="1205">
        <v>0</v>
      </c>
      <c r="AB40" s="1205">
        <v>0</v>
      </c>
      <c r="AC40" s="1205">
        <v>0</v>
      </c>
      <c r="AD40" s="1409">
        <v>0</v>
      </c>
      <c r="AE40" s="1205">
        <v>0</v>
      </c>
      <c r="AF40" s="1205">
        <v>0</v>
      </c>
      <c r="AG40" s="1205">
        <v>388</v>
      </c>
      <c r="AH40" s="1409">
        <v>0</v>
      </c>
      <c r="AI40" s="1205">
        <v>6323</v>
      </c>
      <c r="AJ40" s="1205">
        <v>2700</v>
      </c>
      <c r="AK40" s="1205">
        <v>1443</v>
      </c>
      <c r="AL40" s="1409">
        <v>0</v>
      </c>
      <c r="AM40" s="1205">
        <v>0</v>
      </c>
      <c r="AN40" s="1205">
        <v>1750</v>
      </c>
      <c r="AO40" s="1205">
        <v>0</v>
      </c>
      <c r="AP40" s="1409">
        <v>10990</v>
      </c>
      <c r="AQ40" s="1205">
        <v>5000</v>
      </c>
      <c r="AR40" s="1205">
        <v>0</v>
      </c>
      <c r="AS40" s="1205">
        <v>0</v>
      </c>
      <c r="AT40" s="1409">
        <v>0</v>
      </c>
      <c r="AU40" s="1205">
        <v>0</v>
      </c>
      <c r="AV40" s="1205">
        <v>0</v>
      </c>
      <c r="AW40" s="1205">
        <v>0</v>
      </c>
      <c r="AX40" s="1409">
        <v>0</v>
      </c>
      <c r="AY40" s="1396">
        <v>0</v>
      </c>
      <c r="AZ40" s="1205"/>
      <c r="BA40" s="1205"/>
      <c r="BB40" s="1205"/>
      <c r="BC40" s="1396"/>
      <c r="BD40" s="1409"/>
      <c r="BE40" s="1409"/>
      <c r="BF40" s="1409"/>
      <c r="BG40" s="1265"/>
      <c r="BH40" s="1269">
        <v>1976</v>
      </c>
      <c r="BI40" s="1269">
        <v>0</v>
      </c>
      <c r="BJ40" s="1269">
        <v>1976</v>
      </c>
      <c r="BK40" s="1409" t="s">
        <v>41</v>
      </c>
      <c r="BL40" s="1198"/>
      <c r="BM40" s="1413">
        <v>1976</v>
      </c>
      <c r="BN40" s="1413">
        <v>0</v>
      </c>
      <c r="BO40" s="1413">
        <v>0</v>
      </c>
      <c r="BP40" s="1413">
        <v>0</v>
      </c>
      <c r="BQ40" s="1413">
        <v>0</v>
      </c>
      <c r="BR40" s="1413">
        <v>0</v>
      </c>
      <c r="BS40" s="2015">
        <v>388</v>
      </c>
      <c r="BT40" s="2015" t="e">
        <v>#REF!</v>
      </c>
      <c r="BU40" s="1367">
        <v>12740</v>
      </c>
      <c r="BV40" s="1390">
        <v>5000</v>
      </c>
      <c r="BW40" s="1389">
        <v>0</v>
      </c>
      <c r="BX40" s="1389">
        <v>0</v>
      </c>
      <c r="BY40" s="1389">
        <v>0</v>
      </c>
      <c r="BZ40" s="1389">
        <v>0</v>
      </c>
      <c r="CA40" s="1389"/>
      <c r="CB40" s="1389"/>
      <c r="CC40" s="1184"/>
      <c r="CD40" s="1312">
        <v>0</v>
      </c>
      <c r="CE40" s="2430" t="e">
        <v>#DIV/0!</v>
      </c>
      <c r="CF40" s="2429">
        <v>-996</v>
      </c>
      <c r="CG40" s="2430" t="e">
        <v>#DIV/0!</v>
      </c>
      <c r="CH40" s="2430"/>
      <c r="CI40" s="1312">
        <v>0</v>
      </c>
      <c r="CJ40" s="2432">
        <v>1976</v>
      </c>
      <c r="CK40" s="1145"/>
      <c r="CL40" s="2432">
        <v>1976</v>
      </c>
      <c r="CM40" s="2431" t="e">
        <v>#DIV/0!</v>
      </c>
      <c r="CN40" s="1146">
        <v>0</v>
      </c>
      <c r="CO40" s="2430" t="e">
        <v>#VALUE!</v>
      </c>
      <c r="CP40" s="1144"/>
      <c r="CQ40" s="1144"/>
    </row>
    <row r="41" spans="1:95" hidden="1" x14ac:dyDescent="0.2">
      <c r="A41" s="946"/>
      <c r="B41" s="1201" t="s">
        <v>71</v>
      </c>
      <c r="C41" s="1198">
        <v>0</v>
      </c>
      <c r="D41" s="1035" t="e">
        <v>#DIV/0!</v>
      </c>
      <c r="E41" s="920"/>
      <c r="F41" s="2015"/>
      <c r="G41" s="1159"/>
      <c r="H41" s="1205"/>
      <c r="I41" s="1205"/>
      <c r="J41" s="1409"/>
      <c r="K41" s="1205"/>
      <c r="L41" s="1205"/>
      <c r="M41" s="1205"/>
      <c r="N41" s="1205"/>
      <c r="O41" s="1396"/>
      <c r="P41" s="1205"/>
      <c r="Q41" s="1269"/>
      <c r="R41" s="1409"/>
      <c r="S41" s="1269"/>
      <c r="T41" s="1269"/>
      <c r="U41" s="1269"/>
      <c r="V41" s="1245"/>
      <c r="W41" s="1245"/>
      <c r="X41" s="1269"/>
      <c r="Y41" s="1269"/>
      <c r="Z41" s="1409"/>
      <c r="AA41" s="1269"/>
      <c r="AB41" s="1269"/>
      <c r="AC41" s="1269">
        <v>0</v>
      </c>
      <c r="AD41" s="1409">
        <v>0</v>
      </c>
      <c r="AE41" s="1269">
        <v>0</v>
      </c>
      <c r="AF41" s="1269">
        <v>0</v>
      </c>
      <c r="AG41" s="1269">
        <v>0</v>
      </c>
      <c r="AH41" s="1409">
        <v>0</v>
      </c>
      <c r="AI41" s="1269">
        <v>0</v>
      </c>
      <c r="AJ41" s="1269">
        <v>0</v>
      </c>
      <c r="AK41" s="1269">
        <v>0</v>
      </c>
      <c r="AL41" s="1409">
        <v>0</v>
      </c>
      <c r="AM41" s="1269">
        <v>0</v>
      </c>
      <c r="AN41" s="1269">
        <v>0</v>
      </c>
      <c r="AO41" s="1269">
        <v>0</v>
      </c>
      <c r="AP41" s="1409">
        <v>0</v>
      </c>
      <c r="AQ41" s="1269">
        <v>0</v>
      </c>
      <c r="AR41" s="1269">
        <v>0</v>
      </c>
      <c r="AS41" s="1269">
        <v>0</v>
      </c>
      <c r="AT41" s="1409">
        <v>0</v>
      </c>
      <c r="AU41" s="1269">
        <v>0</v>
      </c>
      <c r="AV41" s="1269">
        <v>0</v>
      </c>
      <c r="AW41" s="1269">
        <v>0</v>
      </c>
      <c r="AX41" s="1409">
        <v>0</v>
      </c>
      <c r="AY41" s="1269">
        <v>983</v>
      </c>
      <c r="AZ41" s="1269">
        <v>1101</v>
      </c>
      <c r="BA41" s="1269">
        <v>1146</v>
      </c>
      <c r="BB41" s="1269">
        <v>0</v>
      </c>
      <c r="BC41" s="1198">
        <v>0</v>
      </c>
      <c r="BD41" s="1245">
        <v>0</v>
      </c>
      <c r="BE41" s="1245">
        <v>0</v>
      </c>
      <c r="BF41" s="1245">
        <v>0</v>
      </c>
      <c r="BG41" s="1265"/>
      <c r="BH41" s="1269">
        <v>0</v>
      </c>
      <c r="BI41" s="1269">
        <v>0</v>
      </c>
      <c r="BJ41" s="1269">
        <v>0</v>
      </c>
      <c r="BK41" s="1409" t="s">
        <v>41</v>
      </c>
      <c r="BL41" s="1198"/>
      <c r="BM41" s="1413">
        <v>0</v>
      </c>
      <c r="BN41" s="1413">
        <v>0</v>
      </c>
      <c r="BO41" s="1413">
        <v>0</v>
      </c>
      <c r="BP41" s="1413"/>
      <c r="BQ41" s="1413"/>
      <c r="BR41" s="1413"/>
      <c r="BS41" s="2015"/>
      <c r="BT41" s="2015"/>
      <c r="BU41" s="1389">
        <v>0</v>
      </c>
      <c r="BV41" s="1389">
        <v>0</v>
      </c>
      <c r="BW41" s="1389">
        <v>0</v>
      </c>
      <c r="BX41" s="1367">
        <v>3230</v>
      </c>
      <c r="BY41" s="1389">
        <v>0</v>
      </c>
      <c r="BZ41" s="1033">
        <v>0</v>
      </c>
      <c r="CA41" s="1033">
        <v>0</v>
      </c>
      <c r="CB41" s="1033">
        <v>0</v>
      </c>
      <c r="CC41" s="1184"/>
      <c r="CD41" s="1312">
        <v>0</v>
      </c>
      <c r="CE41" s="2430" t="e">
        <v>#DIV/0!</v>
      </c>
      <c r="CF41" s="2429">
        <v>0</v>
      </c>
      <c r="CG41" s="2430" t="e">
        <v>#DIV/0!</v>
      </c>
      <c r="CH41" s="2430"/>
      <c r="CI41" s="1312">
        <v>0</v>
      </c>
      <c r="CJ41" s="2432">
        <v>0</v>
      </c>
      <c r="CK41" s="1145"/>
      <c r="CL41" s="2432">
        <v>0</v>
      </c>
      <c r="CM41" s="2431" t="e">
        <v>#DIV/0!</v>
      </c>
      <c r="CN41" s="1146">
        <v>0</v>
      </c>
      <c r="CO41" s="2430" t="e">
        <v>#VALUE!</v>
      </c>
      <c r="CP41" s="1144"/>
      <c r="CQ41" s="1144"/>
    </row>
    <row r="42" spans="1:95" ht="13.5" x14ac:dyDescent="0.2">
      <c r="A42" s="946"/>
      <c r="B42" s="1201" t="s">
        <v>621</v>
      </c>
      <c r="C42" s="1198">
        <v>0</v>
      </c>
      <c r="D42" s="1035">
        <v>0</v>
      </c>
      <c r="E42" s="920"/>
      <c r="F42" s="2015">
        <v>0</v>
      </c>
      <c r="G42" s="1159">
        <v>0</v>
      </c>
      <c r="H42" s="1205">
        <v>0</v>
      </c>
      <c r="I42" s="1205">
        <v>0</v>
      </c>
      <c r="J42" s="1409">
        <v>0</v>
      </c>
      <c r="K42" s="1205">
        <v>42399</v>
      </c>
      <c r="L42" s="1205"/>
      <c r="M42" s="1205"/>
      <c r="N42" s="1205"/>
      <c r="O42" s="1396"/>
      <c r="P42" s="1205"/>
      <c r="Q42" s="1269"/>
      <c r="R42" s="1409"/>
      <c r="S42" s="1269"/>
      <c r="T42" s="1269"/>
      <c r="U42" s="1269"/>
      <c r="V42" s="1245"/>
      <c r="W42" s="1245"/>
      <c r="X42" s="1269"/>
      <c r="Y42" s="1269"/>
      <c r="Z42" s="1409"/>
      <c r="AA42" s="1269"/>
      <c r="AB42" s="1269"/>
      <c r="AC42" s="1269"/>
      <c r="AD42" s="1409"/>
      <c r="AE42" s="1269"/>
      <c r="AF42" s="1269"/>
      <c r="AG42" s="1269"/>
      <c r="AH42" s="1409"/>
      <c r="AI42" s="1269"/>
      <c r="AJ42" s="1269"/>
      <c r="AK42" s="1269"/>
      <c r="AL42" s="1409"/>
      <c r="AM42" s="1269"/>
      <c r="AN42" s="1269"/>
      <c r="AO42" s="1269"/>
      <c r="AP42" s="1409"/>
      <c r="AQ42" s="1269"/>
      <c r="AR42" s="1269"/>
      <c r="AS42" s="1269"/>
      <c r="AT42" s="1409"/>
      <c r="AU42" s="1269"/>
      <c r="AV42" s="1269"/>
      <c r="AW42" s="1269"/>
      <c r="AX42" s="1409"/>
      <c r="AY42" s="1269"/>
      <c r="AZ42" s="1269"/>
      <c r="BA42" s="1269"/>
      <c r="BB42" s="1269"/>
      <c r="BC42" s="1198"/>
      <c r="BD42" s="1245"/>
      <c r="BE42" s="1245"/>
      <c r="BF42" s="1245"/>
      <c r="BG42" s="1265"/>
      <c r="BH42" s="1269">
        <v>0</v>
      </c>
      <c r="BI42" s="1269">
        <v>42399</v>
      </c>
      <c r="BJ42" s="1269">
        <v>-42399</v>
      </c>
      <c r="BK42" s="1409">
        <v>0</v>
      </c>
      <c r="BL42" s="1269"/>
      <c r="BM42" s="1413">
        <v>0</v>
      </c>
      <c r="BN42" s="1413">
        <v>42399</v>
      </c>
      <c r="BO42" s="1413">
        <v>0</v>
      </c>
      <c r="BP42" s="1413">
        <v>0</v>
      </c>
      <c r="BQ42" s="1413">
        <v>0</v>
      </c>
      <c r="BR42" s="1413">
        <v>0</v>
      </c>
      <c r="BS42" s="2015"/>
      <c r="BT42" s="2015"/>
      <c r="BU42" s="1389"/>
      <c r="BV42" s="1389"/>
      <c r="BW42" s="1389"/>
      <c r="BX42" s="1367"/>
      <c r="BY42" s="1389"/>
      <c r="BZ42" s="1033"/>
      <c r="CA42" s="1033"/>
      <c r="CB42" s="1033"/>
      <c r="CC42" s="1184"/>
      <c r="CD42" s="1312"/>
      <c r="CE42" s="2430"/>
      <c r="CF42" s="2429"/>
      <c r="CG42" s="2430"/>
      <c r="CH42" s="2430"/>
      <c r="CI42" s="1312"/>
      <c r="CJ42" s="2432"/>
      <c r="CK42" s="1145"/>
      <c r="CL42" s="2432"/>
      <c r="CM42" s="2431"/>
      <c r="CN42" s="1146"/>
      <c r="CO42" s="2430"/>
      <c r="CP42" s="1144"/>
      <c r="CQ42" s="1144"/>
    </row>
    <row r="43" spans="1:95" x14ac:dyDescent="0.2">
      <c r="A43" s="946"/>
      <c r="B43" s="946" t="s">
        <v>380</v>
      </c>
      <c r="C43" s="1198">
        <v>0</v>
      </c>
      <c r="D43" s="1035">
        <v>0</v>
      </c>
      <c r="E43" s="920"/>
      <c r="F43" s="2015">
        <v>0</v>
      </c>
      <c r="G43" s="1159">
        <v>0</v>
      </c>
      <c r="H43" s="1205">
        <v>0</v>
      </c>
      <c r="I43" s="1205">
        <v>0</v>
      </c>
      <c r="J43" s="1409">
        <v>0</v>
      </c>
      <c r="K43" s="1205">
        <v>0</v>
      </c>
      <c r="L43" s="1205">
        <v>0</v>
      </c>
      <c r="M43" s="1205">
        <v>0</v>
      </c>
      <c r="N43" s="1205">
        <v>0</v>
      </c>
      <c r="O43" s="1396">
        <v>0</v>
      </c>
      <c r="P43" s="1205">
        <v>0</v>
      </c>
      <c r="Q43" s="1205">
        <v>0</v>
      </c>
      <c r="R43" s="1409">
        <v>0</v>
      </c>
      <c r="S43" s="1205">
        <v>0</v>
      </c>
      <c r="T43" s="1205">
        <v>295157</v>
      </c>
      <c r="U43" s="1205">
        <v>0</v>
      </c>
      <c r="V43" s="1409">
        <v>0</v>
      </c>
      <c r="W43" s="1409">
        <v>0</v>
      </c>
      <c r="X43" s="1205">
        <v>0</v>
      </c>
      <c r="Y43" s="1205">
        <v>0</v>
      </c>
      <c r="Z43" s="1409">
        <v>0</v>
      </c>
      <c r="AA43" s="1205">
        <v>0</v>
      </c>
      <c r="AB43" s="1205">
        <v>0</v>
      </c>
      <c r="AC43" s="1205">
        <v>0</v>
      </c>
      <c r="AD43" s="1409">
        <v>0</v>
      </c>
      <c r="AE43" s="1205">
        <v>0</v>
      </c>
      <c r="AF43" s="1205"/>
      <c r="AG43" s="1205"/>
      <c r="AH43" s="1409"/>
      <c r="AI43" s="1205"/>
      <c r="AJ43" s="1205">
        <v>0</v>
      </c>
      <c r="AK43" s="1205">
        <v>0</v>
      </c>
      <c r="AL43" s="1409">
        <v>0</v>
      </c>
      <c r="AM43" s="1205">
        <v>0</v>
      </c>
      <c r="AN43" s="1205">
        <v>0</v>
      </c>
      <c r="AO43" s="1205">
        <v>0</v>
      </c>
      <c r="AP43" s="1409">
        <v>0</v>
      </c>
      <c r="AQ43" s="1205">
        <v>0</v>
      </c>
      <c r="AR43" s="1205">
        <v>0</v>
      </c>
      <c r="AS43" s="1205">
        <v>0</v>
      </c>
      <c r="AT43" s="1409">
        <v>0</v>
      </c>
      <c r="AU43" s="1205">
        <v>0</v>
      </c>
      <c r="AV43" s="1205">
        <v>31524</v>
      </c>
      <c r="AW43" s="1205">
        <v>0</v>
      </c>
      <c r="AX43" s="1409">
        <v>0</v>
      </c>
      <c r="AY43" s="1396">
        <v>0</v>
      </c>
      <c r="AZ43" s="1205">
        <v>0</v>
      </c>
      <c r="BA43" s="1205">
        <v>0</v>
      </c>
      <c r="BB43" s="1205">
        <v>0</v>
      </c>
      <c r="BC43" s="1396">
        <v>0</v>
      </c>
      <c r="BD43" s="1409">
        <v>0</v>
      </c>
      <c r="BE43" s="1409"/>
      <c r="BF43" s="1409"/>
      <c r="BG43" s="1265"/>
      <c r="BH43" s="1269">
        <v>0</v>
      </c>
      <c r="BI43" s="1269">
        <v>0</v>
      </c>
      <c r="BJ43" s="1269">
        <v>0</v>
      </c>
      <c r="BK43" s="1409">
        <v>0</v>
      </c>
      <c r="BL43" s="1269"/>
      <c r="BM43" s="1413">
        <v>0</v>
      </c>
      <c r="BN43" s="1477">
        <v>0</v>
      </c>
      <c r="BO43" s="1477">
        <v>0</v>
      </c>
      <c r="BP43" s="1477">
        <v>295157</v>
      </c>
      <c r="BQ43" s="1477">
        <v>0</v>
      </c>
      <c r="BR43" s="1413">
        <v>0</v>
      </c>
      <c r="BS43" s="2017">
        <v>0</v>
      </c>
      <c r="BT43" s="2017">
        <v>438</v>
      </c>
      <c r="BU43" s="1389">
        <v>0</v>
      </c>
      <c r="BV43" s="1389"/>
      <c r="BW43" s="1390">
        <v>31524</v>
      </c>
      <c r="BX43" s="1389">
        <v>0</v>
      </c>
      <c r="BY43" s="1389">
        <v>0</v>
      </c>
      <c r="BZ43" s="1389">
        <v>0</v>
      </c>
      <c r="CA43" s="1389">
        <v>0</v>
      </c>
      <c r="CB43" s="1389">
        <v>0</v>
      </c>
      <c r="CC43" s="1184"/>
      <c r="CD43" s="1312">
        <v>0</v>
      </c>
      <c r="CE43" s="2430" t="e">
        <v>#DIV/0!</v>
      </c>
      <c r="CF43" s="2429">
        <v>0</v>
      </c>
      <c r="CG43" s="2430" t="e">
        <v>#DIV/0!</v>
      </c>
      <c r="CH43" s="2430"/>
      <c r="CI43" s="1312">
        <v>0</v>
      </c>
      <c r="CJ43" s="2432">
        <v>0</v>
      </c>
      <c r="CK43" s="1145"/>
      <c r="CL43" s="2432">
        <v>0</v>
      </c>
      <c r="CM43" s="2431" t="e">
        <v>#DIV/0!</v>
      </c>
      <c r="CN43" s="1146">
        <v>0</v>
      </c>
      <c r="CO43" s="2430" t="e">
        <v>#DIV/0!</v>
      </c>
      <c r="CP43" s="1144"/>
      <c r="CQ43" s="1144"/>
    </row>
    <row r="44" spans="1:95" ht="12.75" customHeight="1" x14ac:dyDescent="0.2">
      <c r="A44" s="948"/>
      <c r="B44" s="946"/>
      <c r="C44" s="1195">
        <v>25387</v>
      </c>
      <c r="D44" s="1190">
        <v>0.17950349645405114</v>
      </c>
      <c r="E44" s="920"/>
      <c r="F44" s="2012">
        <v>166816</v>
      </c>
      <c r="G44" s="2247">
        <v>156573</v>
      </c>
      <c r="H44" s="1276">
        <v>173203</v>
      </c>
      <c r="I44" s="1276">
        <v>150057</v>
      </c>
      <c r="J44" s="1277">
        <v>141429</v>
      </c>
      <c r="K44" s="2247">
        <v>202879</v>
      </c>
      <c r="L44" s="1276">
        <v>157813</v>
      </c>
      <c r="M44" s="1276">
        <v>121668</v>
      </c>
      <c r="N44" s="1277">
        <v>124278</v>
      </c>
      <c r="O44" s="1195">
        <v>151869</v>
      </c>
      <c r="P44" s="1276">
        <v>126499</v>
      </c>
      <c r="Q44" s="1276">
        <v>125937</v>
      </c>
      <c r="R44" s="1277">
        <v>127945</v>
      </c>
      <c r="S44" s="1276">
        <v>142835</v>
      </c>
      <c r="T44" s="1276">
        <v>432856</v>
      </c>
      <c r="U44" s="1276">
        <v>121253</v>
      </c>
      <c r="V44" s="1277">
        <v>129300</v>
      </c>
      <c r="W44" s="1277" t="e">
        <v>#REF!</v>
      </c>
      <c r="X44" s="1276" t="e">
        <v>#REF!</v>
      </c>
      <c r="Y44" s="1276">
        <v>141959</v>
      </c>
      <c r="Z44" s="1277">
        <v>149776</v>
      </c>
      <c r="AA44" s="1276">
        <v>149797</v>
      </c>
      <c r="AB44" s="1276">
        <v>141170</v>
      </c>
      <c r="AC44" s="1276">
        <v>124884</v>
      </c>
      <c r="AD44" s="1277">
        <v>117011</v>
      </c>
      <c r="AE44" s="1276">
        <v>141520</v>
      </c>
      <c r="AF44" s="1276">
        <v>145199</v>
      </c>
      <c r="AG44" s="1276">
        <v>126083</v>
      </c>
      <c r="AH44" s="1277">
        <v>121025</v>
      </c>
      <c r="AI44" s="1276">
        <v>139001</v>
      </c>
      <c r="AJ44" s="1276">
        <v>83160</v>
      </c>
      <c r="AK44" s="1276">
        <v>72012</v>
      </c>
      <c r="AL44" s="1277">
        <v>80971</v>
      </c>
      <c r="AM44" s="1276">
        <v>108607</v>
      </c>
      <c r="AN44" s="1276">
        <v>118296</v>
      </c>
      <c r="AO44" s="1276">
        <v>77614</v>
      </c>
      <c r="AP44" s="1277">
        <v>86565</v>
      </c>
      <c r="AQ44" s="1276">
        <v>71336</v>
      </c>
      <c r="AR44" s="1276">
        <v>88110</v>
      </c>
      <c r="AS44" s="1276">
        <v>64018</v>
      </c>
      <c r="AT44" s="1277">
        <v>69132</v>
      </c>
      <c r="AU44" s="1276">
        <v>54540</v>
      </c>
      <c r="AV44" s="1276">
        <v>95770</v>
      </c>
      <c r="AW44" s="1276">
        <v>63150</v>
      </c>
      <c r="AX44" s="1277">
        <v>85020</v>
      </c>
      <c r="AY44" s="1276">
        <v>75141</v>
      </c>
      <c r="AZ44" s="1455">
        <v>87449</v>
      </c>
      <c r="BA44" s="1277">
        <v>74128</v>
      </c>
      <c r="BB44" s="1455">
        <v>106349</v>
      </c>
      <c r="BC44" s="2778">
        <v>100905</v>
      </c>
      <c r="BD44" s="1780">
        <v>75317</v>
      </c>
      <c r="BE44" s="1780">
        <v>70703</v>
      </c>
      <c r="BF44" s="1455">
        <v>91522</v>
      </c>
      <c r="BG44" s="1265"/>
      <c r="BH44" s="1276">
        <v>621262</v>
      </c>
      <c r="BI44" s="1276">
        <v>606638</v>
      </c>
      <c r="BJ44" s="1276">
        <v>14624</v>
      </c>
      <c r="BK44" s="1190">
        <v>2.4106633610159602E-2</v>
      </c>
      <c r="BL44" s="1269"/>
      <c r="BM44" s="1403">
        <v>621262</v>
      </c>
      <c r="BN44" s="1268">
        <v>606638</v>
      </c>
      <c r="BO44" s="1268">
        <v>532250</v>
      </c>
      <c r="BP44" s="1268">
        <v>826244</v>
      </c>
      <c r="BQ44" s="1393">
        <v>572309</v>
      </c>
      <c r="BR44" s="1403">
        <v>519230</v>
      </c>
      <c r="BS44" s="1393">
        <v>520452</v>
      </c>
      <c r="BT44" s="1393" t="e">
        <v>#REF!</v>
      </c>
      <c r="BU44" s="1393">
        <v>391082</v>
      </c>
      <c r="BV44" s="1393">
        <v>292596</v>
      </c>
      <c r="BW44" s="1394">
        <v>298480</v>
      </c>
      <c r="BX44" s="1386">
        <v>343067</v>
      </c>
      <c r="BY44" s="1386">
        <v>338447</v>
      </c>
      <c r="BZ44" s="1244">
        <v>231683</v>
      </c>
      <c r="CA44" s="1244">
        <v>173735</v>
      </c>
      <c r="CB44" s="1244">
        <v>154490</v>
      </c>
      <c r="CC44" s="1184"/>
      <c r="CD44" s="1183"/>
      <c r="CE44" s="1145"/>
      <c r="CF44" s="1145"/>
      <c r="CG44" s="1145"/>
      <c r="CH44" s="1145"/>
      <c r="CI44" s="1144"/>
      <c r="CJ44" s="1144"/>
      <c r="CK44" s="1144"/>
      <c r="CL44" s="1144"/>
      <c r="CM44" s="1144"/>
      <c r="CN44" s="1144"/>
      <c r="CO44" s="1144"/>
      <c r="CP44" s="1144"/>
      <c r="CQ44" s="1144"/>
    </row>
    <row r="45" spans="1:95" s="2304" customFormat="1" ht="21.75" customHeight="1" thickBot="1" x14ac:dyDescent="0.25">
      <c r="A45" s="2246" t="s">
        <v>630</v>
      </c>
      <c r="B45" s="1059"/>
      <c r="C45" s="1195">
        <v>8461</v>
      </c>
      <c r="D45" s="1190">
        <v>0.57304436166610229</v>
      </c>
      <c r="E45" s="920"/>
      <c r="F45" s="2036">
        <v>23226</v>
      </c>
      <c r="G45" s="1320">
        <v>3530</v>
      </c>
      <c r="H45" s="1395">
        <v>36184</v>
      </c>
      <c r="I45" s="1395">
        <v>28666</v>
      </c>
      <c r="J45" s="1400">
        <v>14765</v>
      </c>
      <c r="K45" s="1395">
        <v>-2209</v>
      </c>
      <c r="L45" s="1395">
        <v>38407</v>
      </c>
      <c r="M45" s="1395">
        <v>-2788</v>
      </c>
      <c r="N45" s="1395">
        <v>-2520</v>
      </c>
      <c r="O45" s="1401">
        <v>41631</v>
      </c>
      <c r="P45" s="1395">
        <v>10755</v>
      </c>
      <c r="Q45" s="1395">
        <v>1068</v>
      </c>
      <c r="R45" s="1400">
        <v>10423</v>
      </c>
      <c r="S45" s="1395">
        <v>-6179</v>
      </c>
      <c r="T45" s="1395">
        <v>-311968</v>
      </c>
      <c r="U45" s="1395">
        <v>2981</v>
      </c>
      <c r="V45" s="1400">
        <v>14348</v>
      </c>
      <c r="W45" s="1409" t="e">
        <v>#REF!</v>
      </c>
      <c r="X45" s="1395" t="e">
        <v>#REF!</v>
      </c>
      <c r="Y45" s="1395">
        <v>28656</v>
      </c>
      <c r="Z45" s="1409">
        <v>29469</v>
      </c>
      <c r="AA45" s="1205">
        <v>36862</v>
      </c>
      <c r="AB45" s="1395">
        <v>30064</v>
      </c>
      <c r="AC45" s="1395">
        <v>-6684</v>
      </c>
      <c r="AD45" s="1424">
        <v>9331</v>
      </c>
      <c r="AE45" s="1401">
        <v>6052</v>
      </c>
      <c r="AF45" s="1395">
        <v>13128</v>
      </c>
      <c r="AG45" s="1395">
        <v>-12130</v>
      </c>
      <c r="AH45" s="1400">
        <v>-25131</v>
      </c>
      <c r="AI45" s="1401">
        <v>-29647</v>
      </c>
      <c r="AJ45" s="1395">
        <v>3727</v>
      </c>
      <c r="AK45" s="1395">
        <v>-2393</v>
      </c>
      <c r="AL45" s="1400">
        <v>16154</v>
      </c>
      <c r="AM45" s="1205">
        <v>54561</v>
      </c>
      <c r="AN45" s="1205">
        <v>59046</v>
      </c>
      <c r="AO45" s="1205">
        <v>18988</v>
      </c>
      <c r="AP45" s="1424">
        <v>13133</v>
      </c>
      <c r="AQ45" s="1205">
        <v>12160</v>
      </c>
      <c r="AR45" s="1205">
        <v>27980</v>
      </c>
      <c r="AS45" s="1205">
        <v>14457</v>
      </c>
      <c r="AT45" s="1205">
        <v>16365</v>
      </c>
      <c r="AU45" s="1396">
        <v>10432</v>
      </c>
      <c r="AV45" s="1205">
        <v>-46520</v>
      </c>
      <c r="AW45" s="1205">
        <v>-4814</v>
      </c>
      <c r="AX45" s="1205">
        <v>19773</v>
      </c>
      <c r="AY45" s="1396">
        <v>2824</v>
      </c>
      <c r="AZ45" s="1395">
        <v>22134</v>
      </c>
      <c r="BA45" s="1400">
        <v>14943</v>
      </c>
      <c r="BB45" s="1395">
        <v>48674</v>
      </c>
      <c r="BC45" s="1395">
        <v>29246</v>
      </c>
      <c r="BD45" s="1395">
        <v>26110</v>
      </c>
      <c r="BE45" s="1395">
        <v>22330</v>
      </c>
      <c r="BF45" s="1395">
        <v>33584</v>
      </c>
      <c r="BG45" s="1265"/>
      <c r="BH45" s="1395">
        <v>83145</v>
      </c>
      <c r="BI45" s="1395">
        <v>30890</v>
      </c>
      <c r="BJ45" s="1276">
        <v>52255</v>
      </c>
      <c r="BK45" s="1190">
        <v>1.6916477824538685</v>
      </c>
      <c r="BL45" s="2793"/>
      <c r="BM45" s="1413">
        <v>83145</v>
      </c>
      <c r="BN45" s="1403">
        <v>30890</v>
      </c>
      <c r="BO45" s="1403">
        <v>63877</v>
      </c>
      <c r="BP45" s="1403">
        <v>-300818</v>
      </c>
      <c r="BQ45" s="1403">
        <v>32798</v>
      </c>
      <c r="BR45" s="1403">
        <v>86214</v>
      </c>
      <c r="BS45" s="1403">
        <v>11013</v>
      </c>
      <c r="BT45" s="1403" t="e">
        <v>#REF!</v>
      </c>
      <c r="BU45" s="1403">
        <v>147562</v>
      </c>
      <c r="BV45" s="1403">
        <v>65068</v>
      </c>
      <c r="BW45" s="1386">
        <v>-21474</v>
      </c>
      <c r="BX45" s="1386">
        <v>87478</v>
      </c>
      <c r="BY45" s="1386">
        <v>111270</v>
      </c>
      <c r="BZ45" s="1038">
        <v>101983</v>
      </c>
      <c r="CA45" s="1009">
        <v>65919</v>
      </c>
      <c r="CB45" s="1404">
        <v>57268</v>
      </c>
      <c r="CC45" s="1405"/>
      <c r="CD45" s="1312">
        <v>27652</v>
      </c>
      <c r="CE45" s="2430">
        <v>2.5710832171083218</v>
      </c>
      <c r="CF45" s="2429">
        <v>-19191</v>
      </c>
      <c r="CG45" s="2430">
        <v>-1.9980388554422195</v>
      </c>
      <c r="CH45" s="2430"/>
      <c r="CI45" s="1312">
        <v>33099</v>
      </c>
      <c r="CJ45" s="2432">
        <v>50046</v>
      </c>
      <c r="CK45" s="1145"/>
      <c r="CL45" s="2432">
        <v>52255</v>
      </c>
      <c r="CM45" s="2431">
        <v>1.6916477824538685</v>
      </c>
      <c r="CN45" s="1146">
        <v>0</v>
      </c>
      <c r="CO45" s="2430">
        <v>0</v>
      </c>
      <c r="CP45" s="1171"/>
      <c r="CQ45" s="1171"/>
    </row>
    <row r="46" spans="1:95" s="1819" customFormat="1" ht="10.5" customHeight="1" thickTop="1" x14ac:dyDescent="0.2">
      <c r="A46" s="1340"/>
      <c r="B46" s="2464"/>
      <c r="C46" s="2778"/>
      <c r="D46" s="1210"/>
      <c r="E46" s="920"/>
      <c r="F46" s="2964"/>
      <c r="G46" s="2224"/>
      <c r="H46" s="1407"/>
      <c r="I46" s="1407"/>
      <c r="J46" s="1424"/>
      <c r="K46" s="1407"/>
      <c r="L46" s="1407"/>
      <c r="M46" s="1407"/>
      <c r="N46" s="1407"/>
      <c r="O46" s="1408"/>
      <c r="P46" s="1407"/>
      <c r="Q46" s="1407"/>
      <c r="R46" s="1424"/>
      <c r="S46" s="1407"/>
      <c r="T46" s="1407"/>
      <c r="U46" s="1407"/>
      <c r="V46" s="1424"/>
      <c r="W46" s="1424"/>
      <c r="X46" s="1424"/>
      <c r="Y46" s="1407"/>
      <c r="Z46" s="1424"/>
      <c r="AA46" s="1407"/>
      <c r="AB46" s="1407"/>
      <c r="AC46" s="1407"/>
      <c r="AD46" s="1424"/>
      <c r="AE46" s="1396"/>
      <c r="AF46" s="1205"/>
      <c r="AG46" s="1205"/>
      <c r="AH46" s="1409"/>
      <c r="AI46" s="1205"/>
      <c r="AJ46" s="1205"/>
      <c r="AK46" s="1205"/>
      <c r="AL46" s="1409"/>
      <c r="AM46" s="1205"/>
      <c r="AN46" s="1205"/>
      <c r="AO46" s="1205"/>
      <c r="AP46" s="1409"/>
      <c r="AQ46" s="1205"/>
      <c r="AR46" s="1205"/>
      <c r="AS46" s="1205"/>
      <c r="AT46" s="1409"/>
      <c r="AU46" s="1976"/>
      <c r="AV46" s="1048"/>
      <c r="AW46" s="1048"/>
      <c r="AX46" s="1745"/>
      <c r="AY46" s="1048"/>
      <c r="AZ46" s="1205"/>
      <c r="BA46" s="1409"/>
      <c r="BB46" s="1205"/>
      <c r="BC46" s="1205"/>
      <c r="BD46" s="1205"/>
      <c r="BE46" s="1205"/>
      <c r="BF46" s="1205"/>
      <c r="BG46" s="1396"/>
      <c r="BH46" s="1408"/>
      <c r="BI46" s="1407"/>
      <c r="BJ46" s="1407"/>
      <c r="BK46" s="1210"/>
      <c r="BL46" s="1205"/>
      <c r="BM46" s="1393"/>
      <c r="BN46" s="1393"/>
      <c r="BO46" s="1393"/>
      <c r="BP46" s="1393"/>
      <c r="BQ46" s="1393"/>
      <c r="BR46" s="1393"/>
      <c r="BS46" s="1393"/>
      <c r="BT46" s="1393"/>
      <c r="BU46" s="1413">
        <v>12876</v>
      </c>
      <c r="BV46" s="1413">
        <v>9597</v>
      </c>
      <c r="BW46" s="1411" t="s">
        <v>181</v>
      </c>
      <c r="BX46" s="1414"/>
      <c r="BY46" s="1414"/>
      <c r="BZ46" s="1415"/>
      <c r="CA46" s="1415"/>
      <c r="CB46" s="1009"/>
      <c r="CC46" s="1416"/>
      <c r="CD46" s="1416"/>
      <c r="CE46" s="1323"/>
      <c r="CF46" s="1323"/>
      <c r="CG46" s="1324"/>
      <c r="CH46" s="1324"/>
      <c r="CI46" s="1324"/>
      <c r="CJ46" s="1324"/>
      <c r="CK46" s="1324"/>
      <c r="CL46" s="1324"/>
      <c r="CM46" s="1324"/>
      <c r="CN46" s="1324"/>
      <c r="CO46" s="1324"/>
      <c r="CP46" s="1324"/>
      <c r="CQ46" s="1324"/>
    </row>
    <row r="47" spans="1:95" s="1819" customFormat="1" ht="12.75" customHeight="1" x14ac:dyDescent="0.2">
      <c r="A47" s="2246" t="s">
        <v>631</v>
      </c>
      <c r="B47" s="2550"/>
      <c r="C47" s="1198"/>
      <c r="D47" s="1035"/>
      <c r="E47" s="920"/>
      <c r="F47" s="2965"/>
      <c r="G47" s="1961"/>
      <c r="H47" s="1205"/>
      <c r="I47" s="1205"/>
      <c r="J47" s="1409"/>
      <c r="K47" s="1205"/>
      <c r="L47" s="1205"/>
      <c r="M47" s="1205"/>
      <c r="N47" s="1205"/>
      <c r="O47" s="1396"/>
      <c r="P47" s="1205"/>
      <c r="Q47" s="1205"/>
      <c r="R47" s="1409"/>
      <c r="S47" s="1205"/>
      <c r="T47" s="1205"/>
      <c r="U47" s="1205"/>
      <c r="V47" s="1409"/>
      <c r="W47" s="1409"/>
      <c r="X47" s="1409"/>
      <c r="Y47" s="1205"/>
      <c r="Z47" s="1409"/>
      <c r="AA47" s="1205"/>
      <c r="AB47" s="1205"/>
      <c r="AC47" s="1205"/>
      <c r="AD47" s="1409"/>
      <c r="AE47" s="1205"/>
      <c r="AF47" s="1205"/>
      <c r="AG47" s="1205"/>
      <c r="AH47" s="1409"/>
      <c r="AI47" s="1205"/>
      <c r="AJ47" s="1205"/>
      <c r="AK47" s="1205"/>
      <c r="AL47" s="1409"/>
      <c r="AM47" s="1205"/>
      <c r="AN47" s="1205"/>
      <c r="AO47" s="1205"/>
      <c r="AP47" s="1409"/>
      <c r="AQ47" s="1205"/>
      <c r="AR47" s="1205"/>
      <c r="AS47" s="1205"/>
      <c r="AT47" s="1409"/>
      <c r="AU47" s="1048"/>
      <c r="AV47" s="1048"/>
      <c r="AW47" s="1048"/>
      <c r="AX47" s="1745"/>
      <c r="AY47" s="1048"/>
      <c r="AZ47" s="1205"/>
      <c r="BA47" s="1409"/>
      <c r="BB47" s="1205"/>
      <c r="BC47" s="1205"/>
      <c r="BD47" s="1205"/>
      <c r="BE47" s="1205"/>
      <c r="BF47" s="1205"/>
      <c r="BG47" s="1396"/>
      <c r="BH47" s="1396"/>
      <c r="BI47" s="1205"/>
      <c r="BJ47" s="1205"/>
      <c r="BK47" s="1035"/>
      <c r="BL47" s="1205"/>
      <c r="BM47" s="1413"/>
      <c r="BN47" s="1413"/>
      <c r="BO47" s="1413"/>
      <c r="BP47" s="1413"/>
      <c r="BQ47" s="1413"/>
      <c r="BR47" s="1413"/>
      <c r="BS47" s="1413"/>
      <c r="BT47" s="1413"/>
      <c r="BU47" s="1413">
        <v>0</v>
      </c>
      <c r="BV47" s="1413">
        <v>0</v>
      </c>
      <c r="BW47" s="1411" t="s">
        <v>181</v>
      </c>
      <c r="BX47" s="1411"/>
      <c r="BY47" s="1411"/>
      <c r="BZ47" s="1419"/>
      <c r="CA47" s="1419"/>
      <c r="CB47" s="1009"/>
      <c r="CC47" s="1416"/>
      <c r="CD47" s="1416"/>
      <c r="CE47" s="1323"/>
      <c r="CF47" s="1323"/>
      <c r="CG47" s="1324"/>
      <c r="CH47" s="1324"/>
      <c r="CI47" s="1324"/>
      <c r="CJ47" s="1324"/>
      <c r="CK47" s="1324"/>
      <c r="CL47" s="1324"/>
      <c r="CM47" s="1324"/>
      <c r="CN47" s="1324"/>
      <c r="CO47" s="1324"/>
      <c r="CP47" s="1324"/>
      <c r="CQ47" s="1324"/>
    </row>
    <row r="48" spans="1:95" s="1819" customFormat="1" ht="12.75" customHeight="1" x14ac:dyDescent="0.2">
      <c r="A48" s="947" t="s">
        <v>59</v>
      </c>
      <c r="B48" s="2464"/>
      <c r="C48" s="1198">
        <v>3</v>
      </c>
      <c r="D48" s="1035">
        <v>-0.13636363636363635</v>
      </c>
      <c r="E48" s="920"/>
      <c r="F48" s="2015">
        <v>-19</v>
      </c>
      <c r="G48" s="1159">
        <v>-56</v>
      </c>
      <c r="H48" s="1205">
        <v>-14</v>
      </c>
      <c r="I48" s="1205">
        <v>11</v>
      </c>
      <c r="J48" s="1409">
        <v>-22</v>
      </c>
      <c r="K48" s="1205">
        <v>17</v>
      </c>
      <c r="L48" s="1205">
        <v>-17</v>
      </c>
      <c r="M48" s="1205">
        <v>0</v>
      </c>
      <c r="N48" s="1205">
        <v>28</v>
      </c>
      <c r="O48" s="1396">
        <v>20</v>
      </c>
      <c r="P48" s="1205">
        <v>14</v>
      </c>
      <c r="Q48" s="1205">
        <v>0</v>
      </c>
      <c r="R48" s="1409">
        <v>2230</v>
      </c>
      <c r="S48" s="1205">
        <v>1923</v>
      </c>
      <c r="T48" s="1205">
        <v>1257</v>
      </c>
      <c r="U48" s="1205">
        <v>2277</v>
      </c>
      <c r="V48" s="1409">
        <v>1387</v>
      </c>
      <c r="W48" s="1409">
        <v>2517</v>
      </c>
      <c r="X48" s="1409">
        <v>1970</v>
      </c>
      <c r="Y48" s="1205">
        <v>12089</v>
      </c>
      <c r="Z48" s="1409">
        <v>14050</v>
      </c>
      <c r="AA48" s="1205">
        <v>9154</v>
      </c>
      <c r="AB48" s="1205">
        <v>15975</v>
      </c>
      <c r="AC48" s="1205">
        <v>8491</v>
      </c>
      <c r="AD48" s="1409">
        <v>4864</v>
      </c>
      <c r="AE48" s="1396">
        <v>6425</v>
      </c>
      <c r="AF48" s="1205">
        <v>7298</v>
      </c>
      <c r="AG48" s="1205">
        <v>6157</v>
      </c>
      <c r="AH48" s="1409">
        <v>5407</v>
      </c>
      <c r="AI48" s="1205">
        <v>3713</v>
      </c>
      <c r="AJ48" s="1205">
        <v>6694</v>
      </c>
      <c r="AK48" s="1205">
        <v>-167</v>
      </c>
      <c r="AL48" s="1409">
        <v>252</v>
      </c>
      <c r="AM48" s="1205">
        <v>603</v>
      </c>
      <c r="AN48" s="1205">
        <v>416</v>
      </c>
      <c r="AO48" s="1205">
        <v>361</v>
      </c>
      <c r="AP48" s="1409">
        <v>-152</v>
      </c>
      <c r="AQ48" s="1205">
        <v>3494</v>
      </c>
      <c r="AR48" s="1205">
        <v>333</v>
      </c>
      <c r="AS48" s="1205"/>
      <c r="AT48" s="1409"/>
      <c r="AU48" s="1976"/>
      <c r="AV48" s="1048"/>
      <c r="AW48" s="1048"/>
      <c r="AX48" s="1745"/>
      <c r="AY48" s="1048"/>
      <c r="AZ48" s="1205"/>
      <c r="BA48" s="1409"/>
      <c r="BB48" s="1205"/>
      <c r="BC48" s="1205"/>
      <c r="BD48" s="1205"/>
      <c r="BE48" s="1205"/>
      <c r="BF48" s="1205"/>
      <c r="BG48" s="1396"/>
      <c r="BH48" s="1198">
        <v>-81</v>
      </c>
      <c r="BI48" s="1269">
        <v>28</v>
      </c>
      <c r="BJ48" s="1269">
        <v>-109</v>
      </c>
      <c r="BK48" s="1035" t="s">
        <v>41</v>
      </c>
      <c r="BL48" s="1205"/>
      <c r="BM48" s="1413">
        <v>-81</v>
      </c>
      <c r="BN48" s="1413">
        <v>28</v>
      </c>
      <c r="BO48" s="1413">
        <v>2264</v>
      </c>
      <c r="BP48" s="1413">
        <v>6844</v>
      </c>
      <c r="BQ48" s="1413">
        <v>7998</v>
      </c>
      <c r="BR48" s="1413">
        <v>10346</v>
      </c>
      <c r="BS48" s="1413">
        <v>9568</v>
      </c>
      <c r="BT48" s="1413">
        <v>6663</v>
      </c>
      <c r="BU48" s="1413">
        <v>-5303</v>
      </c>
      <c r="BV48" s="1413">
        <v>-3141</v>
      </c>
      <c r="BW48" s="1411" t="s">
        <v>181</v>
      </c>
      <c r="BX48" s="1411"/>
      <c r="BY48" s="1411"/>
      <c r="BZ48" s="1419"/>
      <c r="CA48" s="1419"/>
      <c r="CB48" s="1009"/>
      <c r="CC48" s="1416"/>
      <c r="CD48" s="1312">
        <v>-31</v>
      </c>
      <c r="CE48" s="2430">
        <v>-2.2142857142857144</v>
      </c>
      <c r="CF48" s="2429">
        <v>34</v>
      </c>
      <c r="CG48" s="2430">
        <v>2.0779220779220782</v>
      </c>
      <c r="CH48" s="2430"/>
      <c r="CI48" s="1312">
        <v>11</v>
      </c>
      <c r="CJ48" s="2432">
        <v>-92</v>
      </c>
      <c r="CK48" s="1145"/>
      <c r="CL48" s="2432">
        <v>-109</v>
      </c>
      <c r="CM48" s="2431">
        <v>-3.8928571428571428</v>
      </c>
      <c r="CN48" s="1146">
        <v>0</v>
      </c>
      <c r="CO48" s="2430" t="e">
        <v>#VALUE!</v>
      </c>
      <c r="CP48" s="1324"/>
      <c r="CQ48" s="1324"/>
    </row>
    <row r="49" spans="1:95" s="1819" customFormat="1" ht="12.75" customHeight="1" x14ac:dyDescent="0.2">
      <c r="A49" s="947" t="s">
        <v>5</v>
      </c>
      <c r="B49" s="2464"/>
      <c r="C49" s="1198"/>
      <c r="D49" s="1342"/>
      <c r="E49" s="920"/>
      <c r="F49" s="2015"/>
      <c r="G49" s="1159"/>
      <c r="H49" s="1205"/>
      <c r="I49" s="1205"/>
      <c r="J49" s="1409"/>
      <c r="K49" s="1205"/>
      <c r="L49" s="1205"/>
      <c r="M49" s="1205"/>
      <c r="N49" s="1205"/>
      <c r="O49" s="1396"/>
      <c r="P49" s="1205"/>
      <c r="Q49" s="1205"/>
      <c r="R49" s="1409"/>
      <c r="S49" s="1205"/>
      <c r="T49" s="1205"/>
      <c r="U49" s="1205"/>
      <c r="V49" s="1409"/>
      <c r="W49" s="1409"/>
      <c r="X49" s="1409"/>
      <c r="Y49" s="1205"/>
      <c r="Z49" s="1409"/>
      <c r="AA49" s="1205"/>
      <c r="AB49" s="1205"/>
      <c r="AC49" s="1205"/>
      <c r="AD49" s="1409"/>
      <c r="AE49" s="1396"/>
      <c r="AF49" s="1205"/>
      <c r="AG49" s="1205"/>
      <c r="AH49" s="1409"/>
      <c r="AI49" s="1205"/>
      <c r="AJ49" s="1205"/>
      <c r="AK49" s="1205"/>
      <c r="AL49" s="1409"/>
      <c r="AM49" s="1205"/>
      <c r="AN49" s="1205"/>
      <c r="AO49" s="1205"/>
      <c r="AP49" s="1409"/>
      <c r="AQ49" s="1205"/>
      <c r="AR49" s="1205"/>
      <c r="AS49" s="1205"/>
      <c r="AT49" s="1409"/>
      <c r="AU49" s="1976"/>
      <c r="AV49" s="1048"/>
      <c r="AW49" s="1048"/>
      <c r="AX49" s="1745"/>
      <c r="AY49" s="1048"/>
      <c r="AZ49" s="1205"/>
      <c r="BA49" s="1409"/>
      <c r="BB49" s="1205"/>
      <c r="BC49" s="1205"/>
      <c r="BD49" s="1205"/>
      <c r="BE49" s="1205"/>
      <c r="BF49" s="1205"/>
      <c r="BG49" s="1396"/>
      <c r="BH49" s="1396"/>
      <c r="BI49" s="1205"/>
      <c r="BJ49" s="1205"/>
      <c r="BK49" s="1342"/>
      <c r="BL49" s="1205"/>
      <c r="BM49" s="1413"/>
      <c r="BN49" s="1413">
        <v>0</v>
      </c>
      <c r="BO49" s="1413">
        <v>0</v>
      </c>
      <c r="BP49" s="1413"/>
      <c r="BQ49" s="1413"/>
      <c r="BR49" s="1413"/>
      <c r="BS49" s="1413"/>
      <c r="BT49" s="1413"/>
      <c r="BU49" s="1367">
        <v>3330</v>
      </c>
      <c r="BV49" s="1367">
        <v>3117</v>
      </c>
      <c r="BW49" s="1411" t="s">
        <v>181</v>
      </c>
      <c r="BX49" s="1422"/>
      <c r="BY49" s="1422"/>
      <c r="BZ49" s="1423"/>
      <c r="CA49" s="1423"/>
      <c r="CB49" s="1009"/>
      <c r="CC49" s="1416"/>
      <c r="CD49" s="1312"/>
      <c r="CE49" s="2431"/>
      <c r="CF49" s="1312"/>
      <c r="CG49" s="2431"/>
      <c r="CH49" s="2431"/>
      <c r="CI49" s="1324"/>
      <c r="CJ49" s="1324"/>
      <c r="CK49" s="1324"/>
      <c r="CL49" s="1324"/>
      <c r="CM49" s="1324"/>
      <c r="CN49" s="1324"/>
      <c r="CO49" s="1324"/>
      <c r="CP49" s="1324"/>
      <c r="CQ49" s="1324"/>
    </row>
    <row r="50" spans="1:95" s="1819" customFormat="1" ht="12.75" hidden="1" customHeight="1" x14ac:dyDescent="0.2">
      <c r="A50" s="947"/>
      <c r="B50" s="946" t="s">
        <v>292</v>
      </c>
      <c r="C50" s="1198">
        <v>234</v>
      </c>
      <c r="D50" s="1035">
        <v>-1.3371428571428572</v>
      </c>
      <c r="E50" s="920"/>
      <c r="F50" s="2015">
        <v>555</v>
      </c>
      <c r="G50" s="1159">
        <v>73</v>
      </c>
      <c r="H50" s="1205">
        <v>72</v>
      </c>
      <c r="I50" s="1205">
        <v>59</v>
      </c>
      <c r="J50" s="1409">
        <v>44</v>
      </c>
      <c r="K50" s="1205">
        <v>0</v>
      </c>
      <c r="L50" s="1205">
        <v>1</v>
      </c>
      <c r="M50" s="1205">
        <v>-175</v>
      </c>
      <c r="N50" s="1205">
        <v>177</v>
      </c>
      <c r="O50" s="1396">
        <v>53</v>
      </c>
      <c r="P50" s="1205">
        <v>339</v>
      </c>
      <c r="Q50" s="1205">
        <v>126</v>
      </c>
      <c r="R50" s="1409">
        <v>574</v>
      </c>
      <c r="S50" s="1205">
        <v>1014</v>
      </c>
      <c r="T50" s="1205">
        <v>799</v>
      </c>
      <c r="U50" s="1205">
        <v>1541</v>
      </c>
      <c r="V50" s="1409">
        <v>1176</v>
      </c>
      <c r="W50" s="1409">
        <v>1561</v>
      </c>
      <c r="X50" s="1409">
        <v>1418</v>
      </c>
      <c r="Y50" s="1205"/>
      <c r="Z50" s="1409"/>
      <c r="AA50" s="1205"/>
      <c r="AB50" s="1205"/>
      <c r="AC50" s="1205"/>
      <c r="AD50" s="1409"/>
      <c r="AE50" s="1396"/>
      <c r="AF50" s="1205"/>
      <c r="AG50" s="1205"/>
      <c r="AH50" s="1409"/>
      <c r="AI50" s="1205"/>
      <c r="AJ50" s="1205"/>
      <c r="AK50" s="1205"/>
      <c r="AL50" s="1409"/>
      <c r="AM50" s="1205"/>
      <c r="AN50" s="1205"/>
      <c r="AO50" s="1205"/>
      <c r="AP50" s="1409"/>
      <c r="AQ50" s="1205"/>
      <c r="AR50" s="1205"/>
      <c r="AS50" s="1205"/>
      <c r="AT50" s="1409"/>
      <c r="AU50" s="1976"/>
      <c r="AV50" s="1048"/>
      <c r="AW50" s="1048"/>
      <c r="AX50" s="1745"/>
      <c r="AY50" s="1048"/>
      <c r="AZ50" s="1205"/>
      <c r="BA50" s="1409"/>
      <c r="BB50" s="1205"/>
      <c r="BC50" s="1205"/>
      <c r="BD50" s="1205"/>
      <c r="BE50" s="1205"/>
      <c r="BF50" s="1205"/>
      <c r="BG50" s="1396"/>
      <c r="BH50" s="1396">
        <v>103</v>
      </c>
      <c r="BI50" s="1205">
        <v>2</v>
      </c>
      <c r="BJ50" s="1205">
        <v>101</v>
      </c>
      <c r="BK50" s="1035" t="s">
        <v>41</v>
      </c>
      <c r="BL50" s="1205"/>
      <c r="BM50" s="1413">
        <v>3</v>
      </c>
      <c r="BN50" s="1413">
        <v>3</v>
      </c>
      <c r="BO50" s="1413">
        <v>1092</v>
      </c>
      <c r="BP50" s="1413">
        <v>4530</v>
      </c>
      <c r="BQ50" s="1413">
        <v>6357</v>
      </c>
      <c r="BR50" s="1413">
        <v>7184</v>
      </c>
      <c r="BS50" s="1413">
        <v>5530</v>
      </c>
      <c r="BT50" s="1413">
        <v>3059</v>
      </c>
      <c r="BU50" s="1367"/>
      <c r="BV50" s="1367"/>
      <c r="BW50" s="1411"/>
      <c r="BX50" s="1422"/>
      <c r="BY50" s="1422"/>
      <c r="BZ50" s="1423"/>
      <c r="CA50" s="1423"/>
      <c r="CB50" s="1009"/>
      <c r="CC50" s="1416"/>
      <c r="CD50" s="1312">
        <v>-338</v>
      </c>
      <c r="CE50" s="2430">
        <v>-0.99705014749262533</v>
      </c>
      <c r="CF50" s="2429">
        <v>572</v>
      </c>
      <c r="CG50" s="2430">
        <v>-0.34009270965023186</v>
      </c>
      <c r="CH50" s="2430"/>
      <c r="CI50" s="1312">
        <v>3</v>
      </c>
      <c r="CJ50" s="2432">
        <v>100</v>
      </c>
      <c r="CK50" s="1145"/>
      <c r="CL50" s="2432">
        <v>101</v>
      </c>
      <c r="CM50" s="2431">
        <v>50.5</v>
      </c>
      <c r="CN50" s="1146">
        <v>0</v>
      </c>
      <c r="CO50" s="2430" t="e">
        <v>#VALUE!</v>
      </c>
      <c r="CP50" s="1324"/>
      <c r="CQ50" s="1324"/>
    </row>
    <row r="51" spans="1:95" s="1819" customFormat="1" ht="12.75" hidden="1" customHeight="1" x14ac:dyDescent="0.2">
      <c r="A51" s="947"/>
      <c r="B51" s="946" t="s">
        <v>293</v>
      </c>
      <c r="C51" s="1307">
        <v>0</v>
      </c>
      <c r="D51" s="1192">
        <v>0</v>
      </c>
      <c r="E51" s="920"/>
      <c r="F51" s="2017">
        <v>0</v>
      </c>
      <c r="G51" s="1162">
        <v>0</v>
      </c>
      <c r="H51" s="1252">
        <v>0</v>
      </c>
      <c r="I51" s="1252">
        <v>0</v>
      </c>
      <c r="J51" s="1430">
        <v>0</v>
      </c>
      <c r="K51" s="1252">
        <v>0</v>
      </c>
      <c r="L51" s="1252">
        <v>0</v>
      </c>
      <c r="M51" s="1252">
        <v>0</v>
      </c>
      <c r="N51" s="1252">
        <v>0</v>
      </c>
      <c r="O51" s="1429">
        <v>0</v>
      </c>
      <c r="P51" s="1252">
        <v>0</v>
      </c>
      <c r="Q51" s="1252">
        <v>0</v>
      </c>
      <c r="R51" s="1430">
        <v>0</v>
      </c>
      <c r="S51" s="1252">
        <v>0</v>
      </c>
      <c r="T51" s="1252">
        <v>-1</v>
      </c>
      <c r="U51" s="1252">
        <v>0</v>
      </c>
      <c r="V51" s="1430">
        <v>0</v>
      </c>
      <c r="W51" s="1430">
        <v>0</v>
      </c>
      <c r="X51" s="1430">
        <v>0</v>
      </c>
      <c r="Y51" s="1205"/>
      <c r="Z51" s="1409"/>
      <c r="AA51" s="1205"/>
      <c r="AB51" s="1205"/>
      <c r="AC51" s="1205"/>
      <c r="AD51" s="1409"/>
      <c r="AE51" s="1396"/>
      <c r="AF51" s="1205"/>
      <c r="AG51" s="1205"/>
      <c r="AH51" s="1409"/>
      <c r="AI51" s="1205"/>
      <c r="AJ51" s="1205"/>
      <c r="AK51" s="1205"/>
      <c r="AL51" s="1409"/>
      <c r="AM51" s="1205"/>
      <c r="AN51" s="1205"/>
      <c r="AO51" s="1205"/>
      <c r="AP51" s="1409"/>
      <c r="AQ51" s="1205"/>
      <c r="AR51" s="1205"/>
      <c r="AS51" s="1205"/>
      <c r="AT51" s="1409"/>
      <c r="AU51" s="1976"/>
      <c r="AV51" s="1048"/>
      <c r="AW51" s="1048"/>
      <c r="AX51" s="1745"/>
      <c r="AY51" s="1048"/>
      <c r="AZ51" s="1205"/>
      <c r="BA51" s="1409"/>
      <c r="BB51" s="1205"/>
      <c r="BC51" s="1205"/>
      <c r="BD51" s="1205"/>
      <c r="BE51" s="1205"/>
      <c r="BF51" s="1205"/>
      <c r="BG51" s="1396"/>
      <c r="BH51" s="1429">
        <v>0</v>
      </c>
      <c r="BI51" s="1252">
        <v>0</v>
      </c>
      <c r="BJ51" s="1252">
        <v>0</v>
      </c>
      <c r="BK51" s="1192">
        <v>0</v>
      </c>
      <c r="BL51" s="1205"/>
      <c r="BM51" s="1477">
        <v>0</v>
      </c>
      <c r="BN51" s="1477">
        <v>0</v>
      </c>
      <c r="BO51" s="1477">
        <v>0</v>
      </c>
      <c r="BP51" s="1477">
        <v>-1</v>
      </c>
      <c r="BQ51" s="1477">
        <v>0</v>
      </c>
      <c r="BR51" s="1477">
        <v>-2</v>
      </c>
      <c r="BS51" s="1477">
        <v>0</v>
      </c>
      <c r="BT51" s="1477">
        <v>0</v>
      </c>
      <c r="BU51" s="1367"/>
      <c r="BV51" s="1367"/>
      <c r="BW51" s="1411"/>
      <c r="BX51" s="1422"/>
      <c r="BY51" s="1422"/>
      <c r="BZ51" s="1423"/>
      <c r="CA51" s="1423"/>
      <c r="CB51" s="1009"/>
      <c r="CC51" s="1416"/>
      <c r="CD51" s="1312"/>
      <c r="CE51" s="2431"/>
      <c r="CF51" s="1312"/>
      <c r="CG51" s="2431"/>
      <c r="CH51" s="2431"/>
      <c r="CI51" s="1324"/>
      <c r="CJ51" s="1324"/>
      <c r="CK51" s="1324"/>
      <c r="CL51" s="1324"/>
      <c r="CM51" s="1324"/>
      <c r="CN51" s="1324"/>
      <c r="CO51" s="1324"/>
      <c r="CP51" s="1324"/>
      <c r="CQ51" s="1324"/>
    </row>
    <row r="52" spans="1:95" s="1819" customFormat="1" ht="12.75" hidden="1" customHeight="1" x14ac:dyDescent="0.2">
      <c r="A52" s="947"/>
      <c r="B52" s="1059" t="s">
        <v>620</v>
      </c>
      <c r="C52" s="1198">
        <v>511</v>
      </c>
      <c r="D52" s="1035" t="s">
        <v>41</v>
      </c>
      <c r="E52" s="920"/>
      <c r="F52" s="2015">
        <v>555</v>
      </c>
      <c r="G52" s="1159">
        <v>73</v>
      </c>
      <c r="H52" s="1205">
        <v>72</v>
      </c>
      <c r="I52" s="1205">
        <v>59</v>
      </c>
      <c r="J52" s="1409">
        <v>44</v>
      </c>
      <c r="K52" s="1205">
        <v>0</v>
      </c>
      <c r="L52" s="1205">
        <v>1</v>
      </c>
      <c r="M52" s="1205">
        <v>-175</v>
      </c>
      <c r="N52" s="1205">
        <v>177</v>
      </c>
      <c r="O52" s="1396">
        <v>53</v>
      </c>
      <c r="P52" s="1205">
        <v>339</v>
      </c>
      <c r="Q52" s="1205">
        <v>126</v>
      </c>
      <c r="R52" s="1409">
        <v>574</v>
      </c>
      <c r="S52" s="1205">
        <v>1014</v>
      </c>
      <c r="T52" s="1205">
        <v>798</v>
      </c>
      <c r="U52" s="1205">
        <v>1541</v>
      </c>
      <c r="V52" s="1409">
        <v>1176</v>
      </c>
      <c r="W52" s="1409">
        <v>1561</v>
      </c>
      <c r="X52" s="1409">
        <v>1418</v>
      </c>
      <c r="Y52" s="1205"/>
      <c r="Z52" s="1409"/>
      <c r="AA52" s="1205"/>
      <c r="AB52" s="1205"/>
      <c r="AC52" s="1205"/>
      <c r="AD52" s="1409"/>
      <c r="AE52" s="1396"/>
      <c r="AF52" s="1205"/>
      <c r="AG52" s="1205"/>
      <c r="AH52" s="1409"/>
      <c r="AI52" s="1205"/>
      <c r="AJ52" s="1205"/>
      <c r="AK52" s="1205"/>
      <c r="AL52" s="1409"/>
      <c r="AM52" s="1205"/>
      <c r="AN52" s="1205"/>
      <c r="AO52" s="1205"/>
      <c r="AP52" s="1409"/>
      <c r="AQ52" s="1205"/>
      <c r="AR52" s="1205"/>
      <c r="AS52" s="1205"/>
      <c r="AT52" s="1409"/>
      <c r="AU52" s="1976"/>
      <c r="AV52" s="1048"/>
      <c r="AW52" s="1048"/>
      <c r="AX52" s="1745"/>
      <c r="AY52" s="1048"/>
      <c r="AZ52" s="1205"/>
      <c r="BA52" s="1409"/>
      <c r="BB52" s="1205"/>
      <c r="BC52" s="1205"/>
      <c r="BD52" s="1205"/>
      <c r="BE52" s="1205"/>
      <c r="BF52" s="1205"/>
      <c r="BG52" s="1396"/>
      <c r="BH52" s="1198">
        <v>248</v>
      </c>
      <c r="BI52" s="1269">
        <v>3</v>
      </c>
      <c r="BJ52" s="1269">
        <v>245</v>
      </c>
      <c r="BK52" s="1035" t="s">
        <v>41</v>
      </c>
      <c r="BL52" s="1205"/>
      <c r="BM52" s="1413">
        <v>248</v>
      </c>
      <c r="BN52" s="1413">
        <v>3</v>
      </c>
      <c r="BO52" s="1413">
        <v>1092</v>
      </c>
      <c r="BP52" s="1413">
        <v>4529</v>
      </c>
      <c r="BQ52" s="1413">
        <v>6357</v>
      </c>
      <c r="BR52" s="1413">
        <v>7182</v>
      </c>
      <c r="BS52" s="2015">
        <v>5530</v>
      </c>
      <c r="BT52" s="2015">
        <v>3059</v>
      </c>
      <c r="BU52" s="1367"/>
      <c r="BV52" s="1367"/>
      <c r="BW52" s="1411"/>
      <c r="BX52" s="1422"/>
      <c r="BY52" s="1422"/>
      <c r="BZ52" s="1423"/>
      <c r="CA52" s="1423"/>
      <c r="CB52" s="1009"/>
      <c r="CC52" s="1416"/>
      <c r="CD52" s="1312">
        <v>-338</v>
      </c>
      <c r="CE52" s="2430">
        <v>-0.99705014749262533</v>
      </c>
      <c r="CF52" s="2429">
        <v>849</v>
      </c>
      <c r="CG52" s="2430" t="e">
        <v>#VALUE!</v>
      </c>
      <c r="CH52" s="2430"/>
      <c r="CI52" s="1312">
        <v>3</v>
      </c>
      <c r="CJ52" s="2432">
        <v>245</v>
      </c>
      <c r="CK52" s="1145"/>
      <c r="CL52" s="2432">
        <v>245</v>
      </c>
      <c r="CM52" s="2431">
        <v>81.666666666666671</v>
      </c>
      <c r="CN52" s="1146">
        <v>0</v>
      </c>
      <c r="CO52" s="2430" t="e">
        <v>#VALUE!</v>
      </c>
      <c r="CP52" s="1324"/>
      <c r="CQ52" s="1324"/>
    </row>
    <row r="53" spans="1:95" s="1819" customFormat="1" ht="12.75" hidden="1" customHeight="1" x14ac:dyDescent="0.2">
      <c r="A53" s="947"/>
      <c r="B53" s="1059" t="s">
        <v>64</v>
      </c>
      <c r="C53" s="1198">
        <v>3</v>
      </c>
      <c r="D53" s="1035">
        <v>2.1276595744680851E-2</v>
      </c>
      <c r="E53" s="920"/>
      <c r="F53" s="2015">
        <v>144</v>
      </c>
      <c r="G53" s="1159">
        <v>144</v>
      </c>
      <c r="H53" s="1205">
        <v>138</v>
      </c>
      <c r="I53" s="1205">
        <v>137</v>
      </c>
      <c r="J53" s="1409">
        <v>141</v>
      </c>
      <c r="K53" s="1205">
        <v>165</v>
      </c>
      <c r="L53" s="1205">
        <v>164</v>
      </c>
      <c r="M53" s="1205">
        <v>205</v>
      </c>
      <c r="N53" s="1205">
        <v>154</v>
      </c>
      <c r="O53" s="1396">
        <v>173</v>
      </c>
      <c r="P53" s="1205">
        <v>194</v>
      </c>
      <c r="Q53" s="1205">
        <v>296</v>
      </c>
      <c r="R53" s="1409">
        <v>334</v>
      </c>
      <c r="S53" s="1205">
        <v>385</v>
      </c>
      <c r="T53" s="1205">
        <v>457</v>
      </c>
      <c r="U53" s="1205">
        <v>421</v>
      </c>
      <c r="V53" s="1409">
        <v>448</v>
      </c>
      <c r="W53" s="1409">
        <v>531</v>
      </c>
      <c r="X53" s="1409">
        <v>424</v>
      </c>
      <c r="Y53" s="1205"/>
      <c r="Z53" s="1409"/>
      <c r="AA53" s="1205"/>
      <c r="AB53" s="1205"/>
      <c r="AC53" s="1205"/>
      <c r="AD53" s="1409"/>
      <c r="AE53" s="1396"/>
      <c r="AF53" s="1205"/>
      <c r="AG53" s="1205"/>
      <c r="AH53" s="1409"/>
      <c r="AI53" s="1205"/>
      <c r="AJ53" s="1205"/>
      <c r="AK53" s="1205"/>
      <c r="AL53" s="1409"/>
      <c r="AM53" s="1205"/>
      <c r="AN53" s="1205"/>
      <c r="AO53" s="1205"/>
      <c r="AP53" s="1409"/>
      <c r="AQ53" s="1205"/>
      <c r="AR53" s="1205"/>
      <c r="AS53" s="1205"/>
      <c r="AT53" s="1409"/>
      <c r="AU53" s="1976"/>
      <c r="AV53" s="1048"/>
      <c r="AW53" s="1048"/>
      <c r="AX53" s="1745"/>
      <c r="AY53" s="1048"/>
      <c r="AZ53" s="1205"/>
      <c r="BA53" s="1409"/>
      <c r="BB53" s="1205"/>
      <c r="BC53" s="1205"/>
      <c r="BD53" s="1205"/>
      <c r="BE53" s="1205"/>
      <c r="BF53" s="1205"/>
      <c r="BG53" s="1396"/>
      <c r="BH53" s="1198">
        <v>560</v>
      </c>
      <c r="BI53" s="1269">
        <v>688</v>
      </c>
      <c r="BJ53" s="1269">
        <v>-128</v>
      </c>
      <c r="BK53" s="1035">
        <v>-0.18604651162790697</v>
      </c>
      <c r="BL53" s="1205"/>
      <c r="BM53" s="1413">
        <v>560</v>
      </c>
      <c r="BN53" s="1413">
        <v>688</v>
      </c>
      <c r="BO53" s="1413">
        <v>997</v>
      </c>
      <c r="BP53" s="1413">
        <v>1711</v>
      </c>
      <c r="BQ53" s="1413">
        <v>1756</v>
      </c>
      <c r="BR53" s="1413">
        <v>1753</v>
      </c>
      <c r="BS53" s="1413">
        <v>1316</v>
      </c>
      <c r="BT53" s="1413">
        <v>1573</v>
      </c>
      <c r="BU53" s="1367"/>
      <c r="BV53" s="1367"/>
      <c r="BW53" s="1411"/>
      <c r="BX53" s="1422"/>
      <c r="BY53" s="1422"/>
      <c r="BZ53" s="1423"/>
      <c r="CA53" s="1423"/>
      <c r="CB53" s="1009"/>
      <c r="CC53" s="1416"/>
      <c r="CD53" s="1312">
        <v>-30</v>
      </c>
      <c r="CE53" s="2430">
        <v>-0.15463917525773196</v>
      </c>
      <c r="CF53" s="2429">
        <v>33</v>
      </c>
      <c r="CG53" s="2430">
        <v>0.17591577100241282</v>
      </c>
      <c r="CH53" s="2430"/>
      <c r="CI53" s="1312">
        <v>523</v>
      </c>
      <c r="CJ53" s="2432">
        <v>37</v>
      </c>
      <c r="CK53" s="1145"/>
      <c r="CL53" s="2432">
        <v>-128</v>
      </c>
      <c r="CM53" s="2431">
        <v>-0.18604651162790697</v>
      </c>
      <c r="CN53" s="1146">
        <v>0</v>
      </c>
      <c r="CO53" s="2430">
        <v>0</v>
      </c>
      <c r="CP53" s="1324"/>
      <c r="CQ53" s="1324"/>
    </row>
    <row r="54" spans="1:95" s="1819" customFormat="1" ht="12.75" customHeight="1" x14ac:dyDescent="0.2">
      <c r="A54" s="947"/>
      <c r="B54" s="1201" t="s">
        <v>716</v>
      </c>
      <c r="C54" s="1198"/>
      <c r="D54" s="1035"/>
      <c r="E54" s="920"/>
      <c r="F54" s="2015">
        <v>699</v>
      </c>
      <c r="G54" s="1159">
        <v>217</v>
      </c>
      <c r="H54" s="1205">
        <v>210</v>
      </c>
      <c r="I54" s="1205">
        <v>196</v>
      </c>
      <c r="J54" s="1409">
        <v>185</v>
      </c>
      <c r="K54" s="1159">
        <v>165</v>
      </c>
      <c r="L54" s="1205">
        <v>165</v>
      </c>
      <c r="M54" s="1205">
        <v>30</v>
      </c>
      <c r="N54" s="1409">
        <v>331</v>
      </c>
      <c r="O54" s="1396"/>
      <c r="P54" s="1205"/>
      <c r="Q54" s="1205"/>
      <c r="R54" s="1409"/>
      <c r="S54" s="1205"/>
      <c r="T54" s="1205"/>
      <c r="U54" s="1205"/>
      <c r="V54" s="1409"/>
      <c r="W54" s="1409"/>
      <c r="X54" s="1409"/>
      <c r="Y54" s="1205"/>
      <c r="Z54" s="1409"/>
      <c r="AA54" s="1205"/>
      <c r="AB54" s="1205"/>
      <c r="AC54" s="1205"/>
      <c r="AD54" s="1409"/>
      <c r="AE54" s="1396"/>
      <c r="AF54" s="1205"/>
      <c r="AG54" s="1205"/>
      <c r="AH54" s="1409"/>
      <c r="AI54" s="1205"/>
      <c r="AJ54" s="1205"/>
      <c r="AK54" s="1205"/>
      <c r="AL54" s="1409"/>
      <c r="AM54" s="1205"/>
      <c r="AN54" s="1205"/>
      <c r="AO54" s="1205"/>
      <c r="AP54" s="1409"/>
      <c r="AQ54" s="1205"/>
      <c r="AR54" s="1205"/>
      <c r="AS54" s="1205"/>
      <c r="AT54" s="1409"/>
      <c r="AU54" s="1976"/>
      <c r="AV54" s="1048"/>
      <c r="AW54" s="1048"/>
      <c r="AX54" s="1745"/>
      <c r="AY54" s="1048"/>
      <c r="AZ54" s="1205"/>
      <c r="BA54" s="1409"/>
      <c r="BB54" s="1205"/>
      <c r="BC54" s="1205"/>
      <c r="BD54" s="1205"/>
      <c r="BE54" s="1205"/>
      <c r="BF54" s="1205"/>
      <c r="BG54" s="1396"/>
      <c r="BH54" s="1198"/>
      <c r="BI54" s="1269"/>
      <c r="BJ54" s="1269"/>
      <c r="BK54" s="1035"/>
      <c r="BL54" s="1205"/>
      <c r="BM54" s="1413">
        <v>808</v>
      </c>
      <c r="BN54" s="1413">
        <v>691</v>
      </c>
      <c r="BO54" s="1413">
        <v>2089</v>
      </c>
      <c r="BP54" s="1413">
        <v>6240</v>
      </c>
      <c r="BQ54" s="1413">
        <v>8113</v>
      </c>
      <c r="BR54" s="1413"/>
      <c r="BS54" s="1413"/>
      <c r="BT54" s="1413"/>
      <c r="BU54" s="1367"/>
      <c r="BV54" s="1367"/>
      <c r="BW54" s="1411"/>
      <c r="BX54" s="1422"/>
      <c r="BY54" s="1422"/>
      <c r="BZ54" s="1423"/>
      <c r="CA54" s="1423"/>
      <c r="CB54" s="1009"/>
      <c r="CC54" s="1416"/>
      <c r="CD54" s="1312"/>
      <c r="CE54" s="2430"/>
      <c r="CF54" s="2429"/>
      <c r="CG54" s="2430"/>
      <c r="CH54" s="2430"/>
      <c r="CI54" s="1312"/>
      <c r="CJ54" s="2432"/>
      <c r="CK54" s="1145"/>
      <c r="CL54" s="2432"/>
      <c r="CM54" s="2431"/>
      <c r="CN54" s="1146"/>
      <c r="CO54" s="2430"/>
      <c r="CP54" s="1324"/>
      <c r="CQ54" s="1324"/>
    </row>
    <row r="55" spans="1:95" s="1819" customFormat="1" ht="12.75" customHeight="1" x14ac:dyDescent="0.2">
      <c r="A55" s="947"/>
      <c r="B55" s="1201" t="s">
        <v>69</v>
      </c>
      <c r="C55" s="1198">
        <v>1</v>
      </c>
      <c r="D55" s="1035">
        <v>0.16666666666666666</v>
      </c>
      <c r="E55" s="920"/>
      <c r="F55" s="2015">
        <v>7</v>
      </c>
      <c r="G55" s="1159">
        <v>7</v>
      </c>
      <c r="H55" s="1205">
        <v>6</v>
      </c>
      <c r="I55" s="1205">
        <v>6</v>
      </c>
      <c r="J55" s="1409">
        <v>6</v>
      </c>
      <c r="K55" s="1205">
        <v>6</v>
      </c>
      <c r="L55" s="1205">
        <v>4</v>
      </c>
      <c r="M55" s="1205">
        <v>5</v>
      </c>
      <c r="N55" s="1205">
        <v>8</v>
      </c>
      <c r="O55" s="1396">
        <v>6</v>
      </c>
      <c r="P55" s="1205">
        <v>6</v>
      </c>
      <c r="Q55" s="1205">
        <v>7</v>
      </c>
      <c r="R55" s="1409">
        <v>88</v>
      </c>
      <c r="S55" s="1205">
        <v>86</v>
      </c>
      <c r="T55" s="1205">
        <v>120</v>
      </c>
      <c r="U55" s="1205">
        <v>106</v>
      </c>
      <c r="V55" s="1409">
        <v>103</v>
      </c>
      <c r="W55" s="1409">
        <v>109</v>
      </c>
      <c r="X55" s="1409">
        <v>106</v>
      </c>
      <c r="Y55" s="1205"/>
      <c r="Z55" s="1409"/>
      <c r="AA55" s="1205"/>
      <c r="AB55" s="1205"/>
      <c r="AC55" s="1205"/>
      <c r="AD55" s="1409"/>
      <c r="AE55" s="1396"/>
      <c r="AF55" s="1205"/>
      <c r="AG55" s="1205"/>
      <c r="AH55" s="1409"/>
      <c r="AI55" s="1205"/>
      <c r="AJ55" s="1205"/>
      <c r="AK55" s="1205"/>
      <c r="AL55" s="1409"/>
      <c r="AM55" s="1205"/>
      <c r="AN55" s="1205"/>
      <c r="AO55" s="1205"/>
      <c r="AP55" s="1409"/>
      <c r="AQ55" s="1205"/>
      <c r="AR55" s="1205"/>
      <c r="AS55" s="1205"/>
      <c r="AT55" s="1409"/>
      <c r="AU55" s="1976"/>
      <c r="AV55" s="1048"/>
      <c r="AW55" s="1048"/>
      <c r="AX55" s="1745"/>
      <c r="AY55" s="1048"/>
      <c r="AZ55" s="1205"/>
      <c r="BA55" s="1409"/>
      <c r="BB55" s="1205"/>
      <c r="BC55" s="1205"/>
      <c r="BD55" s="1205"/>
      <c r="BE55" s="1205"/>
      <c r="BF55" s="1205"/>
      <c r="BG55" s="1396"/>
      <c r="BH55" s="1198">
        <v>25</v>
      </c>
      <c r="BI55" s="1269">
        <v>23</v>
      </c>
      <c r="BJ55" s="1269">
        <v>2</v>
      </c>
      <c r="BK55" s="1035">
        <v>8.6956521739130432E-2</v>
      </c>
      <c r="BL55" s="1205"/>
      <c r="BM55" s="1413">
        <v>25</v>
      </c>
      <c r="BN55" s="1413">
        <v>23</v>
      </c>
      <c r="BO55" s="1413">
        <v>107</v>
      </c>
      <c r="BP55" s="1413">
        <v>415</v>
      </c>
      <c r="BQ55" s="1413">
        <v>442</v>
      </c>
      <c r="BR55" s="1413">
        <v>461</v>
      </c>
      <c r="BS55" s="1413">
        <v>2294</v>
      </c>
      <c r="BT55" s="1413">
        <v>118</v>
      </c>
      <c r="BU55" s="1367"/>
      <c r="BV55" s="1367"/>
      <c r="BW55" s="1411"/>
      <c r="BX55" s="1422"/>
      <c r="BY55" s="1422"/>
      <c r="BZ55" s="1423"/>
      <c r="CA55" s="1423"/>
      <c r="CB55" s="1009"/>
      <c r="CC55" s="1416"/>
      <c r="CD55" s="1312">
        <v>-2</v>
      </c>
      <c r="CE55" s="2430">
        <v>-0.33333333333333331</v>
      </c>
      <c r="CF55" s="2429">
        <v>3</v>
      </c>
      <c r="CG55" s="2430">
        <v>0.5</v>
      </c>
      <c r="CH55" s="2430"/>
      <c r="CI55" s="1312">
        <v>17</v>
      </c>
      <c r="CJ55" s="2432">
        <v>8</v>
      </c>
      <c r="CK55" s="1145"/>
      <c r="CL55" s="2432">
        <v>2</v>
      </c>
      <c r="CM55" s="2431">
        <v>8.6956521739130432E-2</v>
      </c>
      <c r="CN55" s="1146">
        <v>0</v>
      </c>
      <c r="CO55" s="2430">
        <v>0</v>
      </c>
      <c r="CP55" s="1324"/>
      <c r="CQ55" s="1324"/>
    </row>
    <row r="56" spans="1:95" s="1819" customFormat="1" ht="12.75" hidden="1" customHeight="1" x14ac:dyDescent="0.2">
      <c r="A56" s="947"/>
      <c r="B56" s="1201"/>
      <c r="C56" s="1198"/>
      <c r="D56" s="1035"/>
      <c r="E56" s="920"/>
      <c r="F56" s="2015"/>
      <c r="G56" s="1159"/>
      <c r="H56" s="1205"/>
      <c r="I56" s="1205"/>
      <c r="J56" s="1409"/>
      <c r="K56" s="1205"/>
      <c r="L56" s="1205"/>
      <c r="M56" s="1205"/>
      <c r="N56" s="1205"/>
      <c r="O56" s="1396"/>
      <c r="P56" s="1205"/>
      <c r="Q56" s="1205"/>
      <c r="R56" s="1409"/>
      <c r="S56" s="1205"/>
      <c r="T56" s="1205"/>
      <c r="U56" s="1205"/>
      <c r="V56" s="1409"/>
      <c r="W56" s="1409"/>
      <c r="X56" s="1409"/>
      <c r="Y56" s="1205"/>
      <c r="Z56" s="1409"/>
      <c r="AA56" s="1205"/>
      <c r="AB56" s="1205"/>
      <c r="AC56" s="1205"/>
      <c r="AD56" s="1409"/>
      <c r="AE56" s="1396"/>
      <c r="AF56" s="1205"/>
      <c r="AG56" s="1205"/>
      <c r="AH56" s="1409"/>
      <c r="AI56" s="1205"/>
      <c r="AJ56" s="1205"/>
      <c r="AK56" s="1205"/>
      <c r="AL56" s="1409"/>
      <c r="AM56" s="1205"/>
      <c r="AN56" s="1205"/>
      <c r="AO56" s="1205"/>
      <c r="AP56" s="1409"/>
      <c r="AQ56" s="1205"/>
      <c r="AR56" s="1205"/>
      <c r="AS56" s="1205"/>
      <c r="AT56" s="1409"/>
      <c r="AU56" s="1976"/>
      <c r="AV56" s="1048"/>
      <c r="AW56" s="1048"/>
      <c r="AX56" s="1745"/>
      <c r="AY56" s="1048"/>
      <c r="AZ56" s="1205"/>
      <c r="BA56" s="1409"/>
      <c r="BB56" s="1205"/>
      <c r="BC56" s="1205"/>
      <c r="BD56" s="1205"/>
      <c r="BE56" s="1205"/>
      <c r="BF56" s="1205"/>
      <c r="BG56" s="1396"/>
      <c r="BH56" s="1198"/>
      <c r="BI56" s="1269"/>
      <c r="BJ56" s="1269"/>
      <c r="BK56" s="1035"/>
      <c r="BL56" s="1205"/>
      <c r="BM56" s="1413"/>
      <c r="BN56" s="1413"/>
      <c r="BO56" s="1413"/>
      <c r="BP56" s="1413"/>
      <c r="BQ56" s="1413"/>
      <c r="BR56" s="1413"/>
      <c r="BS56" s="1413"/>
      <c r="BT56" s="1413"/>
      <c r="BU56" s="1367"/>
      <c r="BV56" s="1367"/>
      <c r="BW56" s="1411"/>
      <c r="BX56" s="1422"/>
      <c r="BY56" s="1422"/>
      <c r="BZ56" s="1423"/>
      <c r="CA56" s="1423"/>
      <c r="CB56" s="1009"/>
      <c r="CC56" s="1416"/>
      <c r="CD56" s="1312"/>
      <c r="CE56" s="2430"/>
      <c r="CF56" s="2429"/>
      <c r="CG56" s="2430"/>
      <c r="CH56" s="2430"/>
      <c r="CI56" s="1312"/>
      <c r="CJ56" s="2432"/>
      <c r="CK56" s="1145"/>
      <c r="CL56" s="2432"/>
      <c r="CM56" s="2431"/>
      <c r="CN56" s="1146"/>
      <c r="CO56" s="2430"/>
      <c r="CP56" s="1324"/>
      <c r="CQ56" s="1324"/>
    </row>
    <row r="57" spans="1:95" s="1819" customFormat="1" ht="12.75" customHeight="1" x14ac:dyDescent="0.2">
      <c r="A57" s="947"/>
      <c r="B57" s="946" t="s">
        <v>684</v>
      </c>
      <c r="C57" s="1198">
        <v>60</v>
      </c>
      <c r="D57" s="1035">
        <v>0</v>
      </c>
      <c r="E57" s="920"/>
      <c r="F57" s="2015">
        <v>60</v>
      </c>
      <c r="G57" s="1159">
        <v>0</v>
      </c>
      <c r="H57" s="1205">
        <v>0</v>
      </c>
      <c r="I57" s="1205">
        <v>0</v>
      </c>
      <c r="J57" s="1409">
        <v>0</v>
      </c>
      <c r="K57" s="1205">
        <v>0</v>
      </c>
      <c r="L57" s="1205">
        <v>0</v>
      </c>
      <c r="M57" s="1205">
        <v>0</v>
      </c>
      <c r="N57" s="1205">
        <v>0</v>
      </c>
      <c r="O57" s="1396">
        <v>0</v>
      </c>
      <c r="P57" s="1205">
        <v>0</v>
      </c>
      <c r="Q57" s="1205">
        <v>0</v>
      </c>
      <c r="R57" s="1409">
        <v>0</v>
      </c>
      <c r="S57" s="1205">
        <v>1150</v>
      </c>
      <c r="T57" s="1205">
        <v>1345</v>
      </c>
      <c r="U57" s="1205">
        <v>0</v>
      </c>
      <c r="V57" s="1409">
        <v>0</v>
      </c>
      <c r="W57" s="1409">
        <v>500</v>
      </c>
      <c r="X57" s="1409">
        <v>0</v>
      </c>
      <c r="Y57" s="1205"/>
      <c r="Z57" s="1409"/>
      <c r="AA57" s="1205"/>
      <c r="AB57" s="1205"/>
      <c r="AC57" s="1205"/>
      <c r="AD57" s="1409"/>
      <c r="AE57" s="1396"/>
      <c r="AF57" s="1205"/>
      <c r="AG57" s="1205"/>
      <c r="AH57" s="1409"/>
      <c r="AI57" s="1205"/>
      <c r="AJ57" s="1205"/>
      <c r="AK57" s="1205"/>
      <c r="AL57" s="1409"/>
      <c r="AM57" s="1205"/>
      <c r="AN57" s="1205"/>
      <c r="AO57" s="1205"/>
      <c r="AP57" s="1409"/>
      <c r="AQ57" s="1205"/>
      <c r="AR57" s="1205"/>
      <c r="AS57" s="1205"/>
      <c r="AT57" s="1409"/>
      <c r="AU57" s="1976"/>
      <c r="AV57" s="1048"/>
      <c r="AW57" s="1048"/>
      <c r="AX57" s="1745"/>
      <c r="AY57" s="1048"/>
      <c r="AZ57" s="1205"/>
      <c r="BA57" s="1409"/>
      <c r="BB57" s="1205"/>
      <c r="BC57" s="1205"/>
      <c r="BD57" s="1205"/>
      <c r="BE57" s="1205"/>
      <c r="BF57" s="1205"/>
      <c r="BG57" s="1396"/>
      <c r="BH57" s="1198">
        <v>0</v>
      </c>
      <c r="BI57" s="1269">
        <v>0</v>
      </c>
      <c r="BJ57" s="1269">
        <v>0</v>
      </c>
      <c r="BK57" s="1409">
        <v>0</v>
      </c>
      <c r="BL57" s="1205"/>
      <c r="BM57" s="1413">
        <v>0</v>
      </c>
      <c r="BN57" s="1413">
        <v>0</v>
      </c>
      <c r="BO57" s="1413">
        <v>0</v>
      </c>
      <c r="BP57" s="1413">
        <v>2495</v>
      </c>
      <c r="BQ57" s="1413">
        <v>500</v>
      </c>
      <c r="BR57" s="1413">
        <v>0</v>
      </c>
      <c r="BS57" s="1413">
        <v>0</v>
      </c>
      <c r="BT57" s="1413">
        <v>0</v>
      </c>
      <c r="BU57" s="1367"/>
      <c r="BV57" s="1367"/>
      <c r="BW57" s="1411"/>
      <c r="BX57" s="1422"/>
      <c r="BY57" s="1422"/>
      <c r="BZ57" s="1423"/>
      <c r="CA57" s="1423"/>
      <c r="CB57" s="1009"/>
      <c r="CC57" s="1416"/>
      <c r="CD57" s="1312">
        <v>0</v>
      </c>
      <c r="CE57" s="2430" t="e">
        <v>#DIV/0!</v>
      </c>
      <c r="CF57" s="2429">
        <v>60</v>
      </c>
      <c r="CG57" s="2430" t="e">
        <v>#DIV/0!</v>
      </c>
      <c r="CH57" s="2430"/>
      <c r="CI57" s="1312">
        <v>0</v>
      </c>
      <c r="CJ57" s="2432">
        <v>0</v>
      </c>
      <c r="CK57" s="1145"/>
      <c r="CL57" s="2432">
        <v>0</v>
      </c>
      <c r="CM57" s="2431" t="e">
        <v>#DIV/0!</v>
      </c>
      <c r="CN57" s="1146">
        <v>0</v>
      </c>
      <c r="CO57" s="2430" t="e">
        <v>#DIV/0!</v>
      </c>
      <c r="CP57" s="1324"/>
      <c r="CQ57" s="1324"/>
    </row>
    <row r="58" spans="1:95" s="1819" customFormat="1" ht="12.75" customHeight="1" x14ac:dyDescent="0.2">
      <c r="A58" s="947"/>
      <c r="B58" s="946" t="s">
        <v>380</v>
      </c>
      <c r="C58" s="1198">
        <v>0</v>
      </c>
      <c r="D58" s="1035">
        <v>0</v>
      </c>
      <c r="E58" s="920"/>
      <c r="F58" s="2015">
        <v>0</v>
      </c>
      <c r="G58" s="1159">
        <v>0</v>
      </c>
      <c r="H58" s="1205">
        <v>0</v>
      </c>
      <c r="I58" s="1205">
        <v>0</v>
      </c>
      <c r="J58" s="1409">
        <v>0</v>
      </c>
      <c r="K58" s="1205">
        <v>0</v>
      </c>
      <c r="L58" s="1205">
        <v>0</v>
      </c>
      <c r="M58" s="1205">
        <v>0</v>
      </c>
      <c r="N58" s="1205">
        <v>0</v>
      </c>
      <c r="O58" s="1396">
        <v>0</v>
      </c>
      <c r="P58" s="1205">
        <v>0</v>
      </c>
      <c r="Q58" s="1205">
        <v>0</v>
      </c>
      <c r="R58" s="1409">
        <v>0</v>
      </c>
      <c r="S58" s="1205">
        <v>0</v>
      </c>
      <c r="T58" s="1205">
        <v>25880</v>
      </c>
      <c r="U58" s="1205">
        <v>0</v>
      </c>
      <c r="V58" s="1409">
        <v>0</v>
      </c>
      <c r="W58" s="1409">
        <v>10000</v>
      </c>
      <c r="X58" s="1409">
        <v>4535</v>
      </c>
      <c r="Y58" s="1205"/>
      <c r="Z58" s="1409"/>
      <c r="AA58" s="1205"/>
      <c r="AB58" s="1205"/>
      <c r="AC58" s="1205"/>
      <c r="AD58" s="1409"/>
      <c r="AE58" s="1396"/>
      <c r="AF58" s="1205"/>
      <c r="AG58" s="1205"/>
      <c r="AH58" s="1409"/>
      <c r="AI58" s="1205"/>
      <c r="AJ58" s="1205"/>
      <c r="AK58" s="1205"/>
      <c r="AL58" s="1409"/>
      <c r="AM58" s="1205"/>
      <c r="AN58" s="1205"/>
      <c r="AO58" s="1205"/>
      <c r="AP58" s="1409"/>
      <c r="AQ58" s="1205"/>
      <c r="AR58" s="1205"/>
      <c r="AS58" s="1205"/>
      <c r="AT58" s="1409"/>
      <c r="AU58" s="1976"/>
      <c r="AV58" s="1048"/>
      <c r="AW58" s="1048"/>
      <c r="AX58" s="1745"/>
      <c r="AY58" s="1048"/>
      <c r="AZ58" s="1205"/>
      <c r="BA58" s="1409"/>
      <c r="BB58" s="1205"/>
      <c r="BC58" s="1205"/>
      <c r="BD58" s="1205"/>
      <c r="BE58" s="1205"/>
      <c r="BF58" s="1205"/>
      <c r="BG58" s="1396"/>
      <c r="BH58" s="1198">
        <v>0</v>
      </c>
      <c r="BI58" s="1269">
        <v>0</v>
      </c>
      <c r="BJ58" s="1269">
        <v>0</v>
      </c>
      <c r="BK58" s="1409">
        <v>0</v>
      </c>
      <c r="BL58" s="1205"/>
      <c r="BM58" s="1413">
        <v>0</v>
      </c>
      <c r="BN58" s="1413">
        <v>0</v>
      </c>
      <c r="BO58" s="1413">
        <v>0</v>
      </c>
      <c r="BP58" s="1413">
        <v>25880</v>
      </c>
      <c r="BQ58" s="1413">
        <v>14535</v>
      </c>
      <c r="BR58" s="1413">
        <v>0</v>
      </c>
      <c r="BS58" s="1413">
        <v>0</v>
      </c>
      <c r="BT58" s="1413">
        <v>0</v>
      </c>
      <c r="BU58" s="1367"/>
      <c r="BV58" s="1367"/>
      <c r="BW58" s="1411"/>
      <c r="BX58" s="1422"/>
      <c r="BY58" s="1422"/>
      <c r="BZ58" s="1423"/>
      <c r="CA58" s="1423"/>
      <c r="CB58" s="1009"/>
      <c r="CC58" s="1416"/>
      <c r="CD58" s="1312">
        <v>0</v>
      </c>
      <c r="CE58" s="2430" t="e">
        <v>#DIV/0!</v>
      </c>
      <c r="CF58" s="2429">
        <v>0</v>
      </c>
      <c r="CG58" s="2430" t="e">
        <v>#DIV/0!</v>
      </c>
      <c r="CH58" s="2430"/>
      <c r="CI58" s="1312">
        <v>0</v>
      </c>
      <c r="CJ58" s="2432">
        <v>0</v>
      </c>
      <c r="CK58" s="1145"/>
      <c r="CL58" s="2432">
        <v>0</v>
      </c>
      <c r="CM58" s="2431" t="e">
        <v>#DIV/0!</v>
      </c>
      <c r="CN58" s="1146">
        <v>0</v>
      </c>
      <c r="CO58" s="2430" t="e">
        <v>#DIV/0!</v>
      </c>
      <c r="CP58" s="1324"/>
      <c r="CQ58" s="1324"/>
    </row>
    <row r="59" spans="1:95" s="1819" customFormat="1" ht="12.75" customHeight="1" x14ac:dyDescent="0.2">
      <c r="A59" s="947"/>
      <c r="B59" s="946" t="s">
        <v>399</v>
      </c>
      <c r="C59" s="1198">
        <v>-32</v>
      </c>
      <c r="D59" s="1035">
        <v>-0.2119205298013245</v>
      </c>
      <c r="E59" s="922"/>
      <c r="F59" s="2015">
        <v>119</v>
      </c>
      <c r="G59" s="2035">
        <v>133</v>
      </c>
      <c r="H59" s="1159">
        <v>230</v>
      </c>
      <c r="I59" s="1159">
        <v>151</v>
      </c>
      <c r="J59" s="1959">
        <v>151</v>
      </c>
      <c r="K59" s="2035">
        <v>108</v>
      </c>
      <c r="L59" s="1159">
        <v>120</v>
      </c>
      <c r="M59" s="1159">
        <v>81</v>
      </c>
      <c r="N59" s="1959">
        <v>245</v>
      </c>
      <c r="O59" s="1396">
        <v>228</v>
      </c>
      <c r="P59" s="1205">
        <v>276</v>
      </c>
      <c r="Q59" s="1205">
        <v>278</v>
      </c>
      <c r="R59" s="1409">
        <v>685</v>
      </c>
      <c r="S59" s="1252">
        <v>747</v>
      </c>
      <c r="T59" s="1252">
        <v>703</v>
      </c>
      <c r="U59" s="1252">
        <v>850</v>
      </c>
      <c r="V59" s="1430">
        <v>719</v>
      </c>
      <c r="W59" s="1430">
        <v>913</v>
      </c>
      <c r="X59" s="1430">
        <v>946</v>
      </c>
      <c r="Y59" s="1205"/>
      <c r="Z59" s="1409"/>
      <c r="AA59" s="1205"/>
      <c r="AB59" s="1205"/>
      <c r="AC59" s="1205"/>
      <c r="AD59" s="1409"/>
      <c r="AE59" s="1396"/>
      <c r="AF59" s="1205"/>
      <c r="AG59" s="1205"/>
      <c r="AH59" s="1409"/>
      <c r="AI59" s="1205"/>
      <c r="AJ59" s="1205"/>
      <c r="AK59" s="1205"/>
      <c r="AL59" s="1409"/>
      <c r="AM59" s="1205"/>
      <c r="AN59" s="1205"/>
      <c r="AO59" s="1205"/>
      <c r="AP59" s="1409"/>
      <c r="AQ59" s="1205"/>
      <c r="AR59" s="1205"/>
      <c r="AS59" s="1205"/>
      <c r="AT59" s="1409"/>
      <c r="AU59" s="1976"/>
      <c r="AV59" s="1048"/>
      <c r="AW59" s="1048"/>
      <c r="AX59" s="1745"/>
      <c r="AY59" s="1048"/>
      <c r="AZ59" s="1205"/>
      <c r="BA59" s="1409"/>
      <c r="BB59" s="1205"/>
      <c r="BC59" s="1205"/>
      <c r="BD59" s="1205"/>
      <c r="BE59" s="1205"/>
      <c r="BF59" s="1205"/>
      <c r="BG59" s="1396"/>
      <c r="BH59" s="1198">
        <v>665</v>
      </c>
      <c r="BI59" s="1269">
        <v>554</v>
      </c>
      <c r="BJ59" s="1269">
        <v>111</v>
      </c>
      <c r="BK59" s="1035">
        <v>0.2003610108303249</v>
      </c>
      <c r="BL59" s="1205"/>
      <c r="BM59" s="1413">
        <v>665</v>
      </c>
      <c r="BN59" s="1413">
        <v>554</v>
      </c>
      <c r="BO59" s="1413">
        <v>1467</v>
      </c>
      <c r="BP59" s="1413">
        <v>3019</v>
      </c>
      <c r="BQ59" s="1413">
        <v>3364</v>
      </c>
      <c r="BR59" s="1413">
        <v>4236</v>
      </c>
      <c r="BS59" s="1413">
        <v>4235</v>
      </c>
      <c r="BT59" s="1477">
        <v>5335</v>
      </c>
      <c r="BU59" s="1367"/>
      <c r="BV59" s="1367"/>
      <c r="BW59" s="1411"/>
      <c r="BX59" s="1422"/>
      <c r="BY59" s="1422"/>
      <c r="BZ59" s="1423"/>
      <c r="CA59" s="1423"/>
      <c r="CB59" s="1009"/>
      <c r="CC59" s="1416"/>
      <c r="CD59" s="1312">
        <v>-156</v>
      </c>
      <c r="CE59" s="2430">
        <v>-0.56521739130434778</v>
      </c>
      <c r="CF59" s="2429">
        <v>124</v>
      </c>
      <c r="CG59" s="2430">
        <v>0.35329686150302331</v>
      </c>
      <c r="CH59" s="2430"/>
      <c r="CI59" s="1312">
        <v>446</v>
      </c>
      <c r="CJ59" s="2432">
        <v>219</v>
      </c>
      <c r="CK59" s="1145"/>
      <c r="CL59" s="2432">
        <v>111</v>
      </c>
      <c r="CM59" s="2431">
        <v>0.2003610108303249</v>
      </c>
      <c r="CN59" s="1146">
        <v>0</v>
      </c>
      <c r="CO59" s="2430">
        <v>0</v>
      </c>
      <c r="CP59" s="1324"/>
      <c r="CQ59" s="1324"/>
    </row>
    <row r="60" spans="1:95" s="1819" customFormat="1" ht="12.75" customHeight="1" x14ac:dyDescent="0.2">
      <c r="A60" s="947"/>
      <c r="B60" s="946"/>
      <c r="C60" s="1198"/>
      <c r="D60" s="1035"/>
      <c r="E60" s="920"/>
      <c r="F60" s="2015"/>
      <c r="G60" s="1159"/>
      <c r="H60" s="1205"/>
      <c r="I60" s="1205"/>
      <c r="J60" s="1409"/>
      <c r="K60" s="1205"/>
      <c r="L60" s="1205"/>
      <c r="M60" s="1205"/>
      <c r="N60" s="1205"/>
      <c r="O60" s="1396"/>
      <c r="P60" s="1205"/>
      <c r="Q60" s="1205"/>
      <c r="R60" s="1409"/>
      <c r="S60" s="1252"/>
      <c r="T60" s="1252"/>
      <c r="U60" s="1252"/>
      <c r="V60" s="1430"/>
      <c r="W60" s="1430"/>
      <c r="X60" s="1252"/>
      <c r="Y60" s="1205"/>
      <c r="Z60" s="1409"/>
      <c r="AA60" s="1205"/>
      <c r="AB60" s="1205"/>
      <c r="AC60" s="1205"/>
      <c r="AD60" s="1409"/>
      <c r="AE60" s="1396"/>
      <c r="AF60" s="1205"/>
      <c r="AG60" s="1205"/>
      <c r="AH60" s="1409"/>
      <c r="AI60" s="1205"/>
      <c r="AJ60" s="1205"/>
      <c r="AK60" s="1205"/>
      <c r="AL60" s="1409"/>
      <c r="AM60" s="1205"/>
      <c r="AN60" s="1205"/>
      <c r="AO60" s="1205"/>
      <c r="AP60" s="1409"/>
      <c r="AQ60" s="1205"/>
      <c r="AR60" s="1205"/>
      <c r="AS60" s="1205"/>
      <c r="AT60" s="1409"/>
      <c r="AU60" s="1976"/>
      <c r="AV60" s="1048"/>
      <c r="AW60" s="1048"/>
      <c r="AX60" s="1745"/>
      <c r="AY60" s="1048"/>
      <c r="AZ60" s="1205"/>
      <c r="BA60" s="1409"/>
      <c r="BB60" s="1205"/>
      <c r="BC60" s="1205"/>
      <c r="BD60" s="1205"/>
      <c r="BE60" s="1205"/>
      <c r="BF60" s="1205"/>
      <c r="BG60" s="1413"/>
      <c r="BH60" s="1198"/>
      <c r="BI60" s="1269"/>
      <c r="BJ60" s="1269"/>
      <c r="BK60" s="1192"/>
      <c r="BL60" s="1205"/>
      <c r="BM60" s="1477"/>
      <c r="BN60" s="1477"/>
      <c r="BO60" s="1477"/>
      <c r="BP60" s="1477"/>
      <c r="BQ60" s="1477"/>
      <c r="BR60" s="1477">
        <v>13632</v>
      </c>
      <c r="BS60" s="1413"/>
      <c r="BT60" s="1477"/>
      <c r="BU60" s="1367"/>
      <c r="BV60" s="1367"/>
      <c r="BW60" s="1411"/>
      <c r="BX60" s="1422"/>
      <c r="BY60" s="1422"/>
      <c r="BZ60" s="1423"/>
      <c r="CA60" s="1423"/>
      <c r="CB60" s="1009"/>
      <c r="CC60" s="1416"/>
      <c r="CD60" s="1312"/>
      <c r="CE60" s="2430"/>
      <c r="CF60" s="2429"/>
      <c r="CG60" s="2430"/>
      <c r="CH60" s="2430"/>
      <c r="CI60" s="1312"/>
      <c r="CJ60" s="2432"/>
      <c r="CK60" s="1145"/>
      <c r="CL60" s="2432"/>
      <c r="CM60" s="2431"/>
      <c r="CN60" s="1146"/>
      <c r="CO60" s="2430"/>
      <c r="CP60" s="1324"/>
      <c r="CQ60" s="1324"/>
    </row>
    <row r="61" spans="1:95" s="2304" customFormat="1" ht="27.75" customHeight="1" x14ac:dyDescent="0.2">
      <c r="A61" s="3180" t="s">
        <v>398</v>
      </c>
      <c r="B61" s="3181"/>
      <c r="C61" s="1195">
        <v>-540</v>
      </c>
      <c r="D61" s="1190">
        <v>-1.4835164835164836</v>
      </c>
      <c r="E61" s="920"/>
      <c r="F61" s="2036">
        <v>-904</v>
      </c>
      <c r="G61" s="2319">
        <v>-413</v>
      </c>
      <c r="H61" s="1320">
        <v>-460</v>
      </c>
      <c r="I61" s="1320">
        <v>-342</v>
      </c>
      <c r="J61" s="2537">
        <v>-364</v>
      </c>
      <c r="K61" s="2319">
        <v>-262</v>
      </c>
      <c r="L61" s="1320">
        <v>-306</v>
      </c>
      <c r="M61" s="1320">
        <v>-116</v>
      </c>
      <c r="N61" s="2537">
        <v>-556</v>
      </c>
      <c r="O61" s="1401">
        <v>-440</v>
      </c>
      <c r="P61" s="1395">
        <v>-801</v>
      </c>
      <c r="Q61" s="1395">
        <v>-707</v>
      </c>
      <c r="R61" s="1400">
        <v>549</v>
      </c>
      <c r="S61" s="1395">
        <v>-1459</v>
      </c>
      <c r="T61" s="1395">
        <v>-28046</v>
      </c>
      <c r="U61" s="1395">
        <v>-641</v>
      </c>
      <c r="V61" s="1400">
        <v>-1059</v>
      </c>
      <c r="W61" s="1400">
        <v>-11097</v>
      </c>
      <c r="X61" s="1395">
        <v>-5459</v>
      </c>
      <c r="Y61" s="1407"/>
      <c r="Z61" s="1424"/>
      <c r="AA61" s="1407"/>
      <c r="AB61" s="1407"/>
      <c r="AC61" s="1407"/>
      <c r="AD61" s="1424"/>
      <c r="AE61" s="1408"/>
      <c r="AF61" s="1407"/>
      <c r="AG61" s="1407"/>
      <c r="AH61" s="1424"/>
      <c r="AI61" s="1407"/>
      <c r="AJ61" s="1407"/>
      <c r="AK61" s="1407"/>
      <c r="AL61" s="1424"/>
      <c r="AM61" s="1407"/>
      <c r="AN61" s="1407"/>
      <c r="AO61" s="1407"/>
      <c r="AP61" s="1424"/>
      <c r="AQ61" s="1407"/>
      <c r="AR61" s="1407"/>
      <c r="AS61" s="1407"/>
      <c r="AT61" s="1424"/>
      <c r="AU61" s="2242"/>
      <c r="AV61" s="2243"/>
      <c r="AW61" s="2243"/>
      <c r="AX61" s="2244"/>
      <c r="AY61" s="2243"/>
      <c r="AZ61" s="1205"/>
      <c r="BA61" s="1409"/>
      <c r="BB61" s="1205"/>
      <c r="BC61" s="1205"/>
      <c r="BD61" s="1205"/>
      <c r="BE61" s="1205"/>
      <c r="BF61" s="1205"/>
      <c r="BG61" s="1413"/>
      <c r="BH61" s="1401">
        <v>-1579</v>
      </c>
      <c r="BI61" s="1395">
        <v>-1240</v>
      </c>
      <c r="BJ61" s="1276">
        <v>-339</v>
      </c>
      <c r="BK61" s="1190">
        <v>-0.27338709677419354</v>
      </c>
      <c r="BL61" s="1205"/>
      <c r="BM61" s="1403">
        <v>-1579</v>
      </c>
      <c r="BN61" s="1403">
        <v>-1240</v>
      </c>
      <c r="BO61" s="1403">
        <v>-1399</v>
      </c>
      <c r="BP61" s="1403">
        <v>-31205</v>
      </c>
      <c r="BQ61" s="1403">
        <v>-18956</v>
      </c>
      <c r="BR61" s="1403">
        <v>-3286</v>
      </c>
      <c r="BS61" s="1403">
        <v>-3807</v>
      </c>
      <c r="BT61" s="1403">
        <v>-3422</v>
      </c>
      <c r="BU61" s="1426">
        <v>10903</v>
      </c>
      <c r="BV61" s="1426">
        <v>9573</v>
      </c>
      <c r="BW61" s="1414" t="s">
        <v>181</v>
      </c>
      <c r="BX61" s="1427" t="s">
        <v>181</v>
      </c>
      <c r="BY61" s="1427" t="s">
        <v>181</v>
      </c>
      <c r="BZ61" s="1428" t="s">
        <v>181</v>
      </c>
      <c r="CA61" s="1428" t="s">
        <v>181</v>
      </c>
      <c r="CB61" s="1009"/>
      <c r="CC61" s="1416"/>
      <c r="CD61" s="1312">
        <v>495</v>
      </c>
      <c r="CE61" s="2430">
        <v>-0.6179775280898876</v>
      </c>
      <c r="CF61" s="2429">
        <v>-1035</v>
      </c>
      <c r="CG61" s="2430">
        <v>-0.86553895542659598</v>
      </c>
      <c r="CH61" s="2430"/>
      <c r="CI61" s="1312">
        <v>-978</v>
      </c>
      <c r="CJ61" s="2432">
        <v>-601</v>
      </c>
      <c r="CK61" s="1145"/>
      <c r="CL61" s="2432">
        <v>-339</v>
      </c>
      <c r="CM61" s="2431">
        <v>0.27338709677419354</v>
      </c>
      <c r="CN61" s="1146">
        <v>0</v>
      </c>
      <c r="CO61" s="2430">
        <v>-0.54677419354838708</v>
      </c>
      <c r="CP61" s="1171"/>
      <c r="CQ61" s="1171"/>
    </row>
    <row r="62" spans="1:95" s="2304" customFormat="1" ht="24" customHeight="1" x14ac:dyDescent="0.2">
      <c r="A62" s="3182" t="s">
        <v>183</v>
      </c>
      <c r="B62" s="3183"/>
      <c r="C62" s="1195">
        <v>7921</v>
      </c>
      <c r="D62" s="1190">
        <v>0.55003124783001178</v>
      </c>
      <c r="E62" s="920"/>
      <c r="F62" s="2017">
        <v>22322</v>
      </c>
      <c r="G62" s="1162">
        <v>3117</v>
      </c>
      <c r="H62" s="1252">
        <v>35724</v>
      </c>
      <c r="I62" s="1252">
        <v>28324</v>
      </c>
      <c r="J62" s="1430">
        <v>14401</v>
      </c>
      <c r="K62" s="1252">
        <v>-2471</v>
      </c>
      <c r="L62" s="1252">
        <v>38101</v>
      </c>
      <c r="M62" s="1252">
        <v>-2904</v>
      </c>
      <c r="N62" s="1252">
        <v>-3076</v>
      </c>
      <c r="O62" s="1429">
        <v>41191</v>
      </c>
      <c r="P62" s="1252">
        <v>9954</v>
      </c>
      <c r="Q62" s="1252">
        <v>361</v>
      </c>
      <c r="R62" s="1430">
        <v>10972</v>
      </c>
      <c r="S62" s="1252">
        <v>-7638</v>
      </c>
      <c r="T62" s="1252">
        <v>-340014</v>
      </c>
      <c r="U62" s="1252">
        <v>2340</v>
      </c>
      <c r="V62" s="1430">
        <v>13289</v>
      </c>
      <c r="W62" s="1430" t="e">
        <v>#REF!</v>
      </c>
      <c r="X62" s="1252" t="e">
        <v>#REF!</v>
      </c>
      <c r="Y62" s="1252"/>
      <c r="Z62" s="1430"/>
      <c r="AA62" s="1252"/>
      <c r="AB62" s="1252"/>
      <c r="AC62" s="1252"/>
      <c r="AD62" s="1430"/>
      <c r="AE62" s="1252"/>
      <c r="AF62" s="1252"/>
      <c r="AG62" s="1252"/>
      <c r="AH62" s="1430"/>
      <c r="AI62" s="1252"/>
      <c r="AJ62" s="1252"/>
      <c r="AK62" s="1252"/>
      <c r="AL62" s="1430"/>
      <c r="AM62" s="1205"/>
      <c r="AN62" s="1205"/>
      <c r="AO62" s="1205"/>
      <c r="AP62" s="1409"/>
      <c r="AQ62" s="1205"/>
      <c r="AR62" s="1205"/>
      <c r="AS62" s="1205"/>
      <c r="AT62" s="1409"/>
      <c r="AU62" s="1048"/>
      <c r="AV62" s="1048"/>
      <c r="AW62" s="1048"/>
      <c r="AX62" s="1745"/>
      <c r="AY62" s="1048"/>
      <c r="AZ62" s="1205"/>
      <c r="BA62" s="1409"/>
      <c r="BB62" s="1205"/>
      <c r="BC62" s="1205"/>
      <c r="BD62" s="1205"/>
      <c r="BE62" s="1205"/>
      <c r="BF62" s="1205"/>
      <c r="BG62" s="1413"/>
      <c r="BH62" s="1252">
        <v>81566</v>
      </c>
      <c r="BI62" s="1252">
        <v>29650</v>
      </c>
      <c r="BJ62" s="1304">
        <v>51916</v>
      </c>
      <c r="BK62" s="1190">
        <v>1.7509612141652613</v>
      </c>
      <c r="BL62" s="1205"/>
      <c r="BM62" s="1403">
        <v>81566</v>
      </c>
      <c r="BN62" s="1429">
        <v>29650</v>
      </c>
      <c r="BO62" s="1429">
        <v>62478</v>
      </c>
      <c r="BP62" s="1429">
        <v>-332023</v>
      </c>
      <c r="BQ62" s="1477">
        <v>13842</v>
      </c>
      <c r="BR62" s="1477">
        <v>82928</v>
      </c>
      <c r="BS62" s="1477">
        <v>7206</v>
      </c>
      <c r="BT62" s="2245" t="e">
        <v>#REF!</v>
      </c>
      <c r="BU62" s="1432" t="s">
        <v>181</v>
      </c>
      <c r="BV62" s="1432" t="s">
        <v>181</v>
      </c>
      <c r="BW62" s="1422" t="s">
        <v>181</v>
      </c>
      <c r="BX62" s="1414"/>
      <c r="BY62" s="1414"/>
      <c r="BZ62" s="1415"/>
      <c r="CA62" s="1415"/>
      <c r="CB62" s="1009"/>
      <c r="CC62" s="1416"/>
      <c r="CD62" s="1312">
        <v>28147</v>
      </c>
      <c r="CE62" s="2430">
        <v>2.8277074542897327</v>
      </c>
      <c r="CF62" s="2429">
        <v>-20226</v>
      </c>
      <c r="CG62" s="2430">
        <v>-2.2776762064597209</v>
      </c>
      <c r="CH62" s="2430"/>
      <c r="CI62" s="1312">
        <v>32121</v>
      </c>
      <c r="CJ62" s="2432">
        <v>49445</v>
      </c>
      <c r="CK62" s="1145"/>
      <c r="CL62" s="2432">
        <v>51916</v>
      </c>
      <c r="CM62" s="2431">
        <v>1.7509612141652613</v>
      </c>
      <c r="CN62" s="1146">
        <v>0</v>
      </c>
      <c r="CO62" s="2430">
        <v>0</v>
      </c>
      <c r="CP62" s="1171"/>
      <c r="CQ62" s="1171"/>
    </row>
    <row r="63" spans="1:95" s="2304" customFormat="1" x14ac:dyDescent="0.2">
      <c r="A63" s="1983"/>
      <c r="B63" s="1343" t="s">
        <v>332</v>
      </c>
      <c r="C63" s="1198">
        <v>240</v>
      </c>
      <c r="D63" s="1035">
        <v>5.5749128919860627E-2</v>
      </c>
      <c r="E63" s="922"/>
      <c r="F63" s="2017">
        <v>4545</v>
      </c>
      <c r="G63" s="1162">
        <v>5646</v>
      </c>
      <c r="H63" s="1252">
        <v>4628</v>
      </c>
      <c r="I63" s="1252">
        <v>4110</v>
      </c>
      <c r="J63" s="1430">
        <v>4305</v>
      </c>
      <c r="K63" s="1252">
        <v>4506</v>
      </c>
      <c r="L63" s="1252">
        <v>3835</v>
      </c>
      <c r="M63" s="1252">
        <v>3869</v>
      </c>
      <c r="N63" s="1252">
        <v>4314</v>
      </c>
      <c r="O63" s="1429">
        <v>5164</v>
      </c>
      <c r="P63" s="1252">
        <v>5016</v>
      </c>
      <c r="Q63" s="1252">
        <v>4410</v>
      </c>
      <c r="R63" s="1430">
        <v>3620</v>
      </c>
      <c r="S63" s="1252">
        <v>5066</v>
      </c>
      <c r="T63" s="1252">
        <v>3918</v>
      </c>
      <c r="U63" s="1252">
        <v>4114</v>
      </c>
      <c r="V63" s="1430">
        <v>3989</v>
      </c>
      <c r="W63" s="1430">
        <v>3122</v>
      </c>
      <c r="X63" s="1252">
        <v>2697</v>
      </c>
      <c r="Y63" s="1395">
        <v>3392</v>
      </c>
      <c r="Z63" s="1400">
        <v>2699</v>
      </c>
      <c r="AA63" s="1395">
        <v>2245</v>
      </c>
      <c r="AB63" s="1395">
        <v>2156</v>
      </c>
      <c r="AC63" s="1395">
        <v>0</v>
      </c>
      <c r="AD63" s="1400">
        <v>0</v>
      </c>
      <c r="AE63" s="1205">
        <v>0</v>
      </c>
      <c r="AF63" s="1205">
        <v>0</v>
      </c>
      <c r="AG63" s="1205">
        <v>0</v>
      </c>
      <c r="AH63" s="1430">
        <v>0</v>
      </c>
      <c r="AI63" s="1205">
        <v>0</v>
      </c>
      <c r="AJ63" s="1205">
        <v>0</v>
      </c>
      <c r="AK63" s="1205">
        <v>0</v>
      </c>
      <c r="AL63" s="1409">
        <v>0</v>
      </c>
      <c r="AM63" s="1205"/>
      <c r="AN63" s="1205"/>
      <c r="AO63" s="1205"/>
      <c r="AP63" s="1409"/>
      <c r="AQ63" s="1205"/>
      <c r="AR63" s="1205"/>
      <c r="AS63" s="1205"/>
      <c r="AT63" s="1409"/>
      <c r="AU63" s="1048"/>
      <c r="AV63" s="1048"/>
      <c r="AW63" s="1048"/>
      <c r="AX63" s="1745"/>
      <c r="AY63" s="1048"/>
      <c r="AZ63" s="1205"/>
      <c r="BA63" s="1409"/>
      <c r="BB63" s="1205"/>
      <c r="BC63" s="1205"/>
      <c r="BD63" s="1205"/>
      <c r="BE63" s="1205"/>
      <c r="BF63" s="1205"/>
      <c r="BG63" s="1619"/>
      <c r="BH63" s="1307">
        <v>18689</v>
      </c>
      <c r="BI63" s="1252">
        <v>16524</v>
      </c>
      <c r="BJ63" s="1304">
        <v>2165</v>
      </c>
      <c r="BK63" s="1192">
        <v>0.13102154442023722</v>
      </c>
      <c r="BL63" s="1810"/>
      <c r="BM63" s="1413">
        <v>18689</v>
      </c>
      <c r="BN63" s="1477">
        <v>16524</v>
      </c>
      <c r="BO63" s="1477">
        <v>18210</v>
      </c>
      <c r="BP63" s="1477">
        <v>17087</v>
      </c>
      <c r="BQ63" s="1477">
        <v>11910</v>
      </c>
      <c r="BR63" s="1477">
        <v>8537</v>
      </c>
      <c r="BS63" s="1380">
        <v>3566</v>
      </c>
      <c r="BT63" s="1380">
        <v>11867</v>
      </c>
      <c r="BU63" s="1380">
        <v>10903</v>
      </c>
      <c r="BV63" s="1380">
        <v>9573</v>
      </c>
      <c r="BW63" s="1411" t="s">
        <v>181</v>
      </c>
      <c r="BX63" s="1414"/>
      <c r="BY63" s="1414"/>
      <c r="BZ63" s="1415"/>
      <c r="CA63" s="1415"/>
      <c r="CB63" s="1009"/>
      <c r="CC63" s="1416"/>
      <c r="CD63" s="1312">
        <v>-1181</v>
      </c>
      <c r="CE63" s="2430">
        <v>-0.23544657097288677</v>
      </c>
      <c r="CF63" s="2429">
        <v>1421</v>
      </c>
      <c r="CG63" s="2430">
        <v>0.29119569989274741</v>
      </c>
      <c r="CH63" s="2430"/>
      <c r="CI63" s="1312">
        <v>12018</v>
      </c>
      <c r="CJ63" s="2432">
        <v>6671</v>
      </c>
      <c r="CK63" s="1145"/>
      <c r="CL63" s="2432">
        <v>2165</v>
      </c>
      <c r="CM63" s="2431">
        <v>0.13102154442023722</v>
      </c>
      <c r="CN63" s="1146">
        <v>0</v>
      </c>
      <c r="CO63" s="2430">
        <v>0</v>
      </c>
      <c r="CP63" s="1171"/>
      <c r="CQ63" s="1171"/>
    </row>
    <row r="64" spans="1:95" s="2304" customFormat="1" ht="20.25" customHeight="1" thickBot="1" x14ac:dyDescent="0.25">
      <c r="A64" s="1197" t="s">
        <v>72</v>
      </c>
      <c r="B64" s="947"/>
      <c r="C64" s="1195">
        <v>7681</v>
      </c>
      <c r="D64" s="1190">
        <v>0.7607963549920761</v>
      </c>
      <c r="E64" s="922"/>
      <c r="F64" s="2048">
        <v>17777</v>
      </c>
      <c r="G64" s="1332">
        <v>-2529</v>
      </c>
      <c r="H64" s="1435">
        <v>31096</v>
      </c>
      <c r="I64" s="1435">
        <v>24214</v>
      </c>
      <c r="J64" s="1439">
        <v>10096</v>
      </c>
      <c r="K64" s="1435">
        <v>-6977</v>
      </c>
      <c r="L64" s="1435">
        <v>34266</v>
      </c>
      <c r="M64" s="1435">
        <v>-6773</v>
      </c>
      <c r="N64" s="1435">
        <v>-7390</v>
      </c>
      <c r="O64" s="1436">
        <v>36027</v>
      </c>
      <c r="P64" s="1435">
        <v>4938</v>
      </c>
      <c r="Q64" s="1435">
        <v>-4049</v>
      </c>
      <c r="R64" s="1439">
        <v>7352</v>
      </c>
      <c r="S64" s="1435">
        <v>-12704</v>
      </c>
      <c r="T64" s="1435">
        <v>-343932</v>
      </c>
      <c r="U64" s="1435">
        <v>-1774</v>
      </c>
      <c r="V64" s="1439">
        <v>9300</v>
      </c>
      <c r="W64" s="1439" t="e">
        <v>#REF!</v>
      </c>
      <c r="X64" s="1435" t="e">
        <v>#REF!</v>
      </c>
      <c r="Y64" s="1435">
        <v>25264</v>
      </c>
      <c r="Z64" s="1439">
        <v>26770</v>
      </c>
      <c r="AA64" s="1435">
        <v>34617</v>
      </c>
      <c r="AB64" s="1435">
        <v>27908</v>
      </c>
      <c r="AC64" s="1435">
        <v>-6684</v>
      </c>
      <c r="AD64" s="1439">
        <v>9331</v>
      </c>
      <c r="AE64" s="1435">
        <v>6052</v>
      </c>
      <c r="AF64" s="1435">
        <v>13128</v>
      </c>
      <c r="AG64" s="1435">
        <v>-12130</v>
      </c>
      <c r="AH64" s="1435">
        <v>-25131</v>
      </c>
      <c r="AI64" s="1436">
        <v>-29647</v>
      </c>
      <c r="AJ64" s="1435">
        <v>3727</v>
      </c>
      <c r="AK64" s="1435">
        <v>-2393</v>
      </c>
      <c r="AL64" s="1439">
        <v>16154</v>
      </c>
      <c r="AM64" s="1435">
        <v>54561</v>
      </c>
      <c r="AN64" s="1435">
        <v>59046</v>
      </c>
      <c r="AO64" s="1435">
        <v>18988</v>
      </c>
      <c r="AP64" s="1439">
        <v>13133</v>
      </c>
      <c r="AQ64" s="1435">
        <v>9460</v>
      </c>
      <c r="AR64" s="1435">
        <v>25609</v>
      </c>
      <c r="AS64" s="1435">
        <v>12266</v>
      </c>
      <c r="AT64" s="1439">
        <v>14054</v>
      </c>
      <c r="AU64" s="1749" t="s">
        <v>181</v>
      </c>
      <c r="AV64" s="1749" t="s">
        <v>181</v>
      </c>
      <c r="AW64" s="1749" t="s">
        <v>181</v>
      </c>
      <c r="AX64" s="1750" t="s">
        <v>181</v>
      </c>
      <c r="AY64" s="1749" t="s">
        <v>181</v>
      </c>
      <c r="AZ64" s="1205"/>
      <c r="BA64" s="1409"/>
      <c r="BB64" s="1205"/>
      <c r="BC64" s="1205"/>
      <c r="BD64" s="1205"/>
      <c r="BE64" s="1205"/>
      <c r="BF64" s="1205"/>
      <c r="BG64" s="1619"/>
      <c r="BH64" s="1435">
        <v>62877</v>
      </c>
      <c r="BI64" s="1435">
        <v>13126</v>
      </c>
      <c r="BJ64" s="1435">
        <v>49751</v>
      </c>
      <c r="BK64" s="1200" t="s">
        <v>41</v>
      </c>
      <c r="BL64" s="1205">
        <v>0</v>
      </c>
      <c r="BM64" s="1443">
        <v>62877</v>
      </c>
      <c r="BN64" s="1443">
        <v>13126</v>
      </c>
      <c r="BO64" s="1443">
        <v>44268</v>
      </c>
      <c r="BP64" s="1443">
        <v>-349110</v>
      </c>
      <c r="BQ64" s="1443">
        <v>1932</v>
      </c>
      <c r="BR64" s="1443">
        <v>74391</v>
      </c>
      <c r="BS64" s="1443">
        <v>3640</v>
      </c>
      <c r="BT64" s="1443" t="e">
        <v>#REF!</v>
      </c>
      <c r="BU64" s="1444">
        <v>136659</v>
      </c>
      <c r="BV64" s="1444">
        <v>55495</v>
      </c>
      <c r="BW64" s="1441" t="s">
        <v>181</v>
      </c>
      <c r="BX64" s="1441" t="s">
        <v>181</v>
      </c>
      <c r="BY64" s="1441" t="s">
        <v>181</v>
      </c>
      <c r="BZ64" s="1445" t="s">
        <v>181</v>
      </c>
      <c r="CA64" s="1445" t="s">
        <v>181</v>
      </c>
      <c r="CB64" s="1009"/>
      <c r="CC64" s="1416"/>
      <c r="CD64" s="1312">
        <v>29328</v>
      </c>
      <c r="CE64" s="2430">
        <v>5.9392466585662209</v>
      </c>
      <c r="CF64" s="2429">
        <v>-21647</v>
      </c>
      <c r="CG64" s="2430">
        <v>-5.1784503035741452</v>
      </c>
      <c r="CH64" s="2430"/>
      <c r="CI64" s="1312">
        <v>20103</v>
      </c>
      <c r="CJ64" s="2432">
        <v>42774</v>
      </c>
      <c r="CK64" s="1145"/>
      <c r="CL64" s="2432">
        <v>49751</v>
      </c>
      <c r="CM64" s="2431">
        <v>3.7902635989638886</v>
      </c>
      <c r="CN64" s="1146">
        <v>0</v>
      </c>
      <c r="CO64" s="2430" t="e">
        <v>#VALUE!</v>
      </c>
      <c r="CP64" s="1171"/>
      <c r="CQ64" s="1171"/>
    </row>
    <row r="65" spans="1:95" s="2304" customFormat="1" ht="12.75" customHeight="1" thickTop="1" x14ac:dyDescent="0.2">
      <c r="A65" s="948"/>
      <c r="B65" s="946"/>
      <c r="C65" s="1863"/>
      <c r="D65" s="2995"/>
      <c r="E65" s="908"/>
      <c r="F65" s="1961"/>
      <c r="G65" s="1961"/>
      <c r="H65" s="1065"/>
      <c r="I65" s="1065"/>
      <c r="J65" s="1065"/>
      <c r="K65" s="1065"/>
      <c r="L65" s="1065"/>
      <c r="M65" s="1065"/>
      <c r="N65" s="1065"/>
      <c r="O65" s="1065"/>
      <c r="P65" s="1065"/>
      <c r="Q65" s="1398"/>
      <c r="R65" s="1398"/>
      <c r="S65" s="1398"/>
      <c r="T65" s="1398"/>
      <c r="U65" s="1398"/>
      <c r="V65" s="1398"/>
      <c r="W65" s="1398"/>
      <c r="X65" s="1398"/>
      <c r="Y65" s="1398"/>
      <c r="Z65" s="1398"/>
      <c r="AA65" s="1398"/>
      <c r="AB65" s="1398"/>
      <c r="AC65" s="1398"/>
      <c r="AD65" s="1397"/>
      <c r="AE65" s="1398"/>
      <c r="AF65" s="1398"/>
      <c r="AG65" s="1398"/>
      <c r="AH65" s="1397"/>
      <c r="AI65" s="1398"/>
      <c r="AJ65" s="1398"/>
      <c r="AK65" s="1398"/>
      <c r="AL65" s="1397"/>
      <c r="AM65" s="1398"/>
      <c r="AN65" s="1398"/>
      <c r="AO65" s="1398"/>
      <c r="AP65" s="1397"/>
      <c r="AQ65" s="1398"/>
      <c r="AR65" s="1398"/>
      <c r="AS65" s="1398"/>
      <c r="AT65" s="1397"/>
      <c r="AU65" s="1398"/>
      <c r="AV65" s="1398"/>
      <c r="AW65" s="1398"/>
      <c r="AX65" s="1397"/>
      <c r="AY65" s="1398"/>
      <c r="AZ65" s="1398"/>
      <c r="BA65" s="1397"/>
      <c r="BB65" s="1398"/>
      <c r="BC65" s="1398"/>
      <c r="BD65" s="1398"/>
      <c r="BE65" s="1398"/>
      <c r="BF65" s="1398"/>
      <c r="BG65" s="1446"/>
      <c r="BH65" s="1442"/>
      <c r="BI65" s="1442"/>
      <c r="BJ65" s="1009"/>
      <c r="BK65" s="1346"/>
      <c r="BL65" s="1442"/>
      <c r="BM65" s="1442"/>
      <c r="BN65" s="1442"/>
      <c r="BO65" s="1442"/>
      <c r="BP65" s="1442"/>
      <c r="BQ65" s="1398"/>
      <c r="BR65" s="1398"/>
      <c r="BS65" s="1398"/>
      <c r="BT65" s="1398"/>
      <c r="BU65" s="1398"/>
      <c r="BV65" s="1398"/>
      <c r="BW65" s="1367"/>
      <c r="BX65" s="1397"/>
      <c r="BY65" s="1397"/>
      <c r="BZ65" s="1009"/>
      <c r="CA65" s="1038"/>
      <c r="CB65" s="1009"/>
      <c r="CC65" s="1416"/>
      <c r="CD65" s="1965"/>
      <c r="CE65" s="1323"/>
      <c r="CF65" s="1323"/>
      <c r="CG65" s="1324"/>
      <c r="CH65" s="1324"/>
      <c r="CI65" s="1171"/>
      <c r="CJ65" s="1171"/>
      <c r="CK65" s="1171"/>
      <c r="CL65" s="1171"/>
      <c r="CM65" s="1171"/>
      <c r="CN65" s="1171"/>
      <c r="CO65" s="1171"/>
      <c r="CP65" s="1171"/>
      <c r="CQ65" s="1171"/>
    </row>
    <row r="66" spans="1:95" s="2304" customFormat="1" ht="12.75" hidden="1" customHeight="1" x14ac:dyDescent="0.2">
      <c r="A66" s="1193"/>
      <c r="B66" s="1193" t="s">
        <v>6</v>
      </c>
      <c r="C66" s="957">
        <v>-8211</v>
      </c>
      <c r="D66" s="1346" t="e">
        <v>#DIV/0!</v>
      </c>
      <c r="E66" s="908"/>
      <c r="F66" s="1961"/>
      <c r="G66" s="1961"/>
      <c r="H66" s="1065"/>
      <c r="I66" s="1065"/>
      <c r="J66" s="1065"/>
      <c r="K66" s="1065"/>
      <c r="L66" s="1065"/>
      <c r="M66" s="1065"/>
      <c r="N66" s="1065"/>
      <c r="O66" s="1065"/>
      <c r="P66" s="1065"/>
      <c r="Q66" s="1398"/>
      <c r="R66" s="1398"/>
      <c r="S66" s="1398"/>
      <c r="T66" s="1398"/>
      <c r="U66" s="1398"/>
      <c r="V66" s="1398"/>
      <c r="W66" s="1398"/>
      <c r="X66" s="1398"/>
      <c r="Y66" s="1398"/>
      <c r="Z66" s="1398"/>
      <c r="AA66" s="1398"/>
      <c r="AB66" s="1398"/>
      <c r="AC66" s="1398"/>
      <c r="AD66" s="1397"/>
      <c r="AE66" s="1398"/>
      <c r="AF66" s="1398"/>
      <c r="AG66" s="1398"/>
      <c r="AH66" s="1397"/>
      <c r="AI66" s="1398"/>
      <c r="AJ66" s="1398"/>
      <c r="AK66" s="1398"/>
      <c r="AL66" s="1397"/>
      <c r="AM66" s="1398"/>
      <c r="AN66" s="1398"/>
      <c r="AO66" s="1398"/>
      <c r="AP66" s="1397"/>
      <c r="AQ66" s="1398"/>
      <c r="AR66" s="1398">
        <v>8211</v>
      </c>
      <c r="AS66" s="1398">
        <v>1672</v>
      </c>
      <c r="AT66" s="1397">
        <v>6003</v>
      </c>
      <c r="AU66" s="1398">
        <v>3034</v>
      </c>
      <c r="AV66" s="1398">
        <v>-3872</v>
      </c>
      <c r="AW66" s="1398">
        <v>-991</v>
      </c>
      <c r="AX66" s="1397">
        <v>4485</v>
      </c>
      <c r="AY66" s="1398">
        <v>2232</v>
      </c>
      <c r="AZ66" s="1398"/>
      <c r="BA66" s="1397"/>
      <c r="BB66" s="1398"/>
      <c r="BC66" s="1398"/>
      <c r="BD66" s="1398"/>
      <c r="BE66" s="1398"/>
      <c r="BF66" s="1398"/>
      <c r="BG66" s="1446"/>
      <c r="BH66" s="1442"/>
      <c r="BI66" s="1442"/>
      <c r="BJ66" s="1009">
        <v>13230</v>
      </c>
      <c r="BK66" s="1346" t="e">
        <v>#DIV/0!</v>
      </c>
      <c r="BL66" s="1442"/>
      <c r="BM66" s="1442">
        <v>0</v>
      </c>
      <c r="BN66" s="1442">
        <v>0</v>
      </c>
      <c r="BO66" s="1442"/>
      <c r="BP66" s="1442"/>
      <c r="BQ66" s="1398"/>
      <c r="BR66" s="1398"/>
      <c r="BS66" s="1398"/>
      <c r="BT66" s="1398"/>
      <c r="BU66" s="1398">
        <v>15886</v>
      </c>
      <c r="BV66" s="1398"/>
      <c r="BW66" s="1367">
        <v>-728</v>
      </c>
      <c r="BX66" s="1397">
        <v>29848</v>
      </c>
      <c r="BY66" s="1397">
        <v>30992</v>
      </c>
      <c r="BZ66" s="1009">
        <v>27864</v>
      </c>
      <c r="CA66" s="1038">
        <v>17832</v>
      </c>
      <c r="CB66" s="1009"/>
      <c r="CC66" s="1416"/>
      <c r="CD66" s="1965"/>
      <c r="CE66" s="1323"/>
      <c r="CF66" s="1323"/>
      <c r="CG66" s="1324"/>
      <c r="CH66" s="1324"/>
      <c r="CI66" s="1171"/>
      <c r="CJ66" s="1171"/>
      <c r="CK66" s="1171"/>
      <c r="CL66" s="1171"/>
      <c r="CM66" s="1171"/>
      <c r="CN66" s="1171"/>
      <c r="CO66" s="1171"/>
      <c r="CP66" s="1171"/>
      <c r="CQ66" s="1171"/>
    </row>
    <row r="67" spans="1:95" s="2304" customFormat="1" ht="12.75" hidden="1" customHeight="1" x14ac:dyDescent="0.2">
      <c r="A67" s="1193"/>
      <c r="B67" s="1193"/>
      <c r="C67" s="957"/>
      <c r="D67" s="1346" t="e">
        <v>#DIV/0!</v>
      </c>
      <c r="E67" s="908"/>
      <c r="F67" s="1961"/>
      <c r="G67" s="1961"/>
      <c r="H67" s="1065"/>
      <c r="I67" s="1065"/>
      <c r="J67" s="1065"/>
      <c r="K67" s="1065"/>
      <c r="L67" s="1065"/>
      <c r="M67" s="1065"/>
      <c r="N67" s="1065"/>
      <c r="O67" s="1065"/>
      <c r="P67" s="1065"/>
      <c r="Q67" s="1398"/>
      <c r="R67" s="1398"/>
      <c r="S67" s="1398"/>
      <c r="T67" s="1398"/>
      <c r="U67" s="1398"/>
      <c r="V67" s="1398"/>
      <c r="W67" s="1398"/>
      <c r="X67" s="1398"/>
      <c r="Y67" s="1398"/>
      <c r="Z67" s="1398"/>
      <c r="AA67" s="1398"/>
      <c r="AB67" s="1398"/>
      <c r="AC67" s="1398"/>
      <c r="AD67" s="1397"/>
      <c r="AE67" s="1398"/>
      <c r="AF67" s="1398"/>
      <c r="AG67" s="1398"/>
      <c r="AH67" s="1397"/>
      <c r="AI67" s="1398"/>
      <c r="AJ67" s="1398"/>
      <c r="AK67" s="1398"/>
      <c r="AL67" s="1397"/>
      <c r="AM67" s="1398"/>
      <c r="AN67" s="1398"/>
      <c r="AO67" s="1398"/>
      <c r="AP67" s="1397"/>
      <c r="AQ67" s="1398" t="s">
        <v>203</v>
      </c>
      <c r="AR67" s="1398"/>
      <c r="AS67" s="1398"/>
      <c r="AT67" s="1397"/>
      <c r="AU67" s="1398"/>
      <c r="AV67" s="1398"/>
      <c r="AW67" s="1398"/>
      <c r="AX67" s="1397"/>
      <c r="AY67" s="1398"/>
      <c r="AZ67" s="1398"/>
      <c r="BA67" s="1397"/>
      <c r="BB67" s="1398"/>
      <c r="BC67" s="1398"/>
      <c r="BD67" s="1398"/>
      <c r="BE67" s="1398"/>
      <c r="BF67" s="1398"/>
      <c r="BG67" s="1446"/>
      <c r="BH67" s="1442"/>
      <c r="BI67" s="1442"/>
      <c r="BJ67" s="1009"/>
      <c r="BK67" s="1346" t="e">
        <v>#DIV/0!</v>
      </c>
      <c r="BL67" s="1442"/>
      <c r="BM67" s="1442">
        <v>0</v>
      </c>
      <c r="BN67" s="1442">
        <v>0</v>
      </c>
      <c r="BO67" s="1442"/>
      <c r="BP67" s="1442"/>
      <c r="BQ67" s="1398"/>
      <c r="BR67" s="1398"/>
      <c r="BS67" s="1398"/>
      <c r="BT67" s="1398"/>
      <c r="BU67" s="1398"/>
      <c r="BV67" s="1398"/>
      <c r="BW67" s="1367"/>
      <c r="BX67" s="1397"/>
      <c r="BY67" s="1397"/>
      <c r="BZ67" s="1009"/>
      <c r="CA67" s="1038"/>
      <c r="CB67" s="1009"/>
      <c r="CC67" s="1416"/>
      <c r="CD67" s="1965"/>
      <c r="CE67" s="1323"/>
      <c r="CF67" s="1323"/>
      <c r="CG67" s="1324"/>
      <c r="CH67" s="1324"/>
      <c r="CI67" s="1171"/>
      <c r="CJ67" s="1171"/>
      <c r="CK67" s="1171"/>
      <c r="CL67" s="1171"/>
      <c r="CM67" s="1171"/>
      <c r="CN67" s="1171"/>
      <c r="CO67" s="1171"/>
      <c r="CP67" s="1171"/>
      <c r="CQ67" s="1171"/>
    </row>
    <row r="68" spans="1:95" s="2304" customFormat="1" ht="12.75" hidden="1" customHeight="1" thickBot="1" x14ac:dyDescent="0.25">
      <c r="A68" s="1197" t="s">
        <v>73</v>
      </c>
      <c r="B68" s="1193"/>
      <c r="C68" s="1345">
        <v>-17398</v>
      </c>
      <c r="D68" s="1347" t="e">
        <v>#DIV/0!</v>
      </c>
      <c r="E68" s="908"/>
      <c r="F68" s="2211"/>
      <c r="G68" s="2211"/>
      <c r="H68" s="2839"/>
      <c r="I68" s="2839"/>
      <c r="J68" s="2839"/>
      <c r="K68" s="2839"/>
      <c r="L68" s="2839"/>
      <c r="M68" s="2839"/>
      <c r="N68" s="2839"/>
      <c r="O68" s="2839"/>
      <c r="P68" s="2839"/>
      <c r="Q68" s="1437"/>
      <c r="R68" s="1437"/>
      <c r="S68" s="1437"/>
      <c r="T68" s="1437"/>
      <c r="U68" s="1437"/>
      <c r="V68" s="1437"/>
      <c r="W68" s="1437"/>
      <c r="X68" s="1437"/>
      <c r="Y68" s="1437"/>
      <c r="Z68" s="1437"/>
      <c r="AA68" s="1437"/>
      <c r="AB68" s="1437"/>
      <c r="AC68" s="1437"/>
      <c r="AD68" s="1438"/>
      <c r="AE68" s="1437"/>
      <c r="AF68" s="1437"/>
      <c r="AG68" s="1437"/>
      <c r="AH68" s="1438"/>
      <c r="AI68" s="1437"/>
      <c r="AJ68" s="1437"/>
      <c r="AK68" s="1437"/>
      <c r="AL68" s="1438"/>
      <c r="AM68" s="1437"/>
      <c r="AN68" s="1437"/>
      <c r="AO68" s="1437"/>
      <c r="AP68" s="1438"/>
      <c r="AQ68" s="1437">
        <v>9460</v>
      </c>
      <c r="AR68" s="1437">
        <v>17398</v>
      </c>
      <c r="AS68" s="1437">
        <v>10594</v>
      </c>
      <c r="AT68" s="1438">
        <v>8051</v>
      </c>
      <c r="AU68" s="1437" t="e">
        <v>#VALUE!</v>
      </c>
      <c r="AV68" s="1437" t="e">
        <v>#VALUE!</v>
      </c>
      <c r="AW68" s="1437" t="e">
        <v>#VALUE!</v>
      </c>
      <c r="AX68" s="1438" t="e">
        <v>#VALUE!</v>
      </c>
      <c r="AY68" s="1437" t="e">
        <v>#VALUE!</v>
      </c>
      <c r="AZ68" s="1437" t="s">
        <v>181</v>
      </c>
      <c r="BA68" s="1438" t="s">
        <v>181</v>
      </c>
      <c r="BB68" s="1437"/>
      <c r="BC68" s="1437"/>
      <c r="BD68" s="1437"/>
      <c r="BE68" s="1437"/>
      <c r="BF68" s="1437"/>
      <c r="BG68" s="1446"/>
      <c r="BH68" s="1442"/>
      <c r="BI68" s="1442"/>
      <c r="BJ68" s="1404" t="e">
        <v>#VALUE!</v>
      </c>
      <c r="BK68" s="1347" t="e">
        <v>#VALUE!</v>
      </c>
      <c r="BL68" s="1442"/>
      <c r="BM68" s="1442">
        <v>0</v>
      </c>
      <c r="BN68" s="1442">
        <v>0</v>
      </c>
      <c r="BO68" s="1442"/>
      <c r="BP68" s="1442"/>
      <c r="BQ68" s="1437"/>
      <c r="BR68" s="1437"/>
      <c r="BS68" s="1437"/>
      <c r="BT68" s="1437"/>
      <c r="BU68" s="1437">
        <v>45503</v>
      </c>
      <c r="BV68" s="1437"/>
      <c r="BW68" s="1444" t="e">
        <v>#VALUE!</v>
      </c>
      <c r="BX68" s="1438" t="e">
        <v>#VALUE!</v>
      </c>
      <c r="BY68" s="1438" t="e">
        <v>#VALUE!</v>
      </c>
      <c r="BZ68" s="1404" t="e">
        <v>#VALUE!</v>
      </c>
      <c r="CA68" s="1447" t="e">
        <v>#VALUE!</v>
      </c>
      <c r="CB68" s="1009"/>
      <c r="CC68" s="1416"/>
      <c r="CD68" s="1965"/>
      <c r="CE68" s="1323"/>
      <c r="CF68" s="1323"/>
      <c r="CG68" s="1324"/>
      <c r="CH68" s="1324"/>
      <c r="CI68" s="1171"/>
      <c r="CJ68" s="1171"/>
      <c r="CK68" s="1171"/>
      <c r="CL68" s="1171"/>
      <c r="CM68" s="1171"/>
      <c r="CN68" s="1171"/>
      <c r="CO68" s="1171"/>
      <c r="CP68" s="1171"/>
      <c r="CQ68" s="1171"/>
    </row>
    <row r="69" spans="1:95" ht="13.5" customHeight="1" x14ac:dyDescent="0.2">
      <c r="A69" s="1203" t="s">
        <v>623</v>
      </c>
      <c r="B69" s="1204"/>
      <c r="C69" s="1202">
        <v>-1.1286753824625184</v>
      </c>
      <c r="D69" s="952"/>
      <c r="E69" s="908"/>
      <c r="F69" s="1175">
        <v>0.57678281050188662</v>
      </c>
      <c r="G69" s="1175">
        <v>0.58745868401157164</v>
      </c>
      <c r="H69" s="1285">
        <v>0.56120894289139478</v>
      </c>
      <c r="I69" s="1285">
        <v>0.56443653697673635</v>
      </c>
      <c r="J69" s="1285">
        <v>0.58806956432651181</v>
      </c>
      <c r="K69" s="1285">
        <v>0.54794281642557818</v>
      </c>
      <c r="L69" s="959">
        <v>0.57195353791736114</v>
      </c>
      <c r="M69" s="1285">
        <v>0.63447173620457609</v>
      </c>
      <c r="N69" s="1285">
        <v>0.65163483487428764</v>
      </c>
      <c r="O69" s="1285">
        <v>0.56053121124431582</v>
      </c>
      <c r="P69" s="1285">
        <v>0.59339394469213513</v>
      </c>
      <c r="Q69" s="1285">
        <v>0.63991181449549228</v>
      </c>
      <c r="R69" s="1285">
        <v>0.60605414017269088</v>
      </c>
      <c r="S69" s="1285">
        <v>0.66190404029470551</v>
      </c>
      <c r="T69" s="1285">
        <v>0.71715583937123906</v>
      </c>
      <c r="U69" s="1285">
        <v>0.58257384733343343</v>
      </c>
      <c r="V69" s="1285">
        <v>0.5721929189505981</v>
      </c>
      <c r="W69" s="1285">
        <v>0.621512244398572</v>
      </c>
      <c r="X69" s="1285">
        <v>0.65307222767796969</v>
      </c>
      <c r="Y69" s="1285">
        <v>0.55506256776953966</v>
      </c>
      <c r="Z69" s="1285">
        <v>0.55511171859745045</v>
      </c>
      <c r="AA69" s="1285">
        <v>0.54110436678649299</v>
      </c>
      <c r="AB69" s="1285">
        <v>0.5605020031068596</v>
      </c>
      <c r="AC69" s="1285">
        <v>0.6195685279187817</v>
      </c>
      <c r="AD69" s="1285">
        <v>0.56412752687150747</v>
      </c>
      <c r="AE69" s="1285">
        <v>0.63524245791884637</v>
      </c>
      <c r="AF69" s="1285">
        <v>0.58021689288624179</v>
      </c>
      <c r="AG69" s="1285">
        <v>0.66035997297131277</v>
      </c>
      <c r="AH69" s="1285">
        <v>0.69840657392537597</v>
      </c>
      <c r="AI69" s="1285">
        <v>0.65039230389377622</v>
      </c>
      <c r="AJ69" s="1285">
        <v>0.56940624028911113</v>
      </c>
      <c r="AK69" s="1285">
        <v>0.57826168143753864</v>
      </c>
      <c r="AL69" s="1285">
        <v>0.52886486486486484</v>
      </c>
      <c r="AM69" s="1285">
        <v>0.49129118454598941</v>
      </c>
      <c r="AN69" s="1285">
        <v>0.49023356001398427</v>
      </c>
      <c r="AO69" s="1285">
        <v>0.52182149437899839</v>
      </c>
      <c r="AP69" s="1285">
        <v>0.50343035968625249</v>
      </c>
      <c r="AQ69" s="1285">
        <v>0.57168008048289742</v>
      </c>
      <c r="AR69" s="1285">
        <v>0.58582134550779563</v>
      </c>
      <c r="AS69" s="1285">
        <v>0.58791971965594136</v>
      </c>
      <c r="AT69" s="1285">
        <v>0.56885036901879593</v>
      </c>
      <c r="AU69" s="1285">
        <v>0.51903897063350368</v>
      </c>
      <c r="AV69" s="1285">
        <v>0.65522842639593903</v>
      </c>
      <c r="AW69" s="1285">
        <v>0.58140770707624789</v>
      </c>
      <c r="AX69" s="1285">
        <v>0.54156289065109309</v>
      </c>
      <c r="AY69" s="1036">
        <v>0.56100000000000005</v>
      </c>
      <c r="AZ69" s="1036">
        <v>0.55900000000000005</v>
      </c>
      <c r="BA69" s="1036">
        <v>0.51</v>
      </c>
      <c r="BB69" s="1036">
        <v>0.51700000000000002</v>
      </c>
      <c r="BC69" s="1036">
        <v>0.56399999999999995</v>
      </c>
      <c r="BD69" s="1036">
        <v>0.53900000000000003</v>
      </c>
      <c r="BE69" s="1036">
        <v>0.51100000000000001</v>
      </c>
      <c r="BF69" s="1036">
        <v>0.55300000000000005</v>
      </c>
      <c r="BG69" s="1285"/>
      <c r="BH69" s="1285">
        <v>0.57394871125018809</v>
      </c>
      <c r="BI69" s="1285">
        <v>0.59127355087239397</v>
      </c>
      <c r="BJ69" s="1202">
        <v>-1.7324839622205879</v>
      </c>
      <c r="BK69" s="952"/>
      <c r="BL69" s="1208"/>
      <c r="BM69" s="1285">
        <v>0.57394871125018809</v>
      </c>
      <c r="BN69" s="1285">
        <v>0.59127355087239397</v>
      </c>
      <c r="BO69" s="1285">
        <v>0.5956139046208917</v>
      </c>
      <c r="BP69" s="1285">
        <v>0.63128299547222277</v>
      </c>
      <c r="BQ69" s="1285">
        <v>0.58908180491106743</v>
      </c>
      <c r="BR69" s="1285">
        <v>0.55454781662579777</v>
      </c>
      <c r="BS69" s="1285">
        <v>0.60593531263342537</v>
      </c>
      <c r="BT69" s="1285">
        <v>0.56823043989321964</v>
      </c>
      <c r="BU69" s="1285">
        <v>0.49699244770200729</v>
      </c>
      <c r="BV69" s="1285">
        <v>0.58857754764248005</v>
      </c>
      <c r="BW69" s="1036">
        <v>0.56485103713345186</v>
      </c>
      <c r="BX69" s="1036">
        <v>0.53407685072351629</v>
      </c>
      <c r="BY69" s="1036">
        <v>0.54400000000000004</v>
      </c>
      <c r="BZ69" s="1286">
        <v>0.55200000000000005</v>
      </c>
      <c r="CA69" s="1286">
        <v>0.59099999999999997</v>
      </c>
      <c r="CB69" s="1286">
        <v>0.627</v>
      </c>
      <c r="CC69" s="1184"/>
      <c r="CD69" s="1183"/>
      <c r="CE69" s="1145"/>
      <c r="CF69" s="1145"/>
      <c r="CG69" s="1145"/>
      <c r="CH69" s="1145"/>
      <c r="CI69" s="1144"/>
      <c r="CJ69" s="1144"/>
      <c r="CK69" s="1144"/>
      <c r="CL69" s="1144"/>
      <c r="CM69" s="1144"/>
      <c r="CN69" s="1144"/>
      <c r="CO69" s="1144"/>
      <c r="CP69" s="1144"/>
      <c r="CQ69" s="1144"/>
    </row>
    <row r="70" spans="1:95" ht="12.75" customHeight="1" x14ac:dyDescent="0.2">
      <c r="A70" s="1203" t="s">
        <v>75</v>
      </c>
      <c r="B70" s="1204"/>
      <c r="C70" s="1202">
        <v>-1.4284973922214339</v>
      </c>
      <c r="D70" s="952"/>
      <c r="E70" s="908"/>
      <c r="F70" s="1175">
        <v>0.30539461012614261</v>
      </c>
      <c r="G70" s="1175">
        <v>0.39302204977287919</v>
      </c>
      <c r="H70" s="1285">
        <v>0.26813868072769648</v>
      </c>
      <c r="I70" s="1285">
        <v>0.27705976479013505</v>
      </c>
      <c r="J70" s="1285">
        <v>0.31967958404835695</v>
      </c>
      <c r="K70" s="1285">
        <v>0.46433999212704363</v>
      </c>
      <c r="L70" s="959">
        <v>0.23383434504059572</v>
      </c>
      <c r="M70" s="1285">
        <v>0.38991419919246301</v>
      </c>
      <c r="N70" s="1285">
        <v>0.37355689488118504</v>
      </c>
      <c r="O70" s="1285">
        <v>0.22658639933856967</v>
      </c>
      <c r="P70" s="1285">
        <v>0.33404726520383482</v>
      </c>
      <c r="Q70" s="1285">
        <v>0.35719066178496911</v>
      </c>
      <c r="R70" s="1285">
        <v>0.31590776540206833</v>
      </c>
      <c r="S70" s="1285">
        <v>0.39321253580989907</v>
      </c>
      <c r="T70" s="1285">
        <v>3.0665356748127226</v>
      </c>
      <c r="U70" s="1285">
        <v>0.3989297373350934</v>
      </c>
      <c r="V70" s="1285">
        <v>0.33618092184645088</v>
      </c>
      <c r="W70" s="1285" t="e">
        <v>#REF!</v>
      </c>
      <c r="X70" s="1285" t="e">
        <v>#REF!</v>
      </c>
      <c r="Y70" s="1285">
        <v>0.276980335843859</v>
      </c>
      <c r="Z70" s="1285">
        <v>0.28048202181371867</v>
      </c>
      <c r="AA70" s="1285">
        <v>0.26141252230002304</v>
      </c>
      <c r="AB70" s="1285">
        <v>0.26392538864945048</v>
      </c>
      <c r="AC70" s="1285">
        <v>0.43697969543147208</v>
      </c>
      <c r="AD70" s="1285">
        <v>0.36201738139336087</v>
      </c>
      <c r="AE70" s="1285">
        <v>0.3237470522863416</v>
      </c>
      <c r="AF70" s="1285">
        <v>0.33686610622319629</v>
      </c>
      <c r="AG70" s="1285">
        <v>0.44608742200731882</v>
      </c>
      <c r="AH70" s="1285">
        <v>0.56366404571714601</v>
      </c>
      <c r="AI70" s="1285">
        <v>0.62071803500557821</v>
      </c>
      <c r="AJ70" s="1285">
        <v>0.38769896532277554</v>
      </c>
      <c r="AK70" s="1285">
        <v>0.45611111909105273</v>
      </c>
      <c r="AL70" s="1285">
        <v>0.30481338481338482</v>
      </c>
      <c r="AM70" s="1285">
        <v>0.17432339674445971</v>
      </c>
      <c r="AN70" s="1285">
        <v>0.17681654655975459</v>
      </c>
      <c r="AO70" s="1285">
        <v>0.28161942816918906</v>
      </c>
      <c r="AP70" s="1285">
        <v>0.36484182230335616</v>
      </c>
      <c r="AQ70" s="1285">
        <v>0.28268420044073966</v>
      </c>
      <c r="AR70" s="1285">
        <v>0.17315875613747955</v>
      </c>
      <c r="AS70" s="1285">
        <v>0.22785600509716469</v>
      </c>
      <c r="AT70" s="1285">
        <v>0.23973940606103139</v>
      </c>
      <c r="AU70" s="1285">
        <v>0.32039955673213077</v>
      </c>
      <c r="AV70" s="1285">
        <v>1.2893401015228427</v>
      </c>
      <c r="AW70" s="1285">
        <v>0.50111423477783867</v>
      </c>
      <c r="AX70" s="1285">
        <v>0.26975084213640221</v>
      </c>
      <c r="AY70" s="1036">
        <v>0.40299999999999991</v>
      </c>
      <c r="AZ70" s="1036">
        <v>0.23899999999999999</v>
      </c>
      <c r="BA70" s="1036">
        <v>0.32199999999999995</v>
      </c>
      <c r="BB70" s="1036">
        <v>0.16900000000000004</v>
      </c>
      <c r="BC70" s="1036">
        <v>0.21100000000000008</v>
      </c>
      <c r="BD70" s="1036">
        <v>0.20399999999999996</v>
      </c>
      <c r="BE70" s="1036">
        <v>0.249</v>
      </c>
      <c r="BF70" s="1036">
        <v>0.17899999999999994</v>
      </c>
      <c r="BG70" s="1285"/>
      <c r="BH70" s="1285">
        <v>0.31024411991038242</v>
      </c>
      <c r="BI70" s="1285">
        <v>0.3622207304142695</v>
      </c>
      <c r="BJ70" s="1202">
        <v>-5.1976610503887075</v>
      </c>
      <c r="BK70" s="952"/>
      <c r="BL70" s="1208"/>
      <c r="BM70" s="1285">
        <v>0.31024411991038242</v>
      </c>
      <c r="BN70" s="1285">
        <v>0.3622207304142695</v>
      </c>
      <c r="BO70" s="1285">
        <v>0.29997610258175672</v>
      </c>
      <c r="BP70" s="1285">
        <v>0.99250380446014241</v>
      </c>
      <c r="BQ70" s="1285">
        <v>0.38834131184707349</v>
      </c>
      <c r="BR70" s="1285">
        <v>0.31078289676675491</v>
      </c>
      <c r="BS70" s="1285">
        <v>0.38074572161032694</v>
      </c>
      <c r="BT70" s="1285" t="e">
        <v>#REF!</v>
      </c>
      <c r="BU70" s="1285">
        <v>0.22905666822613824</v>
      </c>
      <c r="BV70" s="1285">
        <v>0.2294975172228684</v>
      </c>
      <c r="BW70" s="1036">
        <v>0.51133040803891094</v>
      </c>
      <c r="BX70" s="1036">
        <v>0.26071837309622325</v>
      </c>
      <c r="BY70" s="1036">
        <v>0.20899999999999996</v>
      </c>
      <c r="BZ70" s="1286">
        <v>0.1419999999999999</v>
      </c>
      <c r="CA70" s="1286">
        <v>0.13400000000000001</v>
      </c>
      <c r="CB70" s="1286">
        <v>0.10299999999999998</v>
      </c>
      <c r="CC70" s="1184"/>
      <c r="CD70" s="1183"/>
      <c r="CE70" s="1145"/>
      <c r="CF70" s="1145"/>
      <c r="CG70" s="1145"/>
      <c r="CH70" s="1145"/>
      <c r="CI70" s="1144"/>
      <c r="CJ70" s="1144"/>
      <c r="CK70" s="1144"/>
      <c r="CL70" s="1144"/>
      <c r="CM70" s="1144"/>
      <c r="CN70" s="1144"/>
      <c r="CO70" s="1144"/>
      <c r="CP70" s="1144"/>
      <c r="CQ70" s="1144"/>
    </row>
    <row r="71" spans="1:95" ht="12.75" customHeight="1" x14ac:dyDescent="0.2">
      <c r="A71" s="1203" t="s">
        <v>76</v>
      </c>
      <c r="B71" s="1203"/>
      <c r="C71" s="1202">
        <v>-2.1579055952495541</v>
      </c>
      <c r="D71" s="952"/>
      <c r="E71" s="908"/>
      <c r="F71" s="1175">
        <v>0.88620851160122727</v>
      </c>
      <c r="G71" s="1175">
        <v>0.9805244709366624</v>
      </c>
      <c r="H71" s="1285">
        <v>0.82937628060924762</v>
      </c>
      <c r="I71" s="1285">
        <v>0.84152987120525469</v>
      </c>
      <c r="J71" s="1285">
        <v>0.90778756755372281</v>
      </c>
      <c r="K71" s="1285">
        <v>1.0123127058553867</v>
      </c>
      <c r="L71" s="959">
        <v>0.80580827000606514</v>
      </c>
      <c r="M71" s="1285">
        <v>1.0244279946164199</v>
      </c>
      <c r="N71" s="1285">
        <v>1.0252574187509238</v>
      </c>
      <c r="O71" s="1285">
        <v>0.78714861513021905</v>
      </c>
      <c r="P71" s="1285">
        <v>0.92748492001049043</v>
      </c>
      <c r="Q71" s="1285">
        <v>0.99715759222077871</v>
      </c>
      <c r="R71" s="1285">
        <v>0.92196190557475921</v>
      </c>
      <c r="S71" s="1285">
        <v>1.0551165761046046</v>
      </c>
      <c r="T71" s="1285">
        <v>3.7836915141839618</v>
      </c>
      <c r="U71" s="1285">
        <v>0.98150358466852683</v>
      </c>
      <c r="V71" s="1285">
        <v>0.90837384079704897</v>
      </c>
      <c r="W71" s="1285" t="e">
        <v>#REF!</v>
      </c>
      <c r="X71" s="1285" t="e">
        <v>#REF!</v>
      </c>
      <c r="Y71" s="1285">
        <v>0.83194290361339862</v>
      </c>
      <c r="Z71" s="1285">
        <v>0.83559374041116907</v>
      </c>
      <c r="AA71" s="1285">
        <v>0.80251688908651608</v>
      </c>
      <c r="AB71" s="1285">
        <v>0.82442739175631008</v>
      </c>
      <c r="AC71" s="1285">
        <v>1.0565482233502539</v>
      </c>
      <c r="AD71" s="1285">
        <v>0.92614490826486839</v>
      </c>
      <c r="AE71" s="1285">
        <v>0.95898951020518797</v>
      </c>
      <c r="AF71" s="1285">
        <v>0.91708299910943802</v>
      </c>
      <c r="AG71" s="1285">
        <v>1.1064473949786315</v>
      </c>
      <c r="AH71" s="1285">
        <v>1.262070619642522</v>
      </c>
      <c r="AI71" s="1285">
        <v>1.2711103388993543</v>
      </c>
      <c r="AJ71" s="1285">
        <v>0.95710520561188672</v>
      </c>
      <c r="AK71" s="1285">
        <v>1.0343728005285913</v>
      </c>
      <c r="AL71" s="1285">
        <v>0.83367824967824966</v>
      </c>
      <c r="AM71" s="1285">
        <v>0.66561458129044915</v>
      </c>
      <c r="AN71" s="1285">
        <v>0.66705010657373887</v>
      </c>
      <c r="AO71" s="1285">
        <v>0.80344092254818744</v>
      </c>
      <c r="AP71" s="1285">
        <v>0.86827218198960865</v>
      </c>
      <c r="AQ71" s="1285">
        <v>0.85436428092363703</v>
      </c>
      <c r="AR71" s="1285">
        <v>0.75898010164527518</v>
      </c>
      <c r="AS71" s="1285">
        <v>0.81577572475310611</v>
      </c>
      <c r="AT71" s="1285">
        <v>0.80858977507982732</v>
      </c>
      <c r="AU71" s="1285">
        <v>0.8394385273656344</v>
      </c>
      <c r="AV71" s="1285">
        <v>1.9445685279187817</v>
      </c>
      <c r="AW71" s="1285">
        <v>1.0825219418540866</v>
      </c>
      <c r="AX71" s="1285">
        <v>0.8113137327874953</v>
      </c>
      <c r="AY71" s="1036">
        <v>0.96399999999999997</v>
      </c>
      <c r="AZ71" s="1036">
        <v>0.79800000000000004</v>
      </c>
      <c r="BA71" s="1036">
        <v>0.83199999999999996</v>
      </c>
      <c r="BB71" s="1036">
        <v>0.68600000000000005</v>
      </c>
      <c r="BC71" s="1036">
        <v>0.77500000000000002</v>
      </c>
      <c r="BD71" s="1036">
        <v>0.74299999999999999</v>
      </c>
      <c r="BE71" s="1036">
        <v>0.76</v>
      </c>
      <c r="BF71" s="1036">
        <v>0.73199999999999998</v>
      </c>
      <c r="BG71" s="1285"/>
      <c r="BH71" s="1285">
        <v>0.88419283116057057</v>
      </c>
      <c r="BI71" s="1285">
        <v>0.95349428128666347</v>
      </c>
      <c r="BJ71" s="1202">
        <v>-6.9301450126092901</v>
      </c>
      <c r="BK71" s="952"/>
      <c r="BL71" s="1208"/>
      <c r="BM71" s="1285">
        <v>0.88419283116057057</v>
      </c>
      <c r="BN71" s="1285">
        <v>0.95349428128666347</v>
      </c>
      <c r="BO71" s="1285">
        <v>0.89559000720264847</v>
      </c>
      <c r="BP71" s="1285">
        <v>1.6237867999323652</v>
      </c>
      <c r="BQ71" s="1285">
        <v>0.97742311675814098</v>
      </c>
      <c r="BR71" s="1285">
        <v>0.86533071339255263</v>
      </c>
      <c r="BS71" s="1285">
        <v>0.9866810342437522</v>
      </c>
      <c r="BT71" s="1285" t="e">
        <v>#REF!</v>
      </c>
      <c r="BU71" s="1285">
        <v>0.72604911592814547</v>
      </c>
      <c r="BV71" s="1285">
        <v>0.81807506486534853</v>
      </c>
      <c r="BW71" s="1036">
        <v>1.0761814451723628</v>
      </c>
      <c r="BX71" s="1036">
        <v>0.79479522381973955</v>
      </c>
      <c r="BY71" s="1036">
        <v>0.753</v>
      </c>
      <c r="BZ71" s="1286">
        <v>0.69399999999999995</v>
      </c>
      <c r="CA71" s="1286">
        <v>0.72499999999999998</v>
      </c>
      <c r="CB71" s="1286">
        <v>0.73</v>
      </c>
      <c r="CC71" s="1184"/>
      <c r="CD71" s="1183"/>
      <c r="CE71" s="1145"/>
      <c r="CF71" s="1145"/>
      <c r="CG71" s="1145"/>
      <c r="CH71" s="1145"/>
      <c r="CI71" s="1144"/>
      <c r="CJ71" s="1144"/>
      <c r="CK71" s="1144"/>
      <c r="CL71" s="1144"/>
      <c r="CM71" s="1144"/>
      <c r="CN71" s="1144"/>
      <c r="CO71" s="1144"/>
      <c r="CP71" s="1144"/>
      <c r="CQ71" s="1144"/>
    </row>
    <row r="72" spans="1:95" ht="12.75" customHeight="1" x14ac:dyDescent="0.2">
      <c r="A72" s="1203" t="s">
        <v>182</v>
      </c>
      <c r="B72" s="1203"/>
      <c r="C72" s="1202">
        <v>2.5257558028560085</v>
      </c>
      <c r="D72" s="952"/>
      <c r="E72" s="908"/>
      <c r="F72" s="1175">
        <v>0.11746999047483726</v>
      </c>
      <c r="G72" s="1175">
        <v>1.9475529063337646E-2</v>
      </c>
      <c r="H72" s="1285">
        <v>0.17062371939075238</v>
      </c>
      <c r="I72" s="1285">
        <v>0.15847012879474526</v>
      </c>
      <c r="J72" s="1285">
        <v>9.2212432446277179E-2</v>
      </c>
      <c r="K72" s="1285">
        <v>-1.2312705855386746E-2</v>
      </c>
      <c r="L72" s="959">
        <v>0.19419172999393486</v>
      </c>
      <c r="M72" s="1285">
        <v>-2.442799461641992E-2</v>
      </c>
      <c r="N72" s="1285">
        <v>-2.525741875092375E-2</v>
      </c>
      <c r="O72" s="1285">
        <v>0.21285138486978089</v>
      </c>
      <c r="P72" s="1285">
        <v>7.2515079989509568E-2</v>
      </c>
      <c r="Q72" s="1285">
        <v>2.8424077792212907E-3</v>
      </c>
      <c r="R72" s="1285">
        <v>7.8038094425240762E-2</v>
      </c>
      <c r="S72" s="1285">
        <v>-5.5116576104604596E-2</v>
      </c>
      <c r="T72" s="1285">
        <v>-2.7836915141839618</v>
      </c>
      <c r="U72" s="1285">
        <v>1.8496415331473153E-2</v>
      </c>
      <c r="V72" s="1285">
        <v>9.1626159202951016E-2</v>
      </c>
      <c r="W72" s="1285" t="e">
        <v>#REF!</v>
      </c>
      <c r="X72" s="1285" t="e">
        <v>#REF!</v>
      </c>
      <c r="Y72" s="1285">
        <v>0.16795709638660142</v>
      </c>
      <c r="Z72" s="1285">
        <v>0.16440625958883093</v>
      </c>
      <c r="AA72" s="1285">
        <v>0.19748311091348394</v>
      </c>
      <c r="AB72" s="1285">
        <v>0.17557260824368992</v>
      </c>
      <c r="AC72" s="1285">
        <v>-5.6548223350253807E-2</v>
      </c>
      <c r="AD72" s="1285">
        <v>7.385509173513162E-2</v>
      </c>
      <c r="AE72" s="1285">
        <v>4.1010489794812026E-2</v>
      </c>
      <c r="AF72" s="1285">
        <v>8.2917000890561934E-2</v>
      </c>
      <c r="AG72" s="1285">
        <v>-0.10644739497863154</v>
      </c>
      <c r="AH72" s="1285">
        <v>-0.26207061964252193</v>
      </c>
      <c r="AI72" s="1285">
        <v>-0.27111033889935438</v>
      </c>
      <c r="AJ72" s="1285">
        <v>4.2894794388113298E-2</v>
      </c>
      <c r="AK72" s="1285">
        <v>-3.4372800528591332E-2</v>
      </c>
      <c r="AL72" s="1285">
        <v>0.16632175032175031</v>
      </c>
      <c r="AM72" s="1285">
        <v>0.33438541870955091</v>
      </c>
      <c r="AN72" s="1285">
        <v>0.33294989342626113</v>
      </c>
      <c r="AO72" s="1285">
        <v>0.19655907745181259</v>
      </c>
      <c r="AP72" s="1285">
        <v>0.13172781801039138</v>
      </c>
      <c r="AQ72" s="1285">
        <v>0.14563571907636294</v>
      </c>
      <c r="AR72" s="1285">
        <v>0.24101989835472479</v>
      </c>
      <c r="AS72" s="1285">
        <v>0.18422427524689391</v>
      </c>
      <c r="AT72" s="1285">
        <v>0.19141022492017265</v>
      </c>
      <c r="AU72" s="1285">
        <v>0.16056147263436557</v>
      </c>
      <c r="AV72" s="1285">
        <v>-0.94456852791878176</v>
      </c>
      <c r="AW72" s="1285">
        <v>-8.2521941854086664E-2</v>
      </c>
      <c r="AX72" s="1285">
        <v>0.18868626721250464</v>
      </c>
      <c r="AY72" s="1036">
        <v>3.6000000000000032E-2</v>
      </c>
      <c r="AZ72" s="1036">
        <v>0.20199999999999996</v>
      </c>
      <c r="BA72" s="1036">
        <v>0.16800000000000004</v>
      </c>
      <c r="BB72" s="1036">
        <v>0.31399999999999995</v>
      </c>
      <c r="BC72" s="1036">
        <v>0.22500000000000001</v>
      </c>
      <c r="BD72" s="1036">
        <v>0.25700000000000001</v>
      </c>
      <c r="BE72" s="1036">
        <v>0.24</v>
      </c>
      <c r="BF72" s="1036">
        <v>0.26800000000000002</v>
      </c>
      <c r="BG72" s="1285"/>
      <c r="BH72" s="1285">
        <v>0.11580716883942947</v>
      </c>
      <c r="BI72" s="1285">
        <v>4.6505718713336551E-2</v>
      </c>
      <c r="BJ72" s="1202">
        <v>6.9301450126092927</v>
      </c>
      <c r="BK72" s="952"/>
      <c r="BL72" s="1208"/>
      <c r="BM72" s="1285">
        <v>0.11580716883942947</v>
      </c>
      <c r="BN72" s="1285">
        <v>4.6505718713336551E-2</v>
      </c>
      <c r="BO72" s="1285">
        <v>0.10440999279735157</v>
      </c>
      <c r="BP72" s="1285">
        <v>-0.62378679993236519</v>
      </c>
      <c r="BQ72" s="1285">
        <v>2.2576883241859063E-2</v>
      </c>
      <c r="BR72" s="1285">
        <v>0.13466928660744734</v>
      </c>
      <c r="BS72" s="1285">
        <v>1.3318965756247771E-2</v>
      </c>
      <c r="BT72" s="1285" t="e">
        <v>#REF!</v>
      </c>
      <c r="BU72" s="1285">
        <v>0.27395088407185453</v>
      </c>
      <c r="BV72" s="1285">
        <v>0.18192493513465152</v>
      </c>
      <c r="BW72" s="1036">
        <v>-7.6181445172362819E-2</v>
      </c>
      <c r="BX72" s="1036">
        <v>0.20520477618026051</v>
      </c>
      <c r="BY72" s="1036">
        <v>0.247</v>
      </c>
      <c r="BZ72" s="1286">
        <v>0.30600000000000005</v>
      </c>
      <c r="CA72" s="1286">
        <v>0.27500000000000002</v>
      </c>
      <c r="CB72" s="1286">
        <v>0.27</v>
      </c>
      <c r="CC72" s="1184"/>
      <c r="CD72" s="1183"/>
      <c r="CE72" s="1145"/>
      <c r="CF72" s="1145"/>
      <c r="CG72" s="1145"/>
      <c r="CH72" s="1145"/>
      <c r="CI72" s="1144"/>
      <c r="CJ72" s="1144"/>
      <c r="CK72" s="1144"/>
      <c r="CL72" s="1144"/>
      <c r="CM72" s="1144"/>
      <c r="CN72" s="1144"/>
      <c r="CO72" s="1144"/>
      <c r="CP72" s="1144"/>
      <c r="CQ72" s="1144"/>
    </row>
    <row r="73" spans="1:95" ht="12.75" customHeight="1" x14ac:dyDescent="0.2">
      <c r="A73" s="1203" t="s">
        <v>77</v>
      </c>
      <c r="B73" s="1203"/>
      <c r="C73" s="1202">
        <v>2.8905161580667111</v>
      </c>
      <c r="D73" s="952"/>
      <c r="E73" s="908"/>
      <c r="F73" s="1175">
        <v>9.3551833199139053E-2</v>
      </c>
      <c r="G73" s="1175">
        <v>-1.5801608277568463E-2</v>
      </c>
      <c r="H73" s="1285">
        <v>0.14851962765017457</v>
      </c>
      <c r="I73" s="1285">
        <v>0.1354750635021876</v>
      </c>
      <c r="J73" s="1285">
        <v>6.4646671618471943E-2</v>
      </c>
      <c r="K73" s="1285">
        <v>-3.476558023190341E-2</v>
      </c>
      <c r="L73" s="959">
        <v>0.17464564762006698</v>
      </c>
      <c r="M73" s="1285">
        <v>-5.6973418573351281E-2</v>
      </c>
      <c r="N73" s="1285">
        <v>-6.0680209547895492E-2</v>
      </c>
      <c r="O73" s="1285">
        <v>0.18616680446465481</v>
      </c>
      <c r="P73" s="1285">
        <v>3.5973424250371533E-2</v>
      </c>
      <c r="Q73" s="1285">
        <v>-3.1880634620684224E-2</v>
      </c>
      <c r="R73" s="1448">
        <v>5.2290928747208351E-2</v>
      </c>
      <c r="S73" s="1448">
        <v>-9.1673341559687982E-2</v>
      </c>
      <c r="T73" s="1448">
        <v>-2.8157681444185192</v>
      </c>
      <c r="U73" s="1448">
        <v>-1.4022496067535629E-2</v>
      </c>
      <c r="V73" s="1448">
        <v>6.4122453200951501E-2</v>
      </c>
      <c r="W73" s="1448">
        <v>-0.14596653260467188</v>
      </c>
      <c r="X73" s="1448">
        <v>-0.25839061868176305</v>
      </c>
      <c r="Y73" s="1448">
        <v>0.14807607771884065</v>
      </c>
      <c r="Z73" s="1448">
        <v>0.14934865686630031</v>
      </c>
      <c r="AA73" s="1448">
        <v>0.18545583122163947</v>
      </c>
      <c r="AB73" s="1448">
        <v>0.16298165084037047</v>
      </c>
      <c r="AC73" s="1448">
        <v>-5.6548223350253807E-2</v>
      </c>
      <c r="AD73" s="1448">
        <v>7.385509173513162E-2</v>
      </c>
      <c r="AE73" s="1448">
        <v>4.1010489794812026E-2</v>
      </c>
      <c r="AF73" s="1448">
        <v>8.2917000890561934E-2</v>
      </c>
      <c r="AG73" s="1448">
        <v>-0.10644739497863154</v>
      </c>
      <c r="AH73" s="1448">
        <v>-0.26207061964252193</v>
      </c>
      <c r="AI73" s="1448">
        <v>-0.27111033889935438</v>
      </c>
      <c r="AJ73" s="1448">
        <v>4.2894794388113298E-2</v>
      </c>
      <c r="AK73" s="1448">
        <v>-3.4372800528591332E-2</v>
      </c>
      <c r="AL73" s="1448">
        <v>0.16632175032175031</v>
      </c>
      <c r="AM73" s="1448">
        <v>0.33438541870955091</v>
      </c>
      <c r="AN73" s="1448">
        <v>0.33294989342626113</v>
      </c>
      <c r="AO73" s="1448">
        <v>0.19655907745181259</v>
      </c>
      <c r="AP73" s="1448">
        <v>0.13172781801039138</v>
      </c>
      <c r="AQ73" s="1448">
        <v>0.11329884066302577</v>
      </c>
      <c r="AR73" s="1448">
        <v>0.22059608924110605</v>
      </c>
      <c r="AS73" s="1448">
        <v>0.15630455559095252</v>
      </c>
      <c r="AT73" s="1448" t="s">
        <v>181</v>
      </c>
      <c r="AU73" s="1448" t="s">
        <v>181</v>
      </c>
      <c r="AV73" s="1448" t="s">
        <v>181</v>
      </c>
      <c r="AW73" s="1448" t="s">
        <v>181</v>
      </c>
      <c r="AX73" s="1448" t="s">
        <v>181</v>
      </c>
      <c r="AY73" s="1448" t="s">
        <v>181</v>
      </c>
      <c r="AZ73" s="952" t="s">
        <v>181</v>
      </c>
      <c r="BA73" s="952" t="s">
        <v>181</v>
      </c>
      <c r="BB73" s="952"/>
      <c r="BC73" s="952"/>
      <c r="BD73" s="952"/>
      <c r="BE73" s="952"/>
      <c r="BF73" s="952"/>
      <c r="BG73" s="1448"/>
      <c r="BH73" s="1448">
        <v>8.9272581162700232E-2</v>
      </c>
      <c r="BI73" s="1448">
        <v>2.0587995407462246E-2</v>
      </c>
      <c r="BJ73" s="1202">
        <v>6.8684585755237988</v>
      </c>
      <c r="BK73" s="952"/>
      <c r="BL73" s="1442"/>
      <c r="BM73" s="1285">
        <v>8.9272581162700232E-2</v>
      </c>
      <c r="BN73" s="1448">
        <v>2.0587995407462246E-2</v>
      </c>
      <c r="BO73" s="1448">
        <v>7.3978385370100819E-2</v>
      </c>
      <c r="BP73" s="1448">
        <v>-0.6558889285512991</v>
      </c>
      <c r="BQ73" s="1448">
        <v>3.1511731269521534E-3</v>
      </c>
      <c r="BR73" s="1448">
        <v>0.12080579418308189</v>
      </c>
      <c r="BS73" s="1448">
        <v>6.7278705735139997E-3</v>
      </c>
      <c r="BT73" s="1448" t="e">
        <v>#REF!</v>
      </c>
      <c r="BU73" s="1448">
        <v>0.25370931450085771</v>
      </c>
      <c r="BV73" s="1448">
        <v>0.15515959112463093</v>
      </c>
      <c r="BW73" s="952" t="s">
        <v>181</v>
      </c>
      <c r="BX73" s="952" t="s">
        <v>181</v>
      </c>
      <c r="BY73" s="952" t="s">
        <v>181</v>
      </c>
      <c r="BZ73" s="952" t="s">
        <v>181</v>
      </c>
      <c r="CA73" s="1049" t="s">
        <v>181</v>
      </c>
      <c r="CB73" s="1286"/>
      <c r="CC73" s="1184"/>
      <c r="CD73" s="1183"/>
      <c r="CE73" s="1145"/>
      <c r="CF73" s="1145"/>
      <c r="CG73" s="1145"/>
      <c r="CH73" s="1145"/>
      <c r="CI73" s="1144"/>
      <c r="CJ73" s="1144"/>
      <c r="CK73" s="1144"/>
      <c r="CL73" s="1144"/>
      <c r="CM73" s="1144"/>
      <c r="CN73" s="1144"/>
      <c r="CO73" s="1144"/>
      <c r="CP73" s="1144"/>
      <c r="CQ73" s="1144"/>
    </row>
    <row r="74" spans="1:95" ht="12.75" customHeight="1" x14ac:dyDescent="0.2">
      <c r="A74" s="1204"/>
      <c r="B74" s="1204"/>
      <c r="C74" s="1202"/>
      <c r="D74" s="952"/>
      <c r="E74" s="908"/>
      <c r="F74" s="908"/>
      <c r="G74" s="908"/>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c r="AU74" s="952"/>
      <c r="AV74" s="952"/>
      <c r="AW74" s="952"/>
      <c r="AX74" s="1285"/>
      <c r="AY74" s="1285"/>
      <c r="AZ74" s="1193"/>
      <c r="BA74" s="1193"/>
      <c r="BB74" s="1193"/>
      <c r="BC74" s="1285"/>
      <c r="BD74" s="1285"/>
      <c r="BE74" s="1285"/>
      <c r="BF74" s="1285"/>
      <c r="BG74" s="1208"/>
      <c r="BH74" s="1208"/>
      <c r="BI74" s="1208"/>
      <c r="BJ74" s="1006"/>
      <c r="BK74" s="952"/>
      <c r="BL74" s="1208"/>
      <c r="BM74" s="1208"/>
      <c r="BN74" s="1208"/>
      <c r="BO74" s="1208"/>
      <c r="BP74" s="1208"/>
      <c r="BQ74" s="1036"/>
      <c r="BR74" s="1036"/>
      <c r="BS74" s="1036"/>
      <c r="BT74" s="1036"/>
      <c r="BU74" s="1036"/>
      <c r="BV74" s="1036"/>
      <c r="BW74" s="1036"/>
      <c r="BX74" s="1036"/>
      <c r="BY74" s="959"/>
      <c r="BZ74" s="1287"/>
      <c r="CA74" s="1287"/>
      <c r="CB74" s="1287"/>
      <c r="CC74" s="1184"/>
      <c r="CD74" s="1183"/>
      <c r="CE74" s="1145"/>
      <c r="CF74" s="1145"/>
      <c r="CG74" s="1145"/>
      <c r="CH74" s="1145"/>
      <c r="CI74" s="1144"/>
      <c r="CJ74" s="1144"/>
      <c r="CK74" s="1144"/>
      <c r="CL74" s="1144"/>
      <c r="CM74" s="1144"/>
      <c r="CN74" s="1144"/>
      <c r="CO74" s="1144"/>
      <c r="CP74" s="1144"/>
      <c r="CQ74" s="1144"/>
    </row>
    <row r="75" spans="1:95" ht="12.75" customHeight="1" x14ac:dyDescent="0.2">
      <c r="A75" s="1204" t="s">
        <v>723</v>
      </c>
      <c r="B75" s="1204"/>
      <c r="C75" s="1269">
        <v>17</v>
      </c>
      <c r="D75" s="952">
        <v>2.1907216494845359E-2</v>
      </c>
      <c r="E75" s="1145"/>
      <c r="F75" s="1164">
        <v>793</v>
      </c>
      <c r="G75" s="1164">
        <v>832</v>
      </c>
      <c r="H75" s="1259">
        <v>772</v>
      </c>
      <c r="I75" s="1259">
        <v>770</v>
      </c>
      <c r="J75" s="1259">
        <v>776</v>
      </c>
      <c r="K75" s="1259">
        <v>730</v>
      </c>
      <c r="L75" s="1259">
        <v>731</v>
      </c>
      <c r="M75" s="1259">
        <v>738</v>
      </c>
      <c r="N75" s="1259">
        <v>758</v>
      </c>
      <c r="O75" s="1259">
        <v>749</v>
      </c>
      <c r="P75" s="1259">
        <v>789</v>
      </c>
      <c r="Q75" s="1259">
        <v>799</v>
      </c>
      <c r="R75" s="1259">
        <v>808</v>
      </c>
      <c r="S75" s="1259">
        <v>841</v>
      </c>
      <c r="T75" s="1259">
        <v>854</v>
      </c>
      <c r="U75" s="1259">
        <v>878</v>
      </c>
      <c r="V75" s="1259">
        <v>901</v>
      </c>
      <c r="W75" s="1259">
        <v>901</v>
      </c>
      <c r="X75" s="1259">
        <v>973</v>
      </c>
      <c r="Y75" s="1259">
        <v>986</v>
      </c>
      <c r="Z75" s="1259">
        <v>979</v>
      </c>
      <c r="AA75" s="1259">
        <v>974</v>
      </c>
      <c r="AB75" s="1259">
        <v>956</v>
      </c>
      <c r="AC75" s="1259" t="e">
        <v>#REF!</v>
      </c>
      <c r="AD75" s="1259" t="e">
        <v>#REF!</v>
      </c>
      <c r="AE75" s="1259" t="e">
        <v>#REF!</v>
      </c>
      <c r="AF75" s="1259" t="e">
        <v>#REF!</v>
      </c>
      <c r="AG75" s="1259" t="e">
        <v>#REF!</v>
      </c>
      <c r="AH75" s="1259" t="e">
        <v>#REF!</v>
      </c>
      <c r="AI75" s="1259" t="e">
        <v>#REF!</v>
      </c>
      <c r="AJ75" s="1259" t="e">
        <v>#REF!</v>
      </c>
      <c r="AK75" s="1259" t="e">
        <v>#REF!</v>
      </c>
      <c r="AL75" s="1259" t="e">
        <v>#REF!</v>
      </c>
      <c r="AM75" s="1259">
        <v>627</v>
      </c>
      <c r="AN75" s="1259">
        <v>592</v>
      </c>
      <c r="AO75" s="1259">
        <v>597</v>
      </c>
      <c r="AP75" s="1259">
        <v>580</v>
      </c>
      <c r="AQ75" s="1259">
        <v>505</v>
      </c>
      <c r="AR75" s="1259">
        <v>503</v>
      </c>
      <c r="AS75" s="1259">
        <v>482</v>
      </c>
      <c r="AT75" s="1259">
        <v>474</v>
      </c>
      <c r="AU75" s="1259">
        <v>474</v>
      </c>
      <c r="AV75" s="1259">
        <v>480</v>
      </c>
      <c r="AW75" s="1259">
        <v>551</v>
      </c>
      <c r="AX75" s="1259">
        <v>545</v>
      </c>
      <c r="AY75" s="1259">
        <v>541</v>
      </c>
      <c r="AZ75" s="1201">
        <v>531</v>
      </c>
      <c r="BA75" s="1201">
        <v>535</v>
      </c>
      <c r="BB75" s="1201">
        <v>534</v>
      </c>
      <c r="BC75" s="1259">
        <v>502</v>
      </c>
      <c r="BD75" s="1259">
        <v>502</v>
      </c>
      <c r="BE75" s="1259">
        <v>494</v>
      </c>
      <c r="BF75" s="1259">
        <v>481</v>
      </c>
      <c r="BG75" s="946"/>
      <c r="BH75" s="1259">
        <v>832</v>
      </c>
      <c r="BI75" s="1259">
        <v>730</v>
      </c>
      <c r="BJ75" s="1006">
        <v>102</v>
      </c>
      <c r="BK75" s="952">
        <v>0.13972602739726028</v>
      </c>
      <c r="BL75" s="1208"/>
      <c r="BM75" s="1246">
        <v>832</v>
      </c>
      <c r="BN75" s="1259">
        <v>730</v>
      </c>
      <c r="BO75" s="1259">
        <v>749</v>
      </c>
      <c r="BP75" s="1259">
        <v>841</v>
      </c>
      <c r="BQ75" s="1259">
        <v>901</v>
      </c>
      <c r="BR75" s="1259">
        <v>974</v>
      </c>
      <c r="BS75" s="1164">
        <v>973</v>
      </c>
      <c r="BT75" s="1164">
        <v>1090</v>
      </c>
      <c r="BU75" s="1232">
        <v>627</v>
      </c>
      <c r="BV75" s="1232">
        <v>505</v>
      </c>
      <c r="BW75" s="1232">
        <v>474</v>
      </c>
      <c r="BX75" s="1232">
        <v>541</v>
      </c>
      <c r="BY75" s="1232">
        <v>502</v>
      </c>
      <c r="BZ75" s="1449">
        <v>464</v>
      </c>
      <c r="CA75" s="1449">
        <v>279</v>
      </c>
      <c r="CB75" s="1449">
        <v>237</v>
      </c>
      <c r="CC75" s="1184"/>
      <c r="CD75" s="1183"/>
      <c r="CE75" s="1145"/>
      <c r="CF75" s="1145"/>
      <c r="CG75" s="1145"/>
      <c r="CH75" s="1145"/>
      <c r="CI75" s="1144"/>
      <c r="CJ75" s="1144"/>
      <c r="CK75" s="1144"/>
      <c r="CL75" s="1144"/>
      <c r="CM75" s="1144"/>
      <c r="CN75" s="1144"/>
      <c r="CO75" s="1144"/>
      <c r="CP75" s="1144"/>
      <c r="CQ75" s="1144"/>
    </row>
    <row r="76" spans="1:95" ht="12.75" customHeight="1" x14ac:dyDescent="0.2">
      <c r="A76" s="946"/>
      <c r="B76" s="946"/>
      <c r="C76" s="1348"/>
      <c r="D76" s="959"/>
      <c r="E76" s="1153"/>
      <c r="F76" s="1153"/>
      <c r="G76" s="1153"/>
      <c r="H76" s="1208"/>
      <c r="I76" s="1208"/>
      <c r="J76" s="1208"/>
      <c r="K76" s="1208"/>
      <c r="L76" s="946"/>
      <c r="M76" s="1208"/>
      <c r="N76" s="1208"/>
      <c r="O76" s="1208"/>
      <c r="P76" s="1208"/>
      <c r="Q76" s="1208"/>
      <c r="R76" s="1208"/>
      <c r="S76" s="1208"/>
      <c r="T76" s="1208"/>
      <c r="U76" s="1208"/>
      <c r="V76" s="1208"/>
      <c r="W76" s="1208"/>
      <c r="X76" s="1208"/>
      <c r="Y76" s="1208"/>
      <c r="Z76" s="1208"/>
      <c r="AA76" s="1208"/>
      <c r="AB76" s="1208"/>
      <c r="AC76" s="1208"/>
      <c r="AD76" s="1208"/>
      <c r="AE76" s="1208"/>
      <c r="AF76" s="1208"/>
      <c r="AG76" s="1208"/>
      <c r="AH76" s="1208"/>
      <c r="AI76" s="1208"/>
      <c r="AJ76" s="1208"/>
      <c r="AK76" s="1208"/>
      <c r="AL76" s="1208"/>
      <c r="AM76" s="1208"/>
      <c r="AN76" s="1208"/>
      <c r="AO76" s="1208"/>
      <c r="AP76" s="1208"/>
      <c r="AQ76" s="1208"/>
      <c r="AR76" s="1208"/>
      <c r="AS76" s="1208"/>
      <c r="AT76" s="1208"/>
      <c r="AU76" s="1208"/>
      <c r="AV76" s="1208"/>
      <c r="AW76" s="1208"/>
      <c r="AX76" s="1208"/>
      <c r="AY76" s="1208"/>
      <c r="AZ76" s="1208"/>
      <c r="BA76" s="1208"/>
      <c r="BB76" s="1208"/>
      <c r="BC76" s="1208"/>
      <c r="BD76" s="1208"/>
      <c r="BE76" s="1208"/>
      <c r="BF76" s="1208"/>
      <c r="BG76" s="1208"/>
      <c r="BH76" s="1208"/>
      <c r="BI76" s="1208"/>
      <c r="BJ76" s="1208"/>
      <c r="BK76" s="1208"/>
      <c r="BL76" s="1208"/>
      <c r="BM76" s="1208"/>
      <c r="BN76" s="1208"/>
      <c r="BO76" s="1208"/>
      <c r="BP76" s="1208"/>
      <c r="BQ76" s="1208"/>
      <c r="BR76" s="1208"/>
      <c r="BS76" s="1208"/>
      <c r="BT76" s="1208"/>
      <c r="BU76" s="1208"/>
      <c r="BV76" s="1208"/>
      <c r="BW76" s="1208"/>
      <c r="BX76" s="1208"/>
      <c r="BY76" s="1208"/>
      <c r="BZ76" s="1449"/>
      <c r="CA76" s="1449"/>
      <c r="CB76" s="1449"/>
      <c r="CC76" s="1184"/>
      <c r="CD76" s="1183"/>
      <c r="CE76" s="1145"/>
      <c r="CF76" s="1145"/>
      <c r="CG76" s="1145"/>
      <c r="CH76" s="1145"/>
      <c r="CI76" s="1144"/>
      <c r="CJ76" s="1144"/>
      <c r="CK76" s="1144"/>
      <c r="CL76" s="1144"/>
      <c r="CM76" s="1144"/>
      <c r="CN76" s="1144"/>
      <c r="CO76" s="1144"/>
      <c r="CP76" s="1144"/>
      <c r="CQ76" s="1144"/>
    </row>
    <row r="77" spans="1:95" ht="18" customHeight="1" x14ac:dyDescent="0.2">
      <c r="A77" s="1349" t="s">
        <v>632</v>
      </c>
      <c r="B77" s="946"/>
      <c r="C77" s="1193"/>
      <c r="D77" s="1193"/>
      <c r="E77" s="1153"/>
      <c r="F77" s="1153"/>
      <c r="G77" s="1153"/>
      <c r="H77" s="1208"/>
      <c r="I77" s="1208"/>
      <c r="J77" s="1208"/>
      <c r="K77" s="1208"/>
      <c r="L77" s="946"/>
      <c r="M77" s="1208"/>
      <c r="N77" s="1208"/>
      <c r="O77" s="1208"/>
      <c r="P77" s="1208"/>
      <c r="Q77" s="1208"/>
      <c r="R77" s="1924"/>
      <c r="S77" s="1924"/>
      <c r="T77" s="1924"/>
      <c r="U77" s="1924"/>
      <c r="V77" s="1924"/>
      <c r="W77" s="1924"/>
      <c r="X77" s="1924"/>
      <c r="Y77" s="1208"/>
      <c r="Z77" s="1208"/>
      <c r="AA77" s="1208"/>
      <c r="AB77" s="1208"/>
      <c r="AC77" s="1208"/>
      <c r="AD77" s="1208"/>
      <c r="AE77" s="1208"/>
      <c r="AF77" s="1208"/>
      <c r="AG77" s="1208"/>
      <c r="AH77" s="1208"/>
      <c r="AI77" s="1208"/>
      <c r="AJ77" s="1208"/>
      <c r="AK77" s="1208"/>
      <c r="AL77" s="1208"/>
      <c r="AM77" s="1208"/>
      <c r="AN77" s="1208"/>
      <c r="AO77" s="1208"/>
      <c r="AP77" s="1208"/>
      <c r="AQ77" s="1208"/>
      <c r="AR77" s="1208"/>
      <c r="AS77" s="1208"/>
      <c r="AT77" s="1208"/>
      <c r="AU77" s="1208"/>
      <c r="AV77" s="1208"/>
      <c r="AW77" s="1208"/>
      <c r="AX77" s="1208"/>
      <c r="AY77" s="1208"/>
      <c r="AZ77" s="1208"/>
      <c r="BA77" s="1193"/>
      <c r="BB77" s="1193"/>
      <c r="BC77" s="1193"/>
      <c r="BD77" s="1193"/>
      <c r="BE77" s="1193"/>
      <c r="BF77" s="1193"/>
      <c r="BG77" s="1208"/>
      <c r="BH77" s="1450"/>
      <c r="BI77" s="1193"/>
      <c r="BJ77" s="1208"/>
      <c r="BK77" s="1208"/>
      <c r="BL77" s="1193"/>
      <c r="BM77" s="1450"/>
      <c r="BN77" s="1450"/>
      <c r="BO77" s="1450"/>
      <c r="BP77" s="1450"/>
      <c r="BQ77" s="1450"/>
      <c r="BR77" s="1450"/>
      <c r="BS77" s="1450"/>
      <c r="BT77" s="1450"/>
      <c r="BU77" s="1193"/>
      <c r="BV77" s="1193"/>
      <c r="BW77" s="1193"/>
      <c r="BX77" s="1193"/>
      <c r="BY77" s="1193"/>
      <c r="BZ77" s="1284"/>
      <c r="CA77" s="1284"/>
      <c r="CB77" s="1284"/>
      <c r="CC77" s="1184"/>
      <c r="CD77" s="1183"/>
      <c r="CE77" s="1145"/>
      <c r="CF77" s="1145"/>
      <c r="CG77" s="1145"/>
      <c r="CH77" s="1145"/>
      <c r="CI77" s="1144"/>
      <c r="CJ77" s="1144"/>
      <c r="CK77" s="1144"/>
      <c r="CL77" s="1144"/>
      <c r="CM77" s="1144"/>
      <c r="CN77" s="1144"/>
      <c r="CO77" s="1144"/>
      <c r="CP77" s="1144"/>
      <c r="CQ77" s="1144"/>
    </row>
    <row r="78" spans="1:95" ht="12.75" customHeight="1" x14ac:dyDescent="0.2">
      <c r="A78" s="1350"/>
      <c r="B78" s="946"/>
      <c r="C78" s="1193"/>
      <c r="D78" s="1193"/>
      <c r="E78" s="1153"/>
      <c r="F78" s="1153"/>
      <c r="G78" s="1153"/>
      <c r="H78" s="1208"/>
      <c r="I78" s="1208"/>
      <c r="J78" s="1208"/>
      <c r="K78" s="1208"/>
      <c r="L78" s="946"/>
      <c r="M78" s="1208"/>
      <c r="N78" s="1208"/>
      <c r="O78" s="1208"/>
      <c r="P78" s="1208"/>
      <c r="Q78" s="1208"/>
      <c r="R78" s="1208"/>
      <c r="S78" s="1208"/>
      <c r="T78" s="1208"/>
      <c r="U78" s="1208"/>
      <c r="V78" s="1208"/>
      <c r="W78" s="1208"/>
      <c r="X78" s="1208"/>
      <c r="Y78" s="1208"/>
      <c r="Z78" s="1208"/>
      <c r="AA78" s="1208"/>
      <c r="AB78" s="1208"/>
      <c r="AC78" s="1208"/>
      <c r="AD78" s="1208"/>
      <c r="AE78" s="1208"/>
      <c r="AF78" s="1208"/>
      <c r="AG78" s="1208"/>
      <c r="AH78" s="1208"/>
      <c r="AI78" s="1451"/>
      <c r="AJ78" s="1208"/>
      <c r="AK78" s="1208"/>
      <c r="AL78" s="1208"/>
      <c r="AM78" s="1451"/>
      <c r="AN78" s="1208"/>
      <c r="AO78" s="1451"/>
      <c r="AP78" s="1208"/>
      <c r="AQ78" s="1451"/>
      <c r="AR78" s="1208"/>
      <c r="AS78" s="1451"/>
      <c r="AT78" s="1208"/>
      <c r="AU78" s="1451"/>
      <c r="AV78" s="1208"/>
      <c r="AW78" s="1208"/>
      <c r="AX78" s="1208"/>
      <c r="AY78" s="1208"/>
      <c r="AZ78" s="1208"/>
      <c r="BA78" s="1193"/>
      <c r="BB78" s="1193"/>
      <c r="BC78" s="1193"/>
      <c r="BD78" s="1193"/>
      <c r="BE78" s="1193"/>
      <c r="BF78" s="1193"/>
      <c r="BG78" s="1208"/>
      <c r="BH78" s="1193"/>
      <c r="BI78" s="1193"/>
      <c r="BJ78" s="1208"/>
      <c r="BK78" s="1208"/>
      <c r="BL78" s="1193"/>
      <c r="BM78" s="1193"/>
      <c r="BN78" s="1193"/>
      <c r="BO78" s="1193"/>
      <c r="BP78" s="1193"/>
      <c r="BQ78" s="1193"/>
      <c r="BR78" s="1193"/>
      <c r="BS78" s="1193"/>
      <c r="BT78" s="1193"/>
      <c r="BU78" s="1193"/>
      <c r="BV78" s="1193"/>
      <c r="BW78" s="1193"/>
      <c r="BX78" s="1193"/>
      <c r="BY78" s="1193"/>
      <c r="BZ78" s="1284"/>
      <c r="CA78" s="1284"/>
      <c r="CB78" s="1284"/>
      <c r="CC78" s="1184"/>
      <c r="CD78" s="1183"/>
      <c r="CE78" s="1145"/>
      <c r="CF78" s="1145"/>
      <c r="CG78" s="1145"/>
      <c r="CH78" s="1145"/>
      <c r="CI78" s="1144"/>
      <c r="CJ78" s="1144"/>
      <c r="CK78" s="1144"/>
      <c r="CL78" s="1144"/>
      <c r="CM78" s="1144"/>
      <c r="CN78" s="1144"/>
      <c r="CO78" s="1144"/>
      <c r="CP78" s="1144"/>
      <c r="CQ78" s="1144"/>
    </row>
    <row r="79" spans="1:95" ht="12.75" customHeight="1" x14ac:dyDescent="0.2">
      <c r="A79" s="945"/>
      <c r="B79" s="946"/>
      <c r="C79" s="3073" t="s">
        <v>671</v>
      </c>
      <c r="D79" s="3074"/>
      <c r="E79" s="901"/>
      <c r="F79" s="2958"/>
      <c r="G79" s="902"/>
      <c r="H79" s="982"/>
      <c r="I79" s="982"/>
      <c r="J79" s="983"/>
      <c r="K79" s="982"/>
      <c r="L79" s="982"/>
      <c r="M79" s="982"/>
      <c r="N79" s="982"/>
      <c r="O79" s="984"/>
      <c r="P79" s="982"/>
      <c r="Q79" s="982"/>
      <c r="R79" s="983"/>
      <c r="S79" s="982"/>
      <c r="T79" s="982"/>
      <c r="U79" s="982"/>
      <c r="V79" s="983"/>
      <c r="W79" s="982"/>
      <c r="X79" s="982"/>
      <c r="Y79" s="982"/>
      <c r="Z79" s="1218"/>
      <c r="AA79" s="982"/>
      <c r="AB79" s="982"/>
      <c r="AC79" s="982"/>
      <c r="AD79" s="1218"/>
      <c r="AE79" s="982"/>
      <c r="AF79" s="982"/>
      <c r="AG79" s="982"/>
      <c r="AH79" s="1218"/>
      <c r="AI79" s="1219"/>
      <c r="AJ79" s="1220"/>
      <c r="AK79" s="982"/>
      <c r="AL79" s="1218"/>
      <c r="AM79" s="1219"/>
      <c r="AN79" s="1220"/>
      <c r="AO79" s="982"/>
      <c r="AP79" s="1218"/>
      <c r="AQ79" s="1184"/>
      <c r="AR79" s="1220"/>
      <c r="AS79" s="941"/>
      <c r="AT79" s="1218"/>
      <c r="AU79" s="1220"/>
      <c r="AV79" s="1184"/>
      <c r="AW79" s="982"/>
      <c r="AX79" s="1218"/>
      <c r="AY79" s="1220"/>
      <c r="AZ79" s="1220"/>
      <c r="BA79" s="1220"/>
      <c r="BB79" s="1220"/>
      <c r="BC79" s="1221"/>
      <c r="BD79" s="1218"/>
      <c r="BE79" s="1218"/>
      <c r="BF79" s="1218"/>
      <c r="BG79" s="1222"/>
      <c r="BH79" s="988" t="s">
        <v>660</v>
      </c>
      <c r="BI79" s="988"/>
      <c r="BJ79" s="988" t="s">
        <v>563</v>
      </c>
      <c r="BK79" s="989"/>
      <c r="BL79" s="990"/>
      <c r="BM79" s="991"/>
      <c r="BN79" s="991"/>
      <c r="BO79" s="991"/>
      <c r="BP79" s="991"/>
      <c r="BQ79" s="991"/>
      <c r="BR79" s="991"/>
      <c r="BS79" s="991"/>
      <c r="BT79" s="991"/>
      <c r="BU79" s="991"/>
      <c r="BV79" s="991"/>
      <c r="BW79" s="991"/>
      <c r="BX79" s="1452"/>
      <c r="BY79" s="1453"/>
      <c r="BZ79" s="991"/>
      <c r="CA79" s="991"/>
      <c r="CB79" s="1982"/>
      <c r="CC79" s="1223"/>
      <c r="CD79" s="1183"/>
      <c r="CE79" s="1145"/>
      <c r="CF79" s="1145"/>
      <c r="CG79" s="1145"/>
      <c r="CH79" s="1145"/>
      <c r="CI79" s="1144"/>
      <c r="CJ79" s="1144"/>
      <c r="CK79" s="1144"/>
      <c r="CL79" s="1144"/>
      <c r="CM79" s="1144"/>
      <c r="CN79" s="1144"/>
      <c r="CO79" s="1144"/>
      <c r="CP79" s="1144"/>
      <c r="CQ79" s="1144"/>
    </row>
    <row r="80" spans="1:95" ht="12.75" customHeight="1" x14ac:dyDescent="0.2">
      <c r="A80" s="945" t="s">
        <v>2</v>
      </c>
      <c r="B80" s="946"/>
      <c r="C80" s="3184" t="s">
        <v>38</v>
      </c>
      <c r="D80" s="3185"/>
      <c r="E80" s="906"/>
      <c r="F80" s="1993" t="s">
        <v>670</v>
      </c>
      <c r="G80" s="907" t="s">
        <v>558</v>
      </c>
      <c r="H80" s="992" t="s">
        <v>559</v>
      </c>
      <c r="I80" s="992" t="s">
        <v>560</v>
      </c>
      <c r="J80" s="993" t="s">
        <v>561</v>
      </c>
      <c r="K80" s="992" t="s">
        <v>508</v>
      </c>
      <c r="L80" s="992" t="s">
        <v>507</v>
      </c>
      <c r="M80" s="992" t="s">
        <v>506</v>
      </c>
      <c r="N80" s="992" t="s">
        <v>505</v>
      </c>
      <c r="O80" s="994" t="s">
        <v>382</v>
      </c>
      <c r="P80" s="992" t="s">
        <v>383</v>
      </c>
      <c r="Q80" s="992" t="s">
        <v>384</v>
      </c>
      <c r="R80" s="993" t="s">
        <v>385</v>
      </c>
      <c r="S80" s="992" t="s">
        <v>368</v>
      </c>
      <c r="T80" s="992" t="s">
        <v>367</v>
      </c>
      <c r="U80" s="992" t="s">
        <v>366</v>
      </c>
      <c r="V80" s="993" t="s">
        <v>364</v>
      </c>
      <c r="W80" s="992" t="s">
        <v>348</v>
      </c>
      <c r="X80" s="992" t="s">
        <v>349</v>
      </c>
      <c r="Y80" s="992" t="s">
        <v>350</v>
      </c>
      <c r="Z80" s="993" t="s">
        <v>351</v>
      </c>
      <c r="AA80" s="992" t="s">
        <v>315</v>
      </c>
      <c r="AB80" s="992" t="s">
        <v>314</v>
      </c>
      <c r="AC80" s="992" t="s">
        <v>313</v>
      </c>
      <c r="AD80" s="993" t="s">
        <v>311</v>
      </c>
      <c r="AE80" s="992" t="s">
        <v>270</v>
      </c>
      <c r="AF80" s="992" t="s">
        <v>271</v>
      </c>
      <c r="AG80" s="992" t="s">
        <v>272</v>
      </c>
      <c r="AH80" s="993" t="s">
        <v>273</v>
      </c>
      <c r="AI80" s="994" t="s">
        <v>223</v>
      </c>
      <c r="AJ80" s="992" t="s">
        <v>224</v>
      </c>
      <c r="AK80" s="992" t="s">
        <v>225</v>
      </c>
      <c r="AL80" s="993" t="s">
        <v>222</v>
      </c>
      <c r="AM80" s="994" t="s">
        <v>189</v>
      </c>
      <c r="AN80" s="992" t="s">
        <v>190</v>
      </c>
      <c r="AO80" s="992" t="s">
        <v>191</v>
      </c>
      <c r="AP80" s="993" t="s">
        <v>192</v>
      </c>
      <c r="AQ80" s="992" t="s">
        <v>121</v>
      </c>
      <c r="AR80" s="992" t="s">
        <v>120</v>
      </c>
      <c r="AS80" s="992" t="s">
        <v>119</v>
      </c>
      <c r="AT80" s="993" t="s">
        <v>118</v>
      </c>
      <c r="AU80" s="992" t="s">
        <v>81</v>
      </c>
      <c r="AV80" s="992" t="s">
        <v>82</v>
      </c>
      <c r="AW80" s="992" t="s">
        <v>83</v>
      </c>
      <c r="AX80" s="993" t="s">
        <v>29</v>
      </c>
      <c r="AY80" s="992" t="s">
        <v>30</v>
      </c>
      <c r="AZ80" s="992" t="s">
        <v>31</v>
      </c>
      <c r="BA80" s="992" t="s">
        <v>32</v>
      </c>
      <c r="BB80" s="992" t="s">
        <v>33</v>
      </c>
      <c r="BC80" s="995" t="s">
        <v>34</v>
      </c>
      <c r="BD80" s="993" t="s">
        <v>35</v>
      </c>
      <c r="BE80" s="993" t="s">
        <v>36</v>
      </c>
      <c r="BF80" s="993" t="s">
        <v>37</v>
      </c>
      <c r="BG80" s="996"/>
      <c r="BH80" s="990" t="s">
        <v>558</v>
      </c>
      <c r="BI80" s="990" t="s">
        <v>508</v>
      </c>
      <c r="BJ80" s="3071" t="s">
        <v>38</v>
      </c>
      <c r="BK80" s="3072"/>
      <c r="BL80" s="1293"/>
      <c r="BM80" s="994" t="s">
        <v>562</v>
      </c>
      <c r="BN80" s="994" t="s">
        <v>509</v>
      </c>
      <c r="BO80" s="994" t="s">
        <v>502</v>
      </c>
      <c r="BP80" s="994" t="s">
        <v>379</v>
      </c>
      <c r="BQ80" s="994" t="s">
        <v>360</v>
      </c>
      <c r="BR80" s="994" t="s">
        <v>317</v>
      </c>
      <c r="BS80" s="994" t="s">
        <v>275</v>
      </c>
      <c r="BT80" s="994" t="s">
        <v>227</v>
      </c>
      <c r="BU80" s="994" t="s">
        <v>123</v>
      </c>
      <c r="BV80" s="994" t="s">
        <v>122</v>
      </c>
      <c r="BW80" s="994" t="s">
        <v>42</v>
      </c>
      <c r="BX80" s="994" t="s">
        <v>39</v>
      </c>
      <c r="BY80" s="995" t="s">
        <v>40</v>
      </c>
      <c r="BZ80" s="995" t="s">
        <v>142</v>
      </c>
      <c r="CA80" s="995" t="s">
        <v>143</v>
      </c>
      <c r="CB80" s="994" t="s">
        <v>144</v>
      </c>
      <c r="CC80" s="1223"/>
      <c r="CD80" s="1183"/>
      <c r="CE80" s="1145"/>
      <c r="CF80" s="1145"/>
      <c r="CG80" s="1145"/>
      <c r="CH80" s="1145"/>
      <c r="CI80" s="1144"/>
      <c r="CJ80" s="1144"/>
      <c r="CK80" s="1144"/>
      <c r="CL80" s="1144"/>
      <c r="CM80" s="1144"/>
      <c r="CN80" s="1144"/>
      <c r="CO80" s="1144"/>
      <c r="CP80" s="1144"/>
      <c r="CQ80" s="1144"/>
    </row>
    <row r="81" spans="1:95" ht="12.75" customHeight="1" x14ac:dyDescent="0.2">
      <c r="A81" s="1207"/>
      <c r="B81" s="1208" t="s">
        <v>4</v>
      </c>
      <c r="C81" s="2778">
        <v>33851</v>
      </c>
      <c r="D81" s="1210">
        <v>0.21675460389826601</v>
      </c>
      <c r="E81" s="1147"/>
      <c r="F81" s="2961">
        <v>190023</v>
      </c>
      <c r="G81" s="1167">
        <v>160047</v>
      </c>
      <c r="H81" s="1262">
        <v>209373</v>
      </c>
      <c r="I81" s="1262">
        <v>178734</v>
      </c>
      <c r="J81" s="1272">
        <v>156172</v>
      </c>
      <c r="K81" s="1262">
        <v>200687</v>
      </c>
      <c r="L81" s="1262">
        <v>196203</v>
      </c>
      <c r="M81" s="1262">
        <v>118880</v>
      </c>
      <c r="N81" s="1262">
        <v>121786</v>
      </c>
      <c r="O81" s="1298">
        <v>193520</v>
      </c>
      <c r="P81" s="1262">
        <v>137268</v>
      </c>
      <c r="Q81" s="1262">
        <v>127005</v>
      </c>
      <c r="R81" s="1272">
        <v>139405</v>
      </c>
      <c r="S81" s="1262">
        <v>138579</v>
      </c>
      <c r="T81" s="1262">
        <v>122145</v>
      </c>
      <c r="U81" s="1262">
        <v>126511</v>
      </c>
      <c r="V81" s="1272">
        <v>145035</v>
      </c>
      <c r="W81" s="1262">
        <v>159379</v>
      </c>
      <c r="X81" s="1262">
        <v>103866</v>
      </c>
      <c r="Y81" s="1262">
        <v>170615</v>
      </c>
      <c r="Z81" s="1272">
        <v>179245</v>
      </c>
      <c r="AA81" s="1262">
        <v>186659</v>
      </c>
      <c r="AB81" s="1262">
        <v>171234</v>
      </c>
      <c r="AC81" s="1262">
        <v>118200</v>
      </c>
      <c r="AD81" s="1454">
        <v>126342</v>
      </c>
      <c r="AE81" s="1262">
        <v>147572</v>
      </c>
      <c r="AF81" s="1262">
        <v>158327</v>
      </c>
      <c r="AG81" s="1262">
        <v>113953</v>
      </c>
      <c r="AH81" s="1454">
        <v>95894</v>
      </c>
      <c r="AI81" s="1262">
        <v>109354</v>
      </c>
      <c r="AJ81" s="1262">
        <v>86887</v>
      </c>
      <c r="AK81" s="1262">
        <v>69619</v>
      </c>
      <c r="AL81" s="1454">
        <v>97125</v>
      </c>
      <c r="AM81" s="1262">
        <v>163168</v>
      </c>
      <c r="AN81" s="1262">
        <v>177342</v>
      </c>
      <c r="AO81" s="1262">
        <v>96602</v>
      </c>
      <c r="AP81" s="1454">
        <v>100152</v>
      </c>
      <c r="AQ81" s="1298">
        <v>83496</v>
      </c>
      <c r="AR81" s="1295">
        <v>116090</v>
      </c>
      <c r="AS81" s="1262">
        <v>78475</v>
      </c>
      <c r="AT81" s="1454">
        <v>85497</v>
      </c>
      <c r="AU81" s="1295">
        <v>64972</v>
      </c>
      <c r="AV81" s="1295">
        <v>49250</v>
      </c>
      <c r="AW81" s="1262">
        <v>58336</v>
      </c>
      <c r="AX81" s="1454">
        <v>104793</v>
      </c>
      <c r="AY81" s="1270">
        <v>77965</v>
      </c>
      <c r="AZ81" s="1270">
        <v>109583</v>
      </c>
      <c r="BA81" s="1270">
        <v>89071</v>
      </c>
      <c r="BB81" s="1270">
        <v>155023</v>
      </c>
      <c r="BC81" s="1392">
        <v>130151</v>
      </c>
      <c r="BD81" s="1231">
        <v>101427</v>
      </c>
      <c r="BE81" s="1231">
        <v>93033</v>
      </c>
      <c r="BF81" s="1382">
        <v>125106</v>
      </c>
      <c r="BG81" s="1188"/>
      <c r="BH81" s="2778">
        <v>704326</v>
      </c>
      <c r="BI81" s="1463">
        <v>637556</v>
      </c>
      <c r="BJ81" s="2778">
        <v>66770</v>
      </c>
      <c r="BK81" s="1296">
        <v>0.10472805526102805</v>
      </c>
      <c r="BL81" s="1193"/>
      <c r="BM81" s="1426">
        <v>704326</v>
      </c>
      <c r="BN81" s="1367">
        <v>637556</v>
      </c>
      <c r="BO81" s="1367">
        <v>597198</v>
      </c>
      <c r="BP81" s="1367">
        <v>532270</v>
      </c>
      <c r="BQ81" s="1367">
        <v>613105</v>
      </c>
      <c r="BR81" s="1367">
        <v>615790</v>
      </c>
      <c r="BS81" s="1367">
        <v>541033</v>
      </c>
      <c r="BT81" s="1367">
        <v>373477</v>
      </c>
      <c r="BU81" s="1273">
        <v>538644</v>
      </c>
      <c r="BV81" s="1273">
        <v>363558</v>
      </c>
      <c r="BW81" s="1273">
        <v>277351</v>
      </c>
      <c r="BX81" s="1392">
        <v>431642</v>
      </c>
      <c r="BY81" s="1456">
        <v>449717</v>
      </c>
      <c r="BZ81" s="1297">
        <v>333666</v>
      </c>
      <c r="CA81" s="1297">
        <v>239654</v>
      </c>
      <c r="CB81" s="1341">
        <v>211758</v>
      </c>
      <c r="CC81" s="1223"/>
      <c r="CD81" s="1312">
        <v>58935</v>
      </c>
      <c r="CE81" s="2430">
        <v>0.4293425998776117</v>
      </c>
      <c r="CF81" s="2429">
        <v>-25084</v>
      </c>
      <c r="CG81" s="2430">
        <v>-0.21258799597934569</v>
      </c>
      <c r="CH81" s="2430"/>
      <c r="CI81" s="1312">
        <v>436869</v>
      </c>
      <c r="CJ81" s="2432">
        <v>267457</v>
      </c>
      <c r="CK81" s="1145"/>
      <c r="CL81" s="2432">
        <v>66770</v>
      </c>
      <c r="CM81" s="2431">
        <v>0.10472805526102805</v>
      </c>
      <c r="CN81" s="1146">
        <v>0</v>
      </c>
      <c r="CO81" s="2430">
        <v>0</v>
      </c>
      <c r="CP81" s="1144"/>
      <c r="CQ81" s="1144"/>
    </row>
    <row r="82" spans="1:95" ht="12.75" customHeight="1" x14ac:dyDescent="0.2">
      <c r="A82" s="1193"/>
      <c r="B82" s="1208" t="s">
        <v>80</v>
      </c>
      <c r="C82" s="1198">
        <v>26350</v>
      </c>
      <c r="D82" s="1035">
        <v>0.18997426155166075</v>
      </c>
      <c r="E82" s="2564"/>
      <c r="F82" s="2961">
        <v>165053</v>
      </c>
      <c r="G82" s="1167">
        <v>143734</v>
      </c>
      <c r="H82" s="1262">
        <v>173010</v>
      </c>
      <c r="I82" s="1262">
        <v>149771</v>
      </c>
      <c r="J82" s="1272">
        <v>138703</v>
      </c>
      <c r="K82" s="1262">
        <v>160180</v>
      </c>
      <c r="L82" s="1262">
        <v>157523</v>
      </c>
      <c r="M82" s="1262">
        <v>116949</v>
      </c>
      <c r="N82" s="1262">
        <v>123834</v>
      </c>
      <c r="O82" s="1298">
        <v>151499</v>
      </c>
      <c r="P82" s="1262">
        <v>126485</v>
      </c>
      <c r="Q82" s="1262">
        <v>125817</v>
      </c>
      <c r="R82" s="1272">
        <v>128808</v>
      </c>
      <c r="S82" s="1262">
        <v>135386</v>
      </c>
      <c r="T82" s="1262">
        <v>136811.6</v>
      </c>
      <c r="U82" s="1262">
        <v>122851</v>
      </c>
      <c r="V82" s="1272">
        <v>130336</v>
      </c>
      <c r="W82" s="1262">
        <v>146833</v>
      </c>
      <c r="X82" s="1262">
        <v>121788</v>
      </c>
      <c r="Y82" s="1262">
        <v>140252</v>
      </c>
      <c r="Z82" s="1272">
        <v>148035</v>
      </c>
      <c r="AA82" s="1262">
        <v>148095</v>
      </c>
      <c r="AB82" s="1262">
        <v>139490</v>
      </c>
      <c r="AC82" s="1262">
        <v>117740</v>
      </c>
      <c r="AD82" s="1454">
        <v>115309</v>
      </c>
      <c r="AE82" s="1262">
        <v>132501</v>
      </c>
      <c r="AF82" s="1262">
        <v>136450</v>
      </c>
      <c r="AG82" s="1262">
        <v>117864</v>
      </c>
      <c r="AH82" s="1454">
        <v>116652</v>
      </c>
      <c r="AI82" s="1262">
        <v>103027</v>
      </c>
      <c r="AJ82" s="1262">
        <v>77401</v>
      </c>
      <c r="AK82" s="1262">
        <v>69639</v>
      </c>
      <c r="AL82" s="1454">
        <v>80041</v>
      </c>
      <c r="AM82" s="1262">
        <v>107677</v>
      </c>
      <c r="AN82" s="1262">
        <v>115616</v>
      </c>
      <c r="AO82" s="1262">
        <v>75787</v>
      </c>
      <c r="AP82" s="1454">
        <v>74136</v>
      </c>
      <c r="AQ82" s="1298">
        <v>66336</v>
      </c>
      <c r="AR82" s="1262">
        <v>88110</v>
      </c>
      <c r="AS82" s="1262">
        <v>64018</v>
      </c>
      <c r="AT82" s="1454">
        <v>69132</v>
      </c>
      <c r="AU82" s="1262">
        <v>54518</v>
      </c>
      <c r="AV82" s="1262">
        <v>58297</v>
      </c>
      <c r="AW82" s="1262">
        <v>63150</v>
      </c>
      <c r="AX82" s="1454">
        <v>85020</v>
      </c>
      <c r="AY82" s="1270">
        <v>73158</v>
      </c>
      <c r="AZ82" s="1270">
        <v>86348</v>
      </c>
      <c r="BA82" s="1270">
        <v>72982</v>
      </c>
      <c r="BB82" s="1270">
        <v>106349</v>
      </c>
      <c r="BC82" s="1196">
        <v>100905</v>
      </c>
      <c r="BD82" s="1231">
        <v>75317</v>
      </c>
      <c r="BE82" s="1231">
        <v>70703</v>
      </c>
      <c r="BF82" s="1231">
        <v>91522</v>
      </c>
      <c r="BG82" s="1188"/>
      <c r="BH82" s="1198">
        <v>605218</v>
      </c>
      <c r="BI82" s="1246">
        <v>558486</v>
      </c>
      <c r="BJ82" s="1198">
        <v>46732</v>
      </c>
      <c r="BK82" s="1299">
        <v>8.3676224650215042E-2</v>
      </c>
      <c r="BL82" s="1193"/>
      <c r="BM82" s="1367">
        <v>605218</v>
      </c>
      <c r="BN82" s="1367">
        <v>558486</v>
      </c>
      <c r="BO82" s="1367">
        <v>532609</v>
      </c>
      <c r="BP82" s="1367">
        <v>525384.6</v>
      </c>
      <c r="BQ82" s="1367">
        <v>556908</v>
      </c>
      <c r="BR82" s="1367">
        <v>520634</v>
      </c>
      <c r="BS82" s="1367">
        <v>503467</v>
      </c>
      <c r="BT82" s="1367">
        <v>330108</v>
      </c>
      <c r="BU82" s="1273">
        <v>373216</v>
      </c>
      <c r="BV82" s="1273">
        <v>287596</v>
      </c>
      <c r="BW82" s="1273">
        <v>260985</v>
      </c>
      <c r="BX82" s="1196">
        <v>338837</v>
      </c>
      <c r="BY82" s="1237">
        <v>338447</v>
      </c>
      <c r="BZ82" s="1033">
        <v>231683</v>
      </c>
      <c r="CA82" s="1033">
        <v>173735</v>
      </c>
      <c r="CB82" s="957">
        <v>154490</v>
      </c>
      <c r="CC82" s="1223"/>
      <c r="CD82" s="1312">
        <v>31038</v>
      </c>
      <c r="CE82" s="2430">
        <v>0.24538878127841246</v>
      </c>
      <c r="CF82" s="2429">
        <v>-4688</v>
      </c>
      <c r="CG82" s="2430">
        <v>-5.541451972675171E-2</v>
      </c>
      <c r="CH82" s="2430"/>
      <c r="CI82" s="1312">
        <v>398306</v>
      </c>
      <c r="CJ82" s="2432">
        <v>206912</v>
      </c>
      <c r="CK82" s="1145"/>
      <c r="CL82" s="2432">
        <v>46732</v>
      </c>
      <c r="CM82" s="2431">
        <v>8.3676224650215042E-2</v>
      </c>
      <c r="CN82" s="1146">
        <v>0</v>
      </c>
      <c r="CO82" s="2430">
        <v>0</v>
      </c>
      <c r="CP82" s="1144"/>
      <c r="CQ82" s="1144"/>
    </row>
    <row r="83" spans="1:95" ht="12.75" customHeight="1" x14ac:dyDescent="0.2">
      <c r="A83" s="1193"/>
      <c r="B83" s="1541" t="s">
        <v>332</v>
      </c>
      <c r="C83" s="1198">
        <v>240</v>
      </c>
      <c r="D83" s="1035">
        <v>5.5749128919860627E-2</v>
      </c>
      <c r="E83" s="2564"/>
      <c r="F83" s="2961">
        <v>4545</v>
      </c>
      <c r="G83" s="1167">
        <v>5646</v>
      </c>
      <c r="H83" s="1262">
        <v>4628</v>
      </c>
      <c r="I83" s="1262">
        <v>4110</v>
      </c>
      <c r="J83" s="1272">
        <v>4305</v>
      </c>
      <c r="K83" s="1262">
        <v>4506</v>
      </c>
      <c r="L83" s="1262">
        <v>3835</v>
      </c>
      <c r="M83" s="1262">
        <v>3869</v>
      </c>
      <c r="N83" s="1262">
        <v>4314</v>
      </c>
      <c r="O83" s="1298">
        <v>5164</v>
      </c>
      <c r="P83" s="1262">
        <v>5016</v>
      </c>
      <c r="Q83" s="1262">
        <v>4410</v>
      </c>
      <c r="R83" s="1272">
        <v>3620</v>
      </c>
      <c r="S83" s="1262">
        <v>5066</v>
      </c>
      <c r="T83" s="1262">
        <v>3918</v>
      </c>
      <c r="U83" s="1262">
        <v>4114</v>
      </c>
      <c r="V83" s="1272">
        <v>3989</v>
      </c>
      <c r="W83" s="1262">
        <v>3122</v>
      </c>
      <c r="X83" s="1262">
        <v>2697</v>
      </c>
      <c r="Y83" s="1262"/>
      <c r="Z83" s="1272"/>
      <c r="AA83" s="1262"/>
      <c r="AB83" s="1262"/>
      <c r="AC83" s="1262"/>
      <c r="AD83" s="1454"/>
      <c r="AE83" s="1262"/>
      <c r="AF83" s="1262"/>
      <c r="AG83" s="1262"/>
      <c r="AH83" s="1454"/>
      <c r="AI83" s="1262"/>
      <c r="AJ83" s="1262"/>
      <c r="AK83" s="1262"/>
      <c r="AL83" s="1454"/>
      <c r="AM83" s="1262"/>
      <c r="AN83" s="1262"/>
      <c r="AO83" s="1262"/>
      <c r="AP83" s="1454"/>
      <c r="AQ83" s="1298"/>
      <c r="AR83" s="1262"/>
      <c r="AS83" s="1262"/>
      <c r="AT83" s="1454"/>
      <c r="AU83" s="1262"/>
      <c r="AV83" s="1262"/>
      <c r="AW83" s="1262"/>
      <c r="AX83" s="1454"/>
      <c r="AY83" s="1270"/>
      <c r="AZ83" s="1270"/>
      <c r="BA83" s="1270"/>
      <c r="BB83" s="1270"/>
      <c r="BC83" s="1196"/>
      <c r="BD83" s="1231"/>
      <c r="BE83" s="1231"/>
      <c r="BF83" s="1231"/>
      <c r="BG83" s="1188"/>
      <c r="BH83" s="1198">
        <v>18689</v>
      </c>
      <c r="BI83" s="1246">
        <v>16524</v>
      </c>
      <c r="BJ83" s="1198">
        <v>2165</v>
      </c>
      <c r="BK83" s="1299">
        <v>0.13102154442023722</v>
      </c>
      <c r="BL83" s="1193"/>
      <c r="BM83" s="1367">
        <v>18689</v>
      </c>
      <c r="BN83" s="1367">
        <v>16524</v>
      </c>
      <c r="BO83" s="1367">
        <v>18210</v>
      </c>
      <c r="BP83" s="1367">
        <v>17087</v>
      </c>
      <c r="BQ83" s="1367">
        <v>11910</v>
      </c>
      <c r="BR83" s="1367">
        <v>8537</v>
      </c>
      <c r="BS83" s="1367">
        <v>3566</v>
      </c>
      <c r="BT83" s="1367">
        <v>11867</v>
      </c>
      <c r="BU83" s="1273"/>
      <c r="BV83" s="1273"/>
      <c r="BW83" s="1273"/>
      <c r="BX83" s="1196"/>
      <c r="BY83" s="1237"/>
      <c r="BZ83" s="1033"/>
      <c r="CA83" s="1033"/>
      <c r="CB83" s="957"/>
      <c r="CC83" s="1223"/>
      <c r="CD83" s="1312">
        <v>-1181</v>
      </c>
      <c r="CE83" s="2430">
        <v>-0.23544657097288677</v>
      </c>
      <c r="CF83" s="2429">
        <v>1421</v>
      </c>
      <c r="CG83" s="2430">
        <v>0.29119569989274741</v>
      </c>
      <c r="CH83" s="2430"/>
      <c r="CI83" s="1312">
        <v>12018</v>
      </c>
      <c r="CJ83" s="2432">
        <v>6671</v>
      </c>
      <c r="CK83" s="1145"/>
      <c r="CL83" s="2432">
        <v>2165</v>
      </c>
      <c r="CM83" s="2431">
        <v>0.13102154442023722</v>
      </c>
      <c r="CN83" s="1146">
        <v>0</v>
      </c>
      <c r="CO83" s="2430">
        <v>0</v>
      </c>
      <c r="CP83" s="1144"/>
      <c r="CQ83" s="1144"/>
    </row>
    <row r="84" spans="1:95" x14ac:dyDescent="0.2">
      <c r="A84" s="1193"/>
      <c r="B84" s="1343" t="s">
        <v>72</v>
      </c>
      <c r="C84" s="1307">
        <v>7261</v>
      </c>
      <c r="D84" s="1192">
        <v>0.55158006684898209</v>
      </c>
      <c r="E84" s="2564"/>
      <c r="F84" s="2962">
        <v>20425</v>
      </c>
      <c r="G84" s="1181">
        <v>10667</v>
      </c>
      <c r="H84" s="1304">
        <v>31735</v>
      </c>
      <c r="I84" s="1304">
        <v>24853</v>
      </c>
      <c r="J84" s="1253">
        <v>13164</v>
      </c>
      <c r="K84" s="1304">
        <v>36001</v>
      </c>
      <c r="L84" s="1304">
        <v>34845</v>
      </c>
      <c r="M84" s="1304">
        <v>-1938</v>
      </c>
      <c r="N84" s="1304">
        <v>-6362</v>
      </c>
      <c r="O84" s="1307">
        <v>36857</v>
      </c>
      <c r="P84" s="1304">
        <v>5767</v>
      </c>
      <c r="Q84" s="1304">
        <v>-3222</v>
      </c>
      <c r="R84" s="1253">
        <v>6977</v>
      </c>
      <c r="S84" s="1304">
        <v>-1873</v>
      </c>
      <c r="T84" s="1304">
        <v>-18584.600000000006</v>
      </c>
      <c r="U84" s="1304">
        <v>-454</v>
      </c>
      <c r="V84" s="1253">
        <v>10710</v>
      </c>
      <c r="W84" s="1302">
        <v>9424</v>
      </c>
      <c r="X84" s="1304">
        <v>-20619</v>
      </c>
      <c r="Y84" s="1302">
        <v>26971</v>
      </c>
      <c r="Z84" s="1253">
        <v>28511</v>
      </c>
      <c r="AA84" s="1302">
        <v>36319</v>
      </c>
      <c r="AB84" s="1302">
        <v>29588</v>
      </c>
      <c r="AC84" s="1302" t="e">
        <v>#REF!</v>
      </c>
      <c r="AD84" s="1457" t="e">
        <v>#REF!</v>
      </c>
      <c r="AE84" s="1302" t="e">
        <v>#REF!</v>
      </c>
      <c r="AF84" s="1302" t="e">
        <v>#REF!</v>
      </c>
      <c r="AG84" s="1302" t="e">
        <v>#REF!</v>
      </c>
      <c r="AH84" s="1458" t="e">
        <v>#REF!</v>
      </c>
      <c r="AI84" s="1302" t="e">
        <v>#REF!</v>
      </c>
      <c r="AJ84" s="1302" t="e">
        <v>#REF!</v>
      </c>
      <c r="AK84" s="1304" t="e">
        <v>#REF!</v>
      </c>
      <c r="AL84" s="1457" t="e">
        <v>#REF!</v>
      </c>
      <c r="AM84" s="1302" t="e">
        <v>#REF!</v>
      </c>
      <c r="AN84" s="1302" t="e">
        <v>#REF!</v>
      </c>
      <c r="AO84" s="1302">
        <v>20815</v>
      </c>
      <c r="AP84" s="1457">
        <v>26016</v>
      </c>
      <c r="AQ84" s="1305">
        <v>17160</v>
      </c>
      <c r="AR84" s="1302">
        <v>27980</v>
      </c>
      <c r="AS84" s="1302">
        <v>14457</v>
      </c>
      <c r="AT84" s="1457">
        <v>16365</v>
      </c>
      <c r="AU84" s="1302">
        <v>10454</v>
      </c>
      <c r="AV84" s="1302">
        <v>-9047</v>
      </c>
      <c r="AW84" s="1302">
        <v>-4814</v>
      </c>
      <c r="AX84" s="1457">
        <v>19773</v>
      </c>
      <c r="AY84" s="1459">
        <v>4807</v>
      </c>
      <c r="AZ84" s="1459">
        <v>23235</v>
      </c>
      <c r="BA84" s="1459">
        <v>16089</v>
      </c>
      <c r="BB84" s="1459">
        <v>48674</v>
      </c>
      <c r="BC84" s="1460">
        <v>29246</v>
      </c>
      <c r="BD84" s="1251">
        <v>26110</v>
      </c>
      <c r="BE84" s="1251">
        <v>22330</v>
      </c>
      <c r="BF84" s="1251">
        <v>33584</v>
      </c>
      <c r="BG84" s="1188"/>
      <c r="BH84" s="1307">
        <v>80419</v>
      </c>
      <c r="BI84" s="1254">
        <v>62546</v>
      </c>
      <c r="BJ84" s="1307">
        <v>17873</v>
      </c>
      <c r="BK84" s="1309">
        <v>0.28575768234579352</v>
      </c>
      <c r="BL84" s="1193"/>
      <c r="BM84" s="1380">
        <v>80419</v>
      </c>
      <c r="BN84" s="1274">
        <v>62546</v>
      </c>
      <c r="BO84" s="1274">
        <v>46379</v>
      </c>
      <c r="BP84" s="1274">
        <v>-10201.599999999977</v>
      </c>
      <c r="BQ84" s="1461">
        <v>44287</v>
      </c>
      <c r="BR84" s="1461">
        <v>86619</v>
      </c>
      <c r="BS84" s="1461">
        <v>34000</v>
      </c>
      <c r="BT84" s="1461">
        <v>31502</v>
      </c>
      <c r="BU84" s="1461">
        <v>154525</v>
      </c>
      <c r="BV84" s="1461" t="e">
        <v>#REF!</v>
      </c>
      <c r="BW84" s="1461" t="e">
        <v>#REF!</v>
      </c>
      <c r="BX84" s="1460" t="e">
        <v>#REF!</v>
      </c>
      <c r="BY84" s="1257">
        <v>111270</v>
      </c>
      <c r="BZ84" s="1275">
        <v>101983</v>
      </c>
      <c r="CA84" s="1275">
        <v>65919</v>
      </c>
      <c r="CB84" s="1191">
        <v>57268</v>
      </c>
      <c r="CC84" s="1223"/>
      <c r="CD84" s="1312">
        <v>29078</v>
      </c>
      <c r="CE84" s="2430">
        <v>5.0421362926998441</v>
      </c>
      <c r="CF84" s="2429">
        <v>-21817</v>
      </c>
      <c r="CG84" s="2430">
        <v>-4.4905562258508622</v>
      </c>
      <c r="CH84" s="2430"/>
      <c r="CI84" s="1312">
        <v>26545</v>
      </c>
      <c r="CJ84" s="2432">
        <v>53874</v>
      </c>
      <c r="CK84" s="1145"/>
      <c r="CL84" s="2432">
        <v>17873</v>
      </c>
      <c r="CM84" s="2431">
        <v>0.28575768234579352</v>
      </c>
      <c r="CN84" s="1146">
        <v>0</v>
      </c>
      <c r="CO84" s="2430">
        <v>0</v>
      </c>
      <c r="CP84" s="1144"/>
      <c r="CQ84" s="1144"/>
    </row>
    <row r="85" spans="1:95" ht="12.75" customHeight="1" x14ac:dyDescent="0.2">
      <c r="A85" s="1193"/>
      <c r="B85" s="1208"/>
      <c r="C85" s="1007"/>
      <c r="D85" s="959"/>
      <c r="E85" s="929"/>
      <c r="F85" s="1316"/>
      <c r="G85" s="1316"/>
      <c r="H85" s="1361"/>
      <c r="I85" s="1361"/>
      <c r="J85" s="1361"/>
      <c r="K85" s="1361"/>
      <c r="L85" s="1083"/>
      <c r="M85" s="1361"/>
      <c r="N85" s="1361"/>
      <c r="O85" s="1361"/>
      <c r="P85" s="1361"/>
      <c r="Q85" s="1361"/>
      <c r="R85" s="1361"/>
      <c r="S85" s="1361"/>
      <c r="T85" s="1361"/>
      <c r="U85" s="1361"/>
      <c r="V85" s="1361"/>
      <c r="W85" s="1361"/>
      <c r="X85" s="1361"/>
      <c r="Y85" s="1361"/>
      <c r="Z85" s="1361"/>
      <c r="AA85" s="1361"/>
      <c r="AB85" s="1361"/>
      <c r="AC85" s="1361"/>
      <c r="AD85" s="1361"/>
      <c r="AE85" s="1361"/>
      <c r="AF85" s="1361"/>
      <c r="AG85" s="1361"/>
      <c r="AH85" s="1361"/>
      <c r="AI85" s="1361"/>
      <c r="AJ85" s="1361"/>
      <c r="AK85" s="1361"/>
      <c r="AL85" s="1361"/>
      <c r="AM85" s="1361"/>
      <c r="AN85" s="1361"/>
      <c r="AO85" s="1361"/>
      <c r="AP85" s="1361"/>
      <c r="AQ85" s="959"/>
      <c r="AR85" s="959"/>
      <c r="AS85" s="959"/>
      <c r="AT85" s="1208"/>
      <c r="AU85" s="959"/>
      <c r="AV85" s="959"/>
      <c r="AW85" s="959"/>
      <c r="AX85" s="1208"/>
      <c r="AY85" s="1193"/>
      <c r="AZ85" s="1193"/>
      <c r="BA85" s="1193"/>
      <c r="BB85" s="1193"/>
      <c r="BC85" s="1193"/>
      <c r="BD85" s="1193"/>
      <c r="BE85" s="1193"/>
      <c r="BF85" s="1193"/>
      <c r="BG85" s="1208"/>
      <c r="BH85" s="1208"/>
      <c r="BI85" s="1208"/>
      <c r="BJ85" s="1007"/>
      <c r="BK85" s="959"/>
      <c r="BL85" s="1208"/>
      <c r="BM85" s="1208"/>
      <c r="BN85" s="1208"/>
      <c r="BO85" s="1208"/>
      <c r="BP85" s="1208"/>
      <c r="BQ85" s="1208"/>
      <c r="BR85" s="1208"/>
      <c r="BS85" s="1208"/>
      <c r="BT85" s="1208"/>
      <c r="BU85" s="1208"/>
      <c r="BV85" s="1208"/>
      <c r="BW85" s="1208"/>
      <c r="BX85" s="1193"/>
      <c r="BY85" s="1193"/>
      <c r="BZ85" s="1006"/>
      <c r="CA85" s="1006"/>
      <c r="CB85" s="1006"/>
      <c r="CC85" s="1184"/>
      <c r="CD85" s="1183"/>
      <c r="CE85" s="1145"/>
      <c r="CF85" s="1145"/>
      <c r="CG85" s="1145"/>
      <c r="CH85" s="1145"/>
      <c r="CI85" s="1144"/>
      <c r="CJ85" s="1144"/>
      <c r="CK85" s="1144"/>
      <c r="CL85" s="1144"/>
      <c r="CM85" s="1144"/>
      <c r="CN85" s="1144"/>
      <c r="CO85" s="1144"/>
      <c r="CP85" s="1144"/>
      <c r="CQ85" s="1144"/>
    </row>
    <row r="86" spans="1:95" ht="12.75" customHeight="1" x14ac:dyDescent="0.2">
      <c r="A86" s="1193"/>
      <c r="B86" s="1203" t="s">
        <v>623</v>
      </c>
      <c r="C86" s="1202">
        <v>-1.1286753824625184</v>
      </c>
      <c r="D86" s="959"/>
      <c r="E86" s="929"/>
      <c r="F86" s="1175">
        <v>0.57678281050188662</v>
      </c>
      <c r="G86" s="1175">
        <v>0.58745868401157164</v>
      </c>
      <c r="H86" s="1285">
        <v>0.56120894289139478</v>
      </c>
      <c r="I86" s="1285">
        <v>0.56443653697673635</v>
      </c>
      <c r="J86" s="1285">
        <v>0.58806956432651181</v>
      </c>
      <c r="K86" s="1285">
        <v>0.54794281642557818</v>
      </c>
      <c r="L86" s="1285">
        <v>0.57195353791736114</v>
      </c>
      <c r="M86" s="1285">
        <v>0.63447173620457609</v>
      </c>
      <c r="N86" s="1285">
        <v>0.65163483487428764</v>
      </c>
      <c r="O86" s="1285">
        <v>0.56053121124431582</v>
      </c>
      <c r="P86" s="1285">
        <v>0.59339394469213513</v>
      </c>
      <c r="Q86" s="1285">
        <v>0.63991181449549228</v>
      </c>
      <c r="R86" s="1285">
        <v>0.60605414017269088</v>
      </c>
      <c r="S86" s="1285">
        <v>0.66190404029470551</v>
      </c>
      <c r="T86" s="1361"/>
      <c r="U86" s="1361"/>
      <c r="V86" s="1361"/>
      <c r="W86" s="1361"/>
      <c r="X86" s="1361"/>
      <c r="Y86" s="1361"/>
      <c r="Z86" s="1361"/>
      <c r="AA86" s="1361"/>
      <c r="AB86" s="1361"/>
      <c r="AC86" s="1361"/>
      <c r="AD86" s="1361"/>
      <c r="AE86" s="1361"/>
      <c r="AF86" s="1361"/>
      <c r="AG86" s="1361"/>
      <c r="AH86" s="1361"/>
      <c r="AI86" s="1361"/>
      <c r="AJ86" s="1361"/>
      <c r="AK86" s="1361"/>
      <c r="AL86" s="1361"/>
      <c r="AM86" s="1361"/>
      <c r="AN86" s="1361"/>
      <c r="AO86" s="1361"/>
      <c r="AP86" s="1361"/>
      <c r="AQ86" s="959"/>
      <c r="AR86" s="959"/>
      <c r="AS86" s="959"/>
      <c r="AT86" s="1208"/>
      <c r="AU86" s="959"/>
      <c r="AV86" s="959"/>
      <c r="AW86" s="959"/>
      <c r="AX86" s="1208"/>
      <c r="AY86" s="1193"/>
      <c r="AZ86" s="1193"/>
      <c r="BA86" s="1193"/>
      <c r="BB86" s="1193"/>
      <c r="BC86" s="1193"/>
      <c r="BD86" s="1193"/>
      <c r="BE86" s="1193"/>
      <c r="BF86" s="1193"/>
      <c r="BG86" s="1208"/>
      <c r="BH86" s="1285">
        <v>0.57394871125018809</v>
      </c>
      <c r="BI86" s="1285">
        <v>0.59127355087239397</v>
      </c>
      <c r="BJ86" s="1202">
        <v>-1.7324839622205879</v>
      </c>
      <c r="BK86" s="959"/>
      <c r="BL86" s="1208"/>
      <c r="BM86" s="959">
        <v>0.57394871125018809</v>
      </c>
      <c r="BN86" s="959">
        <v>0.59127355087239397</v>
      </c>
      <c r="BO86" s="959">
        <v>0.5956139046208917</v>
      </c>
      <c r="BP86" s="959">
        <v>0.63128299547222277</v>
      </c>
      <c r="BQ86" s="959">
        <v>0.58908180491106743</v>
      </c>
      <c r="BR86" s="959">
        <v>0.55454781662579777</v>
      </c>
      <c r="BS86" s="1208"/>
      <c r="BT86" s="1208"/>
      <c r="BU86" s="1208"/>
      <c r="BV86" s="1208"/>
      <c r="BW86" s="1208"/>
      <c r="BX86" s="1193"/>
      <c r="BY86" s="1193"/>
      <c r="BZ86" s="1006"/>
      <c r="CA86" s="1006"/>
      <c r="CB86" s="1006"/>
      <c r="CC86" s="1184"/>
      <c r="CD86" s="1183"/>
      <c r="CE86" s="1145"/>
      <c r="CF86" s="1145"/>
      <c r="CG86" s="1145"/>
      <c r="CH86" s="1145"/>
      <c r="CI86" s="1144"/>
      <c r="CJ86" s="1144"/>
      <c r="CK86" s="1144"/>
      <c r="CL86" s="1144"/>
      <c r="CM86" s="1144"/>
      <c r="CN86" s="1144"/>
      <c r="CO86" s="1144"/>
      <c r="CP86" s="1144"/>
      <c r="CQ86" s="1144"/>
    </row>
    <row r="87" spans="1:95" ht="12.75" customHeight="1" x14ac:dyDescent="0.2">
      <c r="A87" s="1193"/>
      <c r="B87" s="1203" t="s">
        <v>75</v>
      </c>
      <c r="C87" s="1202">
        <v>-0.82609526345991946</v>
      </c>
      <c r="D87" s="959"/>
      <c r="E87" s="929"/>
      <c r="F87" s="929">
        <v>0.29181204380522358</v>
      </c>
      <c r="G87" s="929">
        <v>0.31061500684174026</v>
      </c>
      <c r="H87" s="959">
        <v>0.26511536826620435</v>
      </c>
      <c r="I87" s="959">
        <v>0.27351818904069736</v>
      </c>
      <c r="J87" s="959">
        <v>0.30007299643982277</v>
      </c>
      <c r="K87" s="959">
        <v>0.25021550972409773</v>
      </c>
      <c r="L87" s="959">
        <v>0.23090370687502229</v>
      </c>
      <c r="M87" s="959">
        <v>0.34928499327052492</v>
      </c>
      <c r="N87" s="959">
        <v>0.3651815479611778</v>
      </c>
      <c r="O87" s="959">
        <v>0.22232844150475403</v>
      </c>
      <c r="P87" s="959">
        <v>0.32805169449543958</v>
      </c>
      <c r="Q87" s="959">
        <v>0.35073422306208418</v>
      </c>
      <c r="R87" s="959">
        <v>0.31008975945603778</v>
      </c>
      <c r="S87" s="959">
        <v>0.31505495060579164</v>
      </c>
      <c r="T87" s="959">
        <v>0.40291948094477881</v>
      </c>
      <c r="U87" s="959">
        <v>0.38849586201990338</v>
      </c>
      <c r="V87" s="959">
        <v>0.32645913055469372</v>
      </c>
      <c r="W87" s="959">
        <v>0.29976973126948969</v>
      </c>
      <c r="X87" s="959">
        <v>0.5194770184661005</v>
      </c>
      <c r="Y87" s="959">
        <v>0.26697535386689331</v>
      </c>
      <c r="Z87" s="959">
        <v>0.2707690591090407</v>
      </c>
      <c r="AA87" s="959">
        <v>0.25229429065836634</v>
      </c>
      <c r="AB87" s="959">
        <v>0.25411425301050022</v>
      </c>
      <c r="AC87" s="959">
        <v>0.37653976311336718</v>
      </c>
      <c r="AD87" s="959">
        <v>0.3485460100362508</v>
      </c>
      <c r="AE87" s="959">
        <v>0.2626311224351503</v>
      </c>
      <c r="AF87" s="959">
        <v>0.28160705375583445</v>
      </c>
      <c r="AG87" s="959">
        <v>0.37396119452756837</v>
      </c>
      <c r="AH87" s="959">
        <v>0.51806160969403714</v>
      </c>
      <c r="AI87" s="959">
        <v>0.2917497302339192</v>
      </c>
      <c r="AJ87" s="959">
        <v>0.32141747326987929</v>
      </c>
      <c r="AK87" s="959">
        <v>0.42202559646073629</v>
      </c>
      <c r="AL87" s="959">
        <v>0.29523809523809524</v>
      </c>
      <c r="AM87" s="959">
        <v>0.16862374975485389</v>
      </c>
      <c r="AN87" s="959">
        <v>0.16170450316337923</v>
      </c>
      <c r="AO87" s="959">
        <v>0.26270677625722033</v>
      </c>
      <c r="AP87" s="959">
        <v>0.24017532949507514</v>
      </c>
      <c r="AQ87" s="959">
        <v>0.22280109226789307</v>
      </c>
      <c r="AR87" s="959">
        <v>0.17315875613747955</v>
      </c>
      <c r="AS87" s="959">
        <v>0.22785600509716469</v>
      </c>
      <c r="AT87" s="959">
        <v>0.23973940606103139</v>
      </c>
      <c r="AU87" s="959">
        <v>0.32006094933201995</v>
      </c>
      <c r="AV87" s="959">
        <v>0.52846700507614208</v>
      </c>
      <c r="AW87" s="959">
        <v>0.50111423477783867</v>
      </c>
      <c r="AX87" s="959">
        <v>0.26975084213640221</v>
      </c>
      <c r="AY87" s="1036">
        <v>0.37782338228692364</v>
      </c>
      <c r="AZ87" s="1036">
        <v>0.22941514650995137</v>
      </c>
      <c r="BA87" s="1036">
        <v>0.30967430476810637</v>
      </c>
      <c r="BB87" s="1036">
        <v>0.16900000000000004</v>
      </c>
      <c r="BC87" s="1036">
        <v>0.21100000000000008</v>
      </c>
      <c r="BD87" s="1036">
        <v>0.20399999999999996</v>
      </c>
      <c r="BE87" s="1036">
        <v>0.249</v>
      </c>
      <c r="BF87" s="1036">
        <v>0.17899999999999994</v>
      </c>
      <c r="BG87" s="1208"/>
      <c r="BH87" s="959">
        <v>0.28533803948739644</v>
      </c>
      <c r="BI87" s="959">
        <v>0.28470597092647548</v>
      </c>
      <c r="BJ87" s="1202">
        <v>6.3206856092096197E-2</v>
      </c>
      <c r="BK87" s="959"/>
      <c r="BL87" s="959"/>
      <c r="BM87" s="959">
        <v>0.28533803948739644</v>
      </c>
      <c r="BN87" s="959">
        <v>0.28470597092647548</v>
      </c>
      <c r="BO87" s="959">
        <v>0.29445462916387444</v>
      </c>
      <c r="BP87" s="959">
        <v>0.35578108854528712</v>
      </c>
      <c r="BQ87" s="959">
        <v>0.31925852831081136</v>
      </c>
      <c r="BR87" s="959">
        <v>0.29092547784147194</v>
      </c>
      <c r="BS87" s="959">
        <v>0.32463084506860024</v>
      </c>
      <c r="BT87" s="959">
        <v>0.31564728216195376</v>
      </c>
      <c r="BU87" s="959">
        <v>0.19588819331506524</v>
      </c>
      <c r="BV87" s="959">
        <v>0.21551791625659839</v>
      </c>
      <c r="BW87" s="1036">
        <v>0.37614070257543691</v>
      </c>
      <c r="BX87" s="1036">
        <v>0.25091858530912192</v>
      </c>
      <c r="BY87" s="1036">
        <v>0.20899999999999996</v>
      </c>
      <c r="BZ87" s="1203">
        <v>0.1419999999999999</v>
      </c>
      <c r="CA87" s="1203">
        <v>0.13400000000000001</v>
      </c>
      <c r="CB87" s="1203">
        <v>0.10299999999999998</v>
      </c>
      <c r="CC87" s="1184"/>
      <c r="CD87" s="1183"/>
      <c r="CE87" s="1145"/>
      <c r="CF87" s="1145"/>
      <c r="CG87" s="1145"/>
      <c r="CH87" s="1145"/>
      <c r="CI87" s="1144"/>
      <c r="CJ87" s="1144"/>
      <c r="CK87" s="1144"/>
      <c r="CL87" s="1144"/>
      <c r="CM87" s="1144"/>
      <c r="CN87" s="1144"/>
      <c r="CO87" s="1144"/>
      <c r="CP87" s="1144"/>
      <c r="CQ87" s="1144"/>
    </row>
    <row r="88" spans="1:95" ht="12.75" customHeight="1" x14ac:dyDescent="0.2">
      <c r="A88" s="1193"/>
      <c r="B88" s="1203" t="s">
        <v>76</v>
      </c>
      <c r="C88" s="1202">
        <v>-1.9547706459224434</v>
      </c>
      <c r="D88" s="959"/>
      <c r="E88" s="929"/>
      <c r="F88" s="929">
        <v>0.86859485430711014</v>
      </c>
      <c r="G88" s="929">
        <v>0.89807369085331179</v>
      </c>
      <c r="H88" s="959">
        <v>0.82632431115759908</v>
      </c>
      <c r="I88" s="959">
        <v>0.8379547260174337</v>
      </c>
      <c r="J88" s="959">
        <v>0.88814256076633458</v>
      </c>
      <c r="K88" s="959">
        <v>0.79815832614967586</v>
      </c>
      <c r="L88" s="959">
        <v>0.80285724479238341</v>
      </c>
      <c r="M88" s="959">
        <v>0.98375672947510096</v>
      </c>
      <c r="N88" s="959">
        <v>1.0168163828354655</v>
      </c>
      <c r="O88" s="959">
        <v>0.78285965274906988</v>
      </c>
      <c r="P88" s="959">
        <v>0.92144563918757472</v>
      </c>
      <c r="Q88" s="959">
        <v>0.99064603755757652</v>
      </c>
      <c r="R88" s="959">
        <v>0.9239840751766436</v>
      </c>
      <c r="S88" s="959">
        <v>0.9769589909004972</v>
      </c>
      <c r="T88" s="959">
        <v>1.1200785951123664</v>
      </c>
      <c r="U88" s="959">
        <v>0.97106970935333692</v>
      </c>
      <c r="V88" s="959">
        <v>0.89865204950529187</v>
      </c>
      <c r="W88" s="959">
        <v>0.92128197566806169</v>
      </c>
      <c r="X88" s="959">
        <v>1.1725492461440703</v>
      </c>
      <c r="Y88" s="959">
        <v>0.82203792163643286</v>
      </c>
      <c r="Z88" s="959">
        <v>0.82588077770649115</v>
      </c>
      <c r="AA88" s="959">
        <v>0.79339865744485938</v>
      </c>
      <c r="AB88" s="959">
        <v>0.81461625611735988</v>
      </c>
      <c r="AC88" s="959">
        <v>0.99610829103214893</v>
      </c>
      <c r="AD88" s="959">
        <v>0.91267353690775832</v>
      </c>
      <c r="AE88" s="959">
        <v>0.89787358035399667</v>
      </c>
      <c r="AF88" s="959">
        <v>0.86182394664207618</v>
      </c>
      <c r="AG88" s="959">
        <v>1.034321167498881</v>
      </c>
      <c r="AH88" s="959">
        <v>1.2164681836194131</v>
      </c>
      <c r="AI88" s="959">
        <v>0.94214203412769537</v>
      </c>
      <c r="AJ88" s="959">
        <v>0.89082371355899037</v>
      </c>
      <c r="AK88" s="959">
        <v>1.000287277898275</v>
      </c>
      <c r="AL88" s="959">
        <v>0.82410296010296014</v>
      </c>
      <c r="AM88" s="959">
        <v>0.65991493430084325</v>
      </c>
      <c r="AN88" s="959">
        <v>0.65193806317736347</v>
      </c>
      <c r="AO88" s="959">
        <v>0.78452827063621866</v>
      </c>
      <c r="AP88" s="959">
        <v>0.74023484303858134</v>
      </c>
      <c r="AQ88" s="959">
        <v>0.79448117275079044</v>
      </c>
      <c r="AR88" s="959">
        <v>0.75898010164527518</v>
      </c>
      <c r="AS88" s="959">
        <v>0.81577572475310611</v>
      </c>
      <c r="AT88" s="959">
        <v>0.80858977507982732</v>
      </c>
      <c r="AU88" s="959">
        <v>0.83909991996552358</v>
      </c>
      <c r="AV88" s="959">
        <v>1.1836954314720811</v>
      </c>
      <c r="AW88" s="959">
        <v>1.0825219418540866</v>
      </c>
      <c r="AX88" s="959">
        <v>0.8113137327874953</v>
      </c>
      <c r="AY88" s="1036">
        <v>0.9383441287757327</v>
      </c>
      <c r="AZ88" s="1036">
        <v>0.78796893678764046</v>
      </c>
      <c r="BA88" s="1036">
        <v>0.81936881813384832</v>
      </c>
      <c r="BB88" s="1036">
        <v>0.68600000000000005</v>
      </c>
      <c r="BC88" s="1036">
        <v>0.77500000000000002</v>
      </c>
      <c r="BD88" s="1036">
        <v>0.74299999999999999</v>
      </c>
      <c r="BE88" s="1036">
        <v>0.76</v>
      </c>
      <c r="BF88" s="1036">
        <v>0.73199999999999998</v>
      </c>
      <c r="BG88" s="1208"/>
      <c r="BH88" s="959">
        <v>0.85928675073758454</v>
      </c>
      <c r="BI88" s="959">
        <v>0.8759795217988694</v>
      </c>
      <c r="BJ88" s="1202">
        <v>-1.6692771061284861</v>
      </c>
      <c r="BK88" s="959"/>
      <c r="BL88" s="959"/>
      <c r="BM88" s="959">
        <v>0.85928675073758454</v>
      </c>
      <c r="BN88" s="959">
        <v>0.8759795217988694</v>
      </c>
      <c r="BO88" s="959">
        <v>0.89184659024310198</v>
      </c>
      <c r="BP88" s="959">
        <v>0.98706483551580959</v>
      </c>
      <c r="BQ88" s="959">
        <v>0.90834033322187879</v>
      </c>
      <c r="BR88" s="959">
        <v>0.84547329446726971</v>
      </c>
      <c r="BS88" s="959">
        <v>0.93056615770202555</v>
      </c>
      <c r="BT88" s="959">
        <v>0.88387772205517345</v>
      </c>
      <c r="BU88" s="959">
        <v>0.69288064101707247</v>
      </c>
      <c r="BV88" s="959">
        <v>0.79105947331649973</v>
      </c>
      <c r="BW88" s="1036">
        <v>0.94099173970888872</v>
      </c>
      <c r="BX88" s="1036">
        <v>0.78499543603263811</v>
      </c>
      <c r="BY88" s="1036">
        <v>0.753</v>
      </c>
      <c r="BZ88" s="1203">
        <v>0.69399999999999995</v>
      </c>
      <c r="CA88" s="1203">
        <v>0.72499999999999998</v>
      </c>
      <c r="CB88" s="1203">
        <v>0.73</v>
      </c>
      <c r="CC88" s="1184"/>
      <c r="CD88" s="1183"/>
      <c r="CE88" s="1145"/>
      <c r="CF88" s="1145"/>
      <c r="CG88" s="1145"/>
      <c r="CH88" s="1145"/>
      <c r="CI88" s="1144"/>
      <c r="CJ88" s="1144"/>
      <c r="CK88" s="1144"/>
      <c r="CL88" s="1144"/>
      <c r="CM88" s="1144"/>
      <c r="CN88" s="1144"/>
      <c r="CO88" s="1144"/>
      <c r="CP88" s="1144"/>
      <c r="CQ88" s="1144"/>
    </row>
    <row r="89" spans="1:95" ht="12.75" customHeight="1" x14ac:dyDescent="0.2">
      <c r="A89" s="1193"/>
      <c r="B89" s="1203" t="s">
        <v>77</v>
      </c>
      <c r="C89" s="1202">
        <v>2.3195310011331403</v>
      </c>
      <c r="D89" s="959"/>
      <c r="E89" s="929"/>
      <c r="F89" s="929">
        <v>0.10748698841719161</v>
      </c>
      <c r="G89" s="929">
        <v>6.6649171805782045E-2</v>
      </c>
      <c r="H89" s="959">
        <v>0.15157159710182305</v>
      </c>
      <c r="I89" s="959">
        <v>0.13905020869000861</v>
      </c>
      <c r="J89" s="959">
        <v>8.4291678405860201E-2</v>
      </c>
      <c r="K89" s="959">
        <v>0.17938879947380748</v>
      </c>
      <c r="L89" s="959">
        <v>0.17759667283374872</v>
      </c>
      <c r="M89" s="959">
        <v>-1.6302153432032302E-2</v>
      </c>
      <c r="N89" s="959">
        <v>-5.2239173632437227E-2</v>
      </c>
      <c r="O89" s="959">
        <v>0.19045576684580406</v>
      </c>
      <c r="P89" s="959">
        <v>4.201270507328729E-2</v>
      </c>
      <c r="Q89" s="959">
        <v>-2.5369079957481989E-2</v>
      </c>
      <c r="R89" s="959">
        <v>5.0048420071016106E-2</v>
      </c>
      <c r="S89" s="959">
        <v>-1.3515756355580572E-2</v>
      </c>
      <c r="T89" s="959">
        <v>-0.15215195055057518</v>
      </c>
      <c r="U89" s="959">
        <v>-3.5886207523456457E-3</v>
      </c>
      <c r="V89" s="959">
        <v>7.3844244492708655E-2</v>
      </c>
      <c r="W89" s="959">
        <v>5.9129496357738474E-2</v>
      </c>
      <c r="X89" s="959">
        <v>-0.19851539483565364</v>
      </c>
      <c r="Y89" s="959">
        <v>0.15808105969580635</v>
      </c>
      <c r="Z89" s="959">
        <v>0.15906161957097828</v>
      </c>
      <c r="AA89" s="959">
        <v>0.19457406286329618</v>
      </c>
      <c r="AB89" s="959">
        <v>0.1727927864793207</v>
      </c>
      <c r="AC89" s="959" t="e">
        <v>#REF!</v>
      </c>
      <c r="AD89" s="959" t="e">
        <v>#REF!</v>
      </c>
      <c r="AE89" s="959" t="e">
        <v>#REF!</v>
      </c>
      <c r="AF89" s="959" t="e">
        <v>#REF!</v>
      </c>
      <c r="AG89" s="959" t="e">
        <v>#REF!</v>
      </c>
      <c r="AH89" s="959" t="e">
        <v>#REF!</v>
      </c>
      <c r="AI89" s="959" t="e">
        <v>#REF!</v>
      </c>
      <c r="AJ89" s="959" t="e">
        <v>#REF!</v>
      </c>
      <c r="AK89" s="959" t="e">
        <v>#REF!</v>
      </c>
      <c r="AL89" s="959" t="e">
        <v>#REF!</v>
      </c>
      <c r="AM89" s="959" t="e">
        <v>#REF!</v>
      </c>
      <c r="AN89" s="959" t="e">
        <v>#REF!</v>
      </c>
      <c r="AO89" s="959">
        <v>0.21547172936378128</v>
      </c>
      <c r="AP89" s="959">
        <v>0.25976515696141866</v>
      </c>
      <c r="AQ89" s="959">
        <v>0.20551882724920953</v>
      </c>
      <c r="AR89" s="959">
        <v>0.24101989835472479</v>
      </c>
      <c r="AS89" s="959">
        <v>0.18422427524689391</v>
      </c>
      <c r="AT89" s="959">
        <v>0.19141022492017265</v>
      </c>
      <c r="AU89" s="959">
        <v>0.16090008003447639</v>
      </c>
      <c r="AV89" s="959">
        <v>-0.18369543147208123</v>
      </c>
      <c r="AW89" s="959">
        <v>-8.2521941854086664E-2</v>
      </c>
      <c r="AX89" s="959">
        <v>0.18868626721250464</v>
      </c>
      <c r="AY89" s="1036">
        <v>6.16558712242673E-2</v>
      </c>
      <c r="AZ89" s="1036">
        <v>0.21203106321235959</v>
      </c>
      <c r="BA89" s="1036">
        <v>0.18063118186615174</v>
      </c>
      <c r="BB89" s="1036">
        <v>0.31399999999999995</v>
      </c>
      <c r="BC89" s="1036">
        <v>0.22500000000000001</v>
      </c>
      <c r="BD89" s="1036">
        <v>0.25700000000000001</v>
      </c>
      <c r="BE89" s="1036">
        <v>0.24</v>
      </c>
      <c r="BF89" s="1036">
        <v>0.26800000000000002</v>
      </c>
      <c r="BG89" s="1208"/>
      <c r="BH89" s="959">
        <v>0.11417866158568617</v>
      </c>
      <c r="BI89" s="959">
        <v>9.8102754895256258E-2</v>
      </c>
      <c r="BJ89" s="1202">
        <v>1.6075906690429909</v>
      </c>
      <c r="BK89" s="959"/>
      <c r="BL89" s="959"/>
      <c r="BM89" s="959">
        <v>0.11417866158568617</v>
      </c>
      <c r="BN89" s="959">
        <v>9.8102754895256258E-2</v>
      </c>
      <c r="BO89" s="959">
        <v>7.7661010251206461E-2</v>
      </c>
      <c r="BP89" s="959">
        <v>-1.9166212636443865E-2</v>
      </c>
      <c r="BQ89" s="959">
        <v>7.2233956663214291E-2</v>
      </c>
      <c r="BR89" s="959">
        <v>0.14066321310836485</v>
      </c>
      <c r="BS89" s="959">
        <v>6.2842747115240655E-2</v>
      </c>
      <c r="BT89" s="959">
        <v>8.4347898264150137E-2</v>
      </c>
      <c r="BU89" s="959">
        <v>0.28687778941193071</v>
      </c>
      <c r="BV89" s="959" t="e">
        <v>#REF!</v>
      </c>
      <c r="BW89" s="959" t="e">
        <v>#REF!</v>
      </c>
      <c r="BX89" s="959" t="e">
        <v>#REF!</v>
      </c>
      <c r="BY89" s="1036">
        <v>0.247</v>
      </c>
      <c r="BZ89" s="1203">
        <v>0.30600000000000005</v>
      </c>
      <c r="CA89" s="1203">
        <v>0.27500000000000002</v>
      </c>
      <c r="CB89" s="1203">
        <v>0.27</v>
      </c>
      <c r="CC89" s="1183"/>
      <c r="CD89" s="1183"/>
      <c r="CE89" s="1144"/>
      <c r="CF89" s="1144"/>
      <c r="CG89" s="1144"/>
      <c r="CH89" s="1144"/>
      <c r="CI89" s="1144"/>
      <c r="CJ89" s="1144"/>
      <c r="CK89" s="1144"/>
      <c r="CL89" s="1144"/>
      <c r="CM89" s="1144"/>
      <c r="CN89" s="1144"/>
      <c r="CO89" s="1144"/>
      <c r="CP89" s="1144"/>
      <c r="CQ89" s="1144"/>
    </row>
    <row r="90" spans="1:95" ht="12.75" customHeight="1" x14ac:dyDescent="0.2">
      <c r="A90" s="1193"/>
      <c r="B90" s="1203"/>
      <c r="C90" s="1348"/>
      <c r="D90" s="959"/>
      <c r="E90" s="929"/>
      <c r="F90" s="929"/>
      <c r="G90" s="92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c r="AL90" s="959"/>
      <c r="AM90" s="959"/>
      <c r="AN90" s="959"/>
      <c r="AO90" s="959"/>
      <c r="AP90" s="959"/>
      <c r="AQ90" s="959"/>
      <c r="AR90" s="959"/>
      <c r="AS90" s="959"/>
      <c r="AT90" s="959"/>
      <c r="AU90" s="959"/>
      <c r="AV90" s="959"/>
      <c r="AW90" s="959"/>
      <c r="AX90" s="959"/>
      <c r="AY90" s="1036"/>
      <c r="AZ90" s="1036"/>
      <c r="BA90" s="1036"/>
      <c r="BB90" s="1036"/>
      <c r="BC90" s="1036"/>
      <c r="BD90" s="1036"/>
      <c r="BE90" s="1036"/>
      <c r="BF90" s="1036"/>
      <c r="BG90" s="1208"/>
      <c r="BH90" s="1208"/>
      <c r="BI90" s="1208"/>
      <c r="BJ90" s="1202"/>
      <c r="BK90" s="959"/>
      <c r="BL90" s="1208"/>
      <c r="BM90" s="1036"/>
      <c r="BN90" s="1036"/>
      <c r="BO90" s="1036"/>
      <c r="BP90" s="1036"/>
      <c r="BQ90" s="1036"/>
      <c r="BR90" s="1036"/>
      <c r="BS90" s="1036"/>
      <c r="BT90" s="1036"/>
      <c r="BU90" s="1036"/>
      <c r="BV90" s="1036"/>
      <c r="BW90" s="1036"/>
      <c r="BX90" s="1036"/>
      <c r="BY90" s="1036"/>
      <c r="BZ90" s="1203"/>
      <c r="CA90" s="1203"/>
      <c r="CB90" s="1203"/>
      <c r="CC90" s="1183"/>
      <c r="CD90" s="1183"/>
      <c r="CE90" s="1144"/>
      <c r="CF90" s="1144"/>
      <c r="CG90" s="1144"/>
      <c r="CH90" s="1144"/>
      <c r="CI90" s="1144"/>
      <c r="CJ90" s="1144"/>
      <c r="CK90" s="1144"/>
      <c r="CL90" s="1144"/>
      <c r="CM90" s="1144"/>
      <c r="CN90" s="1144"/>
      <c r="CO90" s="1144"/>
      <c r="CP90" s="1144"/>
      <c r="CQ90" s="1144"/>
    </row>
    <row r="91" spans="1:95" ht="12.75" customHeight="1" x14ac:dyDescent="0.2">
      <c r="A91" s="1349" t="s">
        <v>194</v>
      </c>
      <c r="B91" s="1203"/>
      <c r="C91" s="1208"/>
      <c r="D91" s="1208"/>
      <c r="E91" s="1153"/>
      <c r="F91" s="1153"/>
      <c r="G91" s="1153"/>
      <c r="H91" s="1208"/>
      <c r="I91" s="1208"/>
      <c r="J91" s="1208"/>
      <c r="K91" s="1208"/>
      <c r="L91" s="946"/>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946"/>
      <c r="BC91" s="1208"/>
      <c r="BD91" s="946"/>
      <c r="BE91" s="946"/>
      <c r="BF91" s="1208"/>
      <c r="BG91" s="1208"/>
      <c r="BH91" s="1208"/>
      <c r="BI91" s="1208"/>
      <c r="BJ91" s="1208"/>
      <c r="BK91" s="1208"/>
      <c r="BL91" s="1208"/>
      <c r="BM91" s="1208"/>
      <c r="BN91" s="1208"/>
      <c r="BO91" s="1208"/>
      <c r="BP91" s="1208"/>
      <c r="BQ91" s="1208"/>
      <c r="BR91" s="1208"/>
      <c r="BS91" s="1208"/>
      <c r="BT91" s="1208"/>
      <c r="BU91" s="1208"/>
      <c r="BV91" s="1208"/>
      <c r="BW91" s="1208"/>
      <c r="BX91" s="1208"/>
      <c r="BY91" s="1208"/>
      <c r="BZ91" s="1006"/>
      <c r="CA91" s="1203"/>
      <c r="CB91" s="1203"/>
      <c r="CC91" s="1183"/>
      <c r="CD91" s="1183"/>
      <c r="CE91" s="1144"/>
      <c r="CF91" s="1144"/>
      <c r="CG91" s="1144"/>
      <c r="CH91" s="1144"/>
      <c r="CI91" s="1144"/>
      <c r="CJ91" s="1144"/>
      <c r="CK91" s="1144"/>
      <c r="CL91" s="1144"/>
      <c r="CM91" s="1144"/>
      <c r="CN91" s="1144"/>
      <c r="CO91" s="1144"/>
      <c r="CP91" s="1144"/>
      <c r="CQ91" s="1144"/>
    </row>
    <row r="92" spans="1:95" ht="12.75" customHeight="1" x14ac:dyDescent="0.2">
      <c r="C92" s="3073" t="s">
        <v>671</v>
      </c>
      <c r="D92" s="3074"/>
      <c r="E92" s="901"/>
      <c r="F92" s="2958"/>
      <c r="G92" s="902"/>
      <c r="H92" s="982"/>
      <c r="I92" s="982"/>
      <c r="J92" s="983"/>
      <c r="K92" s="982"/>
      <c r="L92" s="982"/>
      <c r="M92" s="982"/>
      <c r="N92" s="983"/>
      <c r="O92" s="982"/>
      <c r="P92" s="982"/>
      <c r="Q92" s="982"/>
      <c r="R92" s="983"/>
      <c r="S92" s="982"/>
      <c r="T92" s="982"/>
      <c r="U92" s="982"/>
      <c r="V92" s="983"/>
      <c r="W92" s="982"/>
      <c r="X92" s="982"/>
      <c r="Y92" s="982"/>
      <c r="Z92" s="1218"/>
      <c r="AA92" s="982"/>
      <c r="AB92" s="982"/>
      <c r="AC92" s="982"/>
      <c r="AD92" s="1218"/>
      <c r="AE92" s="982"/>
      <c r="AF92" s="982"/>
      <c r="AG92" s="982"/>
      <c r="AH92" s="1218"/>
      <c r="AI92" s="1219"/>
      <c r="AJ92" s="1220"/>
      <c r="AK92" s="982"/>
      <c r="AL92" s="1218"/>
      <c r="AM92" s="1219"/>
      <c r="AN92" s="1220"/>
      <c r="AO92" s="982"/>
      <c r="AP92" s="1218"/>
      <c r="AQ92" s="1184"/>
      <c r="AR92" s="1220"/>
      <c r="AS92" s="941"/>
      <c r="AT92" s="1218"/>
      <c r="AU92" s="1220"/>
      <c r="AV92" s="1184"/>
      <c r="AW92" s="982"/>
      <c r="AX92" s="1218"/>
      <c r="AY92" s="1220"/>
      <c r="AZ92" s="1220"/>
      <c r="BA92" s="1220"/>
      <c r="BB92" s="1220"/>
      <c r="BC92" s="1221"/>
      <c r="BD92" s="1218"/>
      <c r="BE92" s="1218"/>
      <c r="BF92" s="1218"/>
      <c r="BG92" s="1222"/>
      <c r="BH92" s="988" t="s">
        <v>660</v>
      </c>
      <c r="BI92" s="988"/>
      <c r="BJ92" s="988" t="s">
        <v>563</v>
      </c>
      <c r="BK92" s="989"/>
      <c r="BL92" s="1208"/>
      <c r="BM92" s="991"/>
      <c r="BN92" s="991"/>
      <c r="BO92" s="991"/>
      <c r="BP92" s="991"/>
      <c r="BQ92" s="991"/>
      <c r="BR92" s="991"/>
      <c r="BS92" s="991"/>
      <c r="BT92" s="991"/>
      <c r="BU92" s="991"/>
      <c r="BV92" s="991"/>
      <c r="BW92" s="991"/>
      <c r="BX92" s="1452"/>
      <c r="BY92" s="1453"/>
      <c r="BZ92" s="991"/>
      <c r="CA92" s="1203"/>
      <c r="CB92" s="1203"/>
      <c r="CC92" s="1223"/>
      <c r="CD92" s="1183"/>
      <c r="CE92" s="1144"/>
      <c r="CF92" s="1144"/>
      <c r="CG92" s="1144"/>
      <c r="CH92" s="1144"/>
      <c r="CI92" s="1144"/>
      <c r="CJ92" s="1144"/>
      <c r="CK92" s="1144"/>
      <c r="CL92" s="1144"/>
      <c r="CM92" s="1144"/>
      <c r="CN92" s="1144"/>
      <c r="CO92" s="1144"/>
      <c r="CP92" s="1144"/>
      <c r="CQ92" s="1144"/>
    </row>
    <row r="93" spans="1:95" ht="12.75" customHeight="1" x14ac:dyDescent="0.2">
      <c r="C93" s="3184" t="s">
        <v>38</v>
      </c>
      <c r="D93" s="3185"/>
      <c r="E93" s="906"/>
      <c r="F93" s="1993" t="s">
        <v>670</v>
      </c>
      <c r="G93" s="907" t="s">
        <v>558</v>
      </c>
      <c r="H93" s="992" t="s">
        <v>559</v>
      </c>
      <c r="I93" s="992" t="s">
        <v>560</v>
      </c>
      <c r="J93" s="993" t="s">
        <v>561</v>
      </c>
      <c r="K93" s="992" t="s">
        <v>508</v>
      </c>
      <c r="L93" s="992" t="s">
        <v>507</v>
      </c>
      <c r="M93" s="992" t="s">
        <v>506</v>
      </c>
      <c r="N93" s="993" t="s">
        <v>505</v>
      </c>
      <c r="O93" s="992" t="s">
        <v>382</v>
      </c>
      <c r="P93" s="992" t="s">
        <v>383</v>
      </c>
      <c r="Q93" s="992" t="s">
        <v>384</v>
      </c>
      <c r="R93" s="993" t="s">
        <v>385</v>
      </c>
      <c r="S93" s="992" t="s">
        <v>368</v>
      </c>
      <c r="T93" s="992" t="s">
        <v>367</v>
      </c>
      <c r="U93" s="992" t="s">
        <v>366</v>
      </c>
      <c r="V93" s="993" t="s">
        <v>364</v>
      </c>
      <c r="W93" s="992" t="s">
        <v>348</v>
      </c>
      <c r="X93" s="992" t="s">
        <v>349</v>
      </c>
      <c r="Y93" s="992" t="s">
        <v>350</v>
      </c>
      <c r="Z93" s="993" t="s">
        <v>351</v>
      </c>
      <c r="AA93" s="992" t="s">
        <v>315</v>
      </c>
      <c r="AB93" s="992" t="s">
        <v>314</v>
      </c>
      <c r="AC93" s="992" t="s">
        <v>313</v>
      </c>
      <c r="AD93" s="993" t="s">
        <v>311</v>
      </c>
      <c r="AE93" s="992" t="s">
        <v>270</v>
      </c>
      <c r="AF93" s="992" t="s">
        <v>271</v>
      </c>
      <c r="AG93" s="992" t="s">
        <v>272</v>
      </c>
      <c r="AH93" s="993" t="s">
        <v>273</v>
      </c>
      <c r="AI93" s="994" t="s">
        <v>223</v>
      </c>
      <c r="AJ93" s="992" t="s">
        <v>224</v>
      </c>
      <c r="AK93" s="992" t="s">
        <v>225</v>
      </c>
      <c r="AL93" s="993" t="s">
        <v>222</v>
      </c>
      <c r="AM93" s="994" t="s">
        <v>189</v>
      </c>
      <c r="AN93" s="992" t="s">
        <v>190</v>
      </c>
      <c r="AO93" s="992" t="s">
        <v>191</v>
      </c>
      <c r="AP93" s="993" t="s">
        <v>192</v>
      </c>
      <c r="AQ93" s="992" t="s">
        <v>121</v>
      </c>
      <c r="AR93" s="992" t="s">
        <v>120</v>
      </c>
      <c r="AS93" s="992" t="s">
        <v>119</v>
      </c>
      <c r="AT93" s="993" t="s">
        <v>118</v>
      </c>
      <c r="AU93" s="992" t="s">
        <v>81</v>
      </c>
      <c r="AV93" s="992" t="s">
        <v>82</v>
      </c>
      <c r="AW93" s="992" t="s">
        <v>83</v>
      </c>
      <c r="AX93" s="993" t="s">
        <v>29</v>
      </c>
      <c r="AY93" s="992" t="s">
        <v>30</v>
      </c>
      <c r="AZ93" s="992" t="s">
        <v>31</v>
      </c>
      <c r="BA93" s="992" t="s">
        <v>32</v>
      </c>
      <c r="BB93" s="992" t="s">
        <v>33</v>
      </c>
      <c r="BC93" s="995" t="s">
        <v>34</v>
      </c>
      <c r="BD93" s="993" t="s">
        <v>35</v>
      </c>
      <c r="BE93" s="993" t="s">
        <v>36</v>
      </c>
      <c r="BF93" s="993" t="s">
        <v>37</v>
      </c>
      <c r="BG93" s="996"/>
      <c r="BH93" s="990" t="s">
        <v>558</v>
      </c>
      <c r="BI93" s="990" t="s">
        <v>508</v>
      </c>
      <c r="BJ93" s="3071" t="s">
        <v>38</v>
      </c>
      <c r="BK93" s="3072"/>
      <c r="BL93" s="1208"/>
      <c r="BM93" s="994" t="s">
        <v>562</v>
      </c>
      <c r="BN93" s="994" t="s">
        <v>509</v>
      </c>
      <c r="BO93" s="994" t="s">
        <v>502</v>
      </c>
      <c r="BP93" s="994" t="s">
        <v>379</v>
      </c>
      <c r="BQ93" s="994" t="s">
        <v>360</v>
      </c>
      <c r="BR93" s="994" t="s">
        <v>317</v>
      </c>
      <c r="BS93" s="994" t="s">
        <v>275</v>
      </c>
      <c r="BT93" s="994" t="s">
        <v>227</v>
      </c>
      <c r="BU93" s="994" t="s">
        <v>123</v>
      </c>
      <c r="BV93" s="994" t="s">
        <v>122</v>
      </c>
      <c r="BW93" s="994" t="s">
        <v>42</v>
      </c>
      <c r="BX93" s="994" t="s">
        <v>39</v>
      </c>
      <c r="BY93" s="995" t="s">
        <v>40</v>
      </c>
      <c r="BZ93" s="995" t="s">
        <v>142</v>
      </c>
      <c r="CA93" s="1203"/>
      <c r="CB93" s="1203"/>
      <c r="CC93" s="1223"/>
      <c r="CD93" s="1183"/>
      <c r="CE93" s="1144"/>
      <c r="CF93" s="1144"/>
      <c r="CG93" s="1144"/>
      <c r="CH93" s="1144"/>
      <c r="CI93" s="1144"/>
      <c r="CJ93" s="1144"/>
      <c r="CK93" s="1144"/>
      <c r="CL93" s="1144"/>
      <c r="CM93" s="1144"/>
      <c r="CN93" s="1144"/>
      <c r="CO93" s="1144"/>
      <c r="CP93" s="1144"/>
      <c r="CQ93" s="1144"/>
    </row>
    <row r="94" spans="1:95" ht="12.75" customHeight="1" x14ac:dyDescent="0.2">
      <c r="A94" s="1193"/>
      <c r="B94" s="946" t="s">
        <v>300</v>
      </c>
      <c r="C94" s="2778">
        <v>-4249</v>
      </c>
      <c r="D94" s="1210">
        <v>-0.10594160620340588</v>
      </c>
      <c r="E94" s="1147"/>
      <c r="F94" s="2961">
        <v>35858</v>
      </c>
      <c r="G94" s="1167">
        <v>41156</v>
      </c>
      <c r="H94" s="1262">
        <v>49398</v>
      </c>
      <c r="I94" s="1262">
        <v>44850</v>
      </c>
      <c r="J94" s="1272">
        <v>40107</v>
      </c>
      <c r="K94" s="1262">
        <v>40763</v>
      </c>
      <c r="L94" s="1262">
        <v>36551</v>
      </c>
      <c r="M94" s="1262">
        <v>36039</v>
      </c>
      <c r="N94" s="1272">
        <v>41773</v>
      </c>
      <c r="O94" s="1262">
        <v>45947</v>
      </c>
      <c r="P94" s="1262">
        <v>45582</v>
      </c>
      <c r="Q94" s="1262">
        <v>40879</v>
      </c>
      <c r="R94" s="1272">
        <v>38124</v>
      </c>
      <c r="S94" s="1262">
        <v>42633</v>
      </c>
      <c r="T94" s="1262">
        <v>39722</v>
      </c>
      <c r="U94" s="1262">
        <v>35636</v>
      </c>
      <c r="V94" s="1272">
        <v>38388</v>
      </c>
      <c r="W94" s="1262">
        <v>42513</v>
      </c>
      <c r="X94" s="1262">
        <v>41083</v>
      </c>
      <c r="Y94" s="1262">
        <v>34050</v>
      </c>
      <c r="Z94" s="1272">
        <v>41525</v>
      </c>
      <c r="AA94" s="1262">
        <v>46331</v>
      </c>
      <c r="AB94" s="1262">
        <v>40217</v>
      </c>
      <c r="AC94" s="1262">
        <v>37823</v>
      </c>
      <c r="AD94" s="1272">
        <v>42832</v>
      </c>
      <c r="AE94" s="1262">
        <v>39270</v>
      </c>
      <c r="AF94" s="1262">
        <v>40686</v>
      </c>
      <c r="AG94" s="1262">
        <v>41061</v>
      </c>
      <c r="AH94" s="1272">
        <v>42055</v>
      </c>
      <c r="AI94" s="1262">
        <v>36190</v>
      </c>
      <c r="AJ94" s="1262">
        <v>25951</v>
      </c>
      <c r="AK94" s="1262">
        <v>26032</v>
      </c>
      <c r="AL94" s="1272">
        <v>22923</v>
      </c>
      <c r="AM94" s="1262">
        <v>34956</v>
      </c>
      <c r="AN94" s="1262">
        <v>41491</v>
      </c>
      <c r="AO94" s="1262">
        <v>30122</v>
      </c>
      <c r="AP94" s="1272">
        <v>27253</v>
      </c>
      <c r="AQ94" s="1262">
        <v>24606</v>
      </c>
      <c r="AR94" s="1262">
        <v>26648</v>
      </c>
      <c r="AS94" s="1262">
        <v>26258</v>
      </c>
      <c r="AT94" s="1272">
        <v>25700</v>
      </c>
      <c r="AU94" s="1462">
        <v>24412</v>
      </c>
      <c r="AV94" s="1295">
        <v>23557</v>
      </c>
      <c r="AW94" s="1295">
        <v>27744</v>
      </c>
      <c r="AX94" s="1272">
        <v>29582</v>
      </c>
      <c r="AY94" s="1454">
        <v>29584</v>
      </c>
      <c r="AZ94" s="1208"/>
      <c r="BA94" s="1208"/>
      <c r="BB94" s="946"/>
      <c r="BC94" s="1208"/>
      <c r="BD94" s="946"/>
      <c r="BE94" s="946"/>
      <c r="BF94" s="1208"/>
      <c r="BG94" s="1188"/>
      <c r="BH94" s="2778">
        <v>175511</v>
      </c>
      <c r="BI94" s="1463">
        <v>155126</v>
      </c>
      <c r="BJ94" s="2883">
        <v>20385</v>
      </c>
      <c r="BK94" s="1210">
        <v>0.13140930598352307</v>
      </c>
      <c r="BL94" s="1208"/>
      <c r="BM94" s="1367">
        <v>175511</v>
      </c>
      <c r="BN94" s="1367">
        <v>155126</v>
      </c>
      <c r="BO94" s="1367">
        <v>170532</v>
      </c>
      <c r="BP94" s="1367">
        <v>156379</v>
      </c>
      <c r="BQ94" s="1367">
        <v>159171</v>
      </c>
      <c r="BR94" s="1367">
        <v>167203</v>
      </c>
      <c r="BS94" s="1367">
        <v>163072</v>
      </c>
      <c r="BT94" s="1367">
        <v>111096</v>
      </c>
      <c r="BU94" s="1273">
        <v>133822</v>
      </c>
      <c r="BV94" s="1273">
        <v>103212</v>
      </c>
      <c r="BW94" s="1273">
        <v>105295</v>
      </c>
      <c r="BX94" s="1392">
        <v>125363</v>
      </c>
      <c r="BY94" s="1456">
        <v>125810</v>
      </c>
      <c r="BZ94" s="1297">
        <v>89236</v>
      </c>
      <c r="CA94" s="1203"/>
      <c r="CB94" s="1203"/>
      <c r="CC94" s="1223"/>
      <c r="CD94" s="1312">
        <v>-9031</v>
      </c>
      <c r="CE94" s="2430">
        <v>-0.19812645342459742</v>
      </c>
      <c r="CF94" s="2429">
        <v>4782</v>
      </c>
      <c r="CG94" s="2430">
        <v>9.2184847221191538E-2</v>
      </c>
      <c r="CH94" s="2430"/>
      <c r="CI94" s="1312">
        <v>114363</v>
      </c>
      <c r="CJ94" s="2432">
        <v>61148</v>
      </c>
      <c r="CK94" s="1145"/>
      <c r="CL94" s="2432">
        <v>20385</v>
      </c>
      <c r="CM94" s="2431">
        <v>0.13140930598352307</v>
      </c>
      <c r="CN94" s="1146">
        <v>0</v>
      </c>
      <c r="CO94" s="2430">
        <v>0</v>
      </c>
      <c r="CP94" s="1144"/>
      <c r="CQ94" s="1144"/>
    </row>
    <row r="95" spans="1:95" ht="12.75" customHeight="1" x14ac:dyDescent="0.2">
      <c r="A95" s="1193"/>
      <c r="B95" s="946" t="s">
        <v>60</v>
      </c>
      <c r="C95" s="1198">
        <v>12492</v>
      </c>
      <c r="D95" s="1035">
        <v>0.2191886580572712</v>
      </c>
      <c r="E95" s="1147"/>
      <c r="F95" s="2961">
        <v>69484</v>
      </c>
      <c r="G95" s="1167">
        <v>47298</v>
      </c>
      <c r="H95" s="1262">
        <v>84399</v>
      </c>
      <c r="I95" s="1262">
        <v>55026</v>
      </c>
      <c r="J95" s="1272">
        <v>56992</v>
      </c>
      <c r="K95" s="1262">
        <v>78809</v>
      </c>
      <c r="L95" s="1262">
        <v>96198</v>
      </c>
      <c r="M95" s="1262">
        <v>27392</v>
      </c>
      <c r="N95" s="1272">
        <v>32421</v>
      </c>
      <c r="O95" s="1262">
        <v>61793</v>
      </c>
      <c r="P95" s="1262">
        <v>39319</v>
      </c>
      <c r="Q95" s="1262">
        <v>35229</v>
      </c>
      <c r="R95" s="1272">
        <v>32569</v>
      </c>
      <c r="S95" s="1262">
        <v>14711</v>
      </c>
      <c r="T95" s="1262">
        <v>17131</v>
      </c>
      <c r="U95" s="1262">
        <v>28474</v>
      </c>
      <c r="V95" s="1272">
        <v>60075</v>
      </c>
      <c r="W95" s="1262">
        <v>50809</v>
      </c>
      <c r="X95" s="1262">
        <v>23255</v>
      </c>
      <c r="Y95" s="1262">
        <v>60705</v>
      </c>
      <c r="Z95" s="1272">
        <v>81534</v>
      </c>
      <c r="AA95" s="1262">
        <v>72731</v>
      </c>
      <c r="AB95" s="1262">
        <v>66729</v>
      </c>
      <c r="AC95" s="1262">
        <v>37147</v>
      </c>
      <c r="AD95" s="1272">
        <v>28802</v>
      </c>
      <c r="AE95" s="1262">
        <v>33074</v>
      </c>
      <c r="AF95" s="1262">
        <v>34190</v>
      </c>
      <c r="AG95" s="1262">
        <v>31356</v>
      </c>
      <c r="AH95" s="1272">
        <v>23046</v>
      </c>
      <c r="AI95" s="1262">
        <v>42554</v>
      </c>
      <c r="AJ95" s="1262">
        <v>23556</v>
      </c>
      <c r="AK95" s="1262">
        <v>21108</v>
      </c>
      <c r="AL95" s="1272">
        <v>48446</v>
      </c>
      <c r="AM95" s="1262">
        <v>84470</v>
      </c>
      <c r="AN95" s="1262">
        <v>97802</v>
      </c>
      <c r="AO95" s="1262">
        <v>43112</v>
      </c>
      <c r="AP95" s="1272">
        <v>46456</v>
      </c>
      <c r="AQ95" s="1262">
        <v>43383</v>
      </c>
      <c r="AR95" s="1262">
        <v>71705</v>
      </c>
      <c r="AS95" s="1262">
        <v>26112</v>
      </c>
      <c r="AT95" s="1272">
        <v>40636</v>
      </c>
      <c r="AU95" s="1462">
        <v>23936</v>
      </c>
      <c r="AV95" s="1262">
        <v>7212</v>
      </c>
      <c r="AW95" s="1262">
        <v>22784</v>
      </c>
      <c r="AX95" s="1272">
        <v>43116</v>
      </c>
      <c r="AY95" s="1454">
        <v>68274</v>
      </c>
      <c r="AZ95" s="1208">
        <v>0</v>
      </c>
      <c r="BA95" s="1208">
        <v>0</v>
      </c>
      <c r="BB95" s="946">
        <v>0</v>
      </c>
      <c r="BC95" s="1208">
        <v>0</v>
      </c>
      <c r="BD95" s="946">
        <v>0</v>
      </c>
      <c r="BE95" s="946">
        <v>0</v>
      </c>
      <c r="BF95" s="1208">
        <v>0</v>
      </c>
      <c r="BG95" s="1188"/>
      <c r="BH95" s="1198">
        <v>243715</v>
      </c>
      <c r="BI95" s="1246">
        <v>234820</v>
      </c>
      <c r="BJ95" s="1476">
        <v>8895</v>
      </c>
      <c r="BK95" s="1035">
        <v>3.7880078357891152E-2</v>
      </c>
      <c r="BL95" s="1208"/>
      <c r="BM95" s="1367">
        <v>243715</v>
      </c>
      <c r="BN95" s="1367">
        <v>234820</v>
      </c>
      <c r="BO95" s="1367">
        <v>168910</v>
      </c>
      <c r="BP95" s="1367">
        <v>120391</v>
      </c>
      <c r="BQ95" s="1367">
        <v>215571</v>
      </c>
      <c r="BR95" s="1367">
        <v>203717</v>
      </c>
      <c r="BS95" s="1367">
        <v>119514</v>
      </c>
      <c r="BT95" s="1367">
        <v>135265</v>
      </c>
      <c r="BU95" s="1273">
        <v>271840</v>
      </c>
      <c r="BV95" s="1273">
        <v>181837</v>
      </c>
      <c r="BW95" s="1273">
        <v>97048</v>
      </c>
      <c r="BX95" s="1196">
        <v>245983</v>
      </c>
      <c r="BY95" s="1237">
        <v>257102</v>
      </c>
      <c r="BZ95" s="1033">
        <v>193257</v>
      </c>
      <c r="CA95" s="1203"/>
      <c r="CB95" s="1203"/>
      <c r="CC95" s="1223"/>
      <c r="CD95" s="1312">
        <v>56879</v>
      </c>
      <c r="CE95" s="2430">
        <v>1.4466034232813652</v>
      </c>
      <c r="CF95" s="2429">
        <v>-44387</v>
      </c>
      <c r="CG95" s="2430">
        <v>-1.2274147652240939</v>
      </c>
      <c r="CH95" s="2430"/>
      <c r="CI95" s="1312">
        <v>156011</v>
      </c>
      <c r="CJ95" s="2432">
        <v>87704</v>
      </c>
      <c r="CK95" s="1145"/>
      <c r="CL95" s="2432">
        <v>8895</v>
      </c>
      <c r="CM95" s="2431">
        <v>3.7880078357891152E-2</v>
      </c>
      <c r="CN95" s="1146">
        <v>0</v>
      </c>
      <c r="CO95" s="2430">
        <v>0</v>
      </c>
      <c r="CP95" s="1144"/>
      <c r="CQ95" s="1144"/>
    </row>
    <row r="96" spans="1:95" ht="12.75" customHeight="1" x14ac:dyDescent="0.2">
      <c r="A96" s="1193"/>
      <c r="B96" s="946" t="s">
        <v>208</v>
      </c>
      <c r="C96" s="1198">
        <v>28821</v>
      </c>
      <c r="D96" s="1035">
        <v>1.1696359725660486</v>
      </c>
      <c r="E96" s="1147"/>
      <c r="F96" s="2961">
        <v>53462</v>
      </c>
      <c r="G96" s="1167">
        <v>32138</v>
      </c>
      <c r="H96" s="1262">
        <v>40049</v>
      </c>
      <c r="I96" s="1262">
        <v>43916</v>
      </c>
      <c r="J96" s="1272">
        <v>24641</v>
      </c>
      <c r="K96" s="1262">
        <v>40930</v>
      </c>
      <c r="L96" s="1262">
        <v>32097</v>
      </c>
      <c r="M96" s="1262">
        <v>30449</v>
      </c>
      <c r="N96" s="1272">
        <v>18896</v>
      </c>
      <c r="O96" s="1262">
        <v>52474</v>
      </c>
      <c r="P96" s="1262">
        <v>17127</v>
      </c>
      <c r="Q96" s="1262">
        <v>21323</v>
      </c>
      <c r="R96" s="1272">
        <v>39357</v>
      </c>
      <c r="S96" s="1262">
        <v>54957</v>
      </c>
      <c r="T96" s="1262">
        <v>38946</v>
      </c>
      <c r="U96" s="1262">
        <v>44255</v>
      </c>
      <c r="V96" s="1272">
        <v>22014</v>
      </c>
      <c r="W96" s="1262">
        <v>40683</v>
      </c>
      <c r="X96" s="1262">
        <v>23419</v>
      </c>
      <c r="Y96" s="1262">
        <v>55687</v>
      </c>
      <c r="Z96" s="1272">
        <v>32694</v>
      </c>
      <c r="AA96" s="1262">
        <v>33584</v>
      </c>
      <c r="AB96" s="1262">
        <v>39546</v>
      </c>
      <c r="AC96" s="1262">
        <v>29877</v>
      </c>
      <c r="AD96" s="1272">
        <v>35905</v>
      </c>
      <c r="AE96" s="1262">
        <v>56134</v>
      </c>
      <c r="AF96" s="1262">
        <v>69341</v>
      </c>
      <c r="AG96" s="1262">
        <v>28559</v>
      </c>
      <c r="AH96" s="1272">
        <v>25188</v>
      </c>
      <c r="AI96" s="1262">
        <v>24598</v>
      </c>
      <c r="AJ96" s="1262">
        <v>38541</v>
      </c>
      <c r="AK96" s="1269">
        <v>21661</v>
      </c>
      <c r="AL96" s="1272">
        <v>22531</v>
      </c>
      <c r="AM96" s="1262">
        <v>25702</v>
      </c>
      <c r="AN96" s="1262">
        <v>25226</v>
      </c>
      <c r="AO96" s="1262">
        <v>12965</v>
      </c>
      <c r="AP96" s="1272">
        <v>20651</v>
      </c>
      <c r="AQ96" s="1262">
        <v>8323</v>
      </c>
      <c r="AR96" s="1262">
        <v>6328</v>
      </c>
      <c r="AS96" s="1262">
        <v>15254</v>
      </c>
      <c r="AT96" s="1272">
        <v>9296</v>
      </c>
      <c r="AU96" s="1462">
        <v>8854</v>
      </c>
      <c r="AV96" s="1262">
        <v>11311</v>
      </c>
      <c r="AW96" s="1262">
        <v>6130</v>
      </c>
      <c r="AX96" s="1272">
        <v>25158</v>
      </c>
      <c r="AY96" s="1454"/>
      <c r="AZ96" s="1208"/>
      <c r="BA96" s="1208"/>
      <c r="BB96" s="946"/>
      <c r="BC96" s="1208"/>
      <c r="BD96" s="946"/>
      <c r="BE96" s="946"/>
      <c r="BF96" s="1208"/>
      <c r="BG96" s="1188"/>
      <c r="BH96" s="1198">
        <v>140744</v>
      </c>
      <c r="BI96" s="1246">
        <v>122372</v>
      </c>
      <c r="BJ96" s="1476">
        <v>18372</v>
      </c>
      <c r="BK96" s="1035">
        <v>0.15013238322492073</v>
      </c>
      <c r="BL96" s="1208"/>
      <c r="BM96" s="1367">
        <v>140744</v>
      </c>
      <c r="BN96" s="1367">
        <v>122372</v>
      </c>
      <c r="BO96" s="1367">
        <v>130281</v>
      </c>
      <c r="BP96" s="1367">
        <v>160172</v>
      </c>
      <c r="BQ96" s="1367">
        <v>153215</v>
      </c>
      <c r="BR96" s="1367">
        <v>140604</v>
      </c>
      <c r="BS96" s="1367">
        <v>181374</v>
      </c>
      <c r="BT96" s="1367">
        <v>107730</v>
      </c>
      <c r="BU96" s="1273">
        <v>84544</v>
      </c>
      <c r="BV96" s="1273">
        <v>39200</v>
      </c>
      <c r="BW96" s="1273">
        <v>51453</v>
      </c>
      <c r="BX96" s="1196">
        <v>41087</v>
      </c>
      <c r="BY96" s="1237">
        <v>31033</v>
      </c>
      <c r="BZ96" s="1033">
        <v>13082</v>
      </c>
      <c r="CA96" s="1203"/>
      <c r="CB96" s="1203"/>
      <c r="CC96" s="1223"/>
      <c r="CD96" s="1312">
        <v>14970</v>
      </c>
      <c r="CE96" s="2430">
        <v>0.87405850411630759</v>
      </c>
      <c r="CF96" s="2429">
        <v>13851</v>
      </c>
      <c r="CG96" s="2430">
        <v>0.29557746844974098</v>
      </c>
      <c r="CH96" s="2430"/>
      <c r="CI96" s="1312">
        <v>81442</v>
      </c>
      <c r="CJ96" s="2432">
        <v>59302</v>
      </c>
      <c r="CK96" s="1145"/>
      <c r="CL96" s="2432">
        <v>18372</v>
      </c>
      <c r="CM96" s="2431">
        <v>0.15013238322492073</v>
      </c>
      <c r="CN96" s="1146">
        <v>0</v>
      </c>
      <c r="CO96" s="2430">
        <v>0</v>
      </c>
      <c r="CP96" s="1144"/>
      <c r="CQ96" s="1144"/>
    </row>
    <row r="97" spans="1:95" ht="12.75" customHeight="1" x14ac:dyDescent="0.2">
      <c r="A97" s="1193"/>
      <c r="B97" s="946" t="s">
        <v>61</v>
      </c>
      <c r="C97" s="1198">
        <v>-5818</v>
      </c>
      <c r="D97" s="1035">
        <v>-0.18832135689777951</v>
      </c>
      <c r="E97" s="1147"/>
      <c r="F97" s="2961">
        <v>25076</v>
      </c>
      <c r="G97" s="1167">
        <v>35136</v>
      </c>
      <c r="H97" s="1262">
        <v>30746</v>
      </c>
      <c r="I97" s="1262">
        <v>28977</v>
      </c>
      <c r="J97" s="1272">
        <v>30894</v>
      </c>
      <c r="K97" s="1262">
        <v>36022</v>
      </c>
      <c r="L97" s="1262">
        <v>29115</v>
      </c>
      <c r="M97" s="1262">
        <v>22746</v>
      </c>
      <c r="N97" s="1272">
        <v>25832</v>
      </c>
      <c r="O97" s="1262">
        <v>30949</v>
      </c>
      <c r="P97" s="1262">
        <v>33468</v>
      </c>
      <c r="Q97" s="1262">
        <v>26767</v>
      </c>
      <c r="R97" s="1272">
        <v>27330</v>
      </c>
      <c r="S97" s="1262">
        <v>25032</v>
      </c>
      <c r="T97" s="1262">
        <v>24259</v>
      </c>
      <c r="U97" s="1262">
        <v>17493</v>
      </c>
      <c r="V97" s="1272">
        <v>22479</v>
      </c>
      <c r="W97" s="1262">
        <v>22506</v>
      </c>
      <c r="X97" s="1262">
        <v>14499</v>
      </c>
      <c r="Y97" s="1262">
        <v>17621</v>
      </c>
      <c r="Z97" s="1272">
        <v>20259</v>
      </c>
      <c r="AA97" s="1262">
        <v>31222</v>
      </c>
      <c r="AB97" s="1262">
        <v>21770</v>
      </c>
      <c r="AC97" s="1262">
        <v>18945</v>
      </c>
      <c r="AD97" s="1272">
        <v>19878</v>
      </c>
      <c r="AE97" s="1262">
        <v>22869</v>
      </c>
      <c r="AF97" s="1262">
        <v>18602</v>
      </c>
      <c r="AG97" s="1262">
        <v>17025</v>
      </c>
      <c r="AH97" s="1272">
        <v>8029</v>
      </c>
      <c r="AI97" s="1262">
        <v>6783</v>
      </c>
      <c r="AJ97" s="1262">
        <v>3263</v>
      </c>
      <c r="AK97" s="1269">
        <v>-1431</v>
      </c>
      <c r="AL97" s="1272">
        <v>1596</v>
      </c>
      <c r="AM97" s="1262">
        <v>16713</v>
      </c>
      <c r="AN97" s="1262">
        <v>10128</v>
      </c>
      <c r="AO97" s="1262">
        <v>9273</v>
      </c>
      <c r="AP97" s="1272">
        <v>5850</v>
      </c>
      <c r="AQ97" s="1262">
        <v>6575</v>
      </c>
      <c r="AR97" s="1262">
        <v>11377</v>
      </c>
      <c r="AS97" s="1262">
        <v>10681</v>
      </c>
      <c r="AT97" s="1272">
        <v>8992</v>
      </c>
      <c r="AU97" s="1462">
        <v>6928</v>
      </c>
      <c r="AV97" s="1262">
        <v>4430</v>
      </c>
      <c r="AW97" s="1262">
        <v>313</v>
      </c>
      <c r="AX97" s="1272">
        <v>5363</v>
      </c>
      <c r="AY97" s="1454">
        <v>5363</v>
      </c>
      <c r="AZ97" s="1208"/>
      <c r="BA97" s="1208"/>
      <c r="BB97" s="946"/>
      <c r="BC97" s="1208"/>
      <c r="BD97" s="946"/>
      <c r="BE97" s="946"/>
      <c r="BF97" s="1208"/>
      <c r="BG97" s="1188"/>
      <c r="BH97" s="1198">
        <v>125753</v>
      </c>
      <c r="BI97" s="1246">
        <v>113715</v>
      </c>
      <c r="BJ97" s="1476">
        <v>12038</v>
      </c>
      <c r="BK97" s="1035">
        <v>0.10586114408829091</v>
      </c>
      <c r="BL97" s="1208"/>
      <c r="BM97" s="1367">
        <v>125753</v>
      </c>
      <c r="BN97" s="1367">
        <v>113715</v>
      </c>
      <c r="BO97" s="1367">
        <v>118514</v>
      </c>
      <c r="BP97" s="1367">
        <v>89263</v>
      </c>
      <c r="BQ97" s="1367">
        <v>74885</v>
      </c>
      <c r="BR97" s="1367">
        <v>91815</v>
      </c>
      <c r="BS97" s="1367">
        <v>66525</v>
      </c>
      <c r="BT97" s="1367">
        <v>10211</v>
      </c>
      <c r="BU97" s="1273">
        <v>41964</v>
      </c>
      <c r="BV97" s="1273">
        <v>37625</v>
      </c>
      <c r="BW97" s="1273">
        <v>17034</v>
      </c>
      <c r="BX97" s="1196">
        <v>7233</v>
      </c>
      <c r="BY97" s="1237">
        <v>26646</v>
      </c>
      <c r="BZ97" s="1033">
        <v>31739</v>
      </c>
      <c r="CA97" s="1203"/>
      <c r="CB97" s="1203"/>
      <c r="CC97" s="1223"/>
      <c r="CD97" s="1312">
        <v>-4353</v>
      </c>
      <c r="CE97" s="2430">
        <v>-0.130064539261384</v>
      </c>
      <c r="CF97" s="2429">
        <v>-1465</v>
      </c>
      <c r="CG97" s="2430">
        <v>-5.8256817636395508E-2</v>
      </c>
      <c r="CH97" s="2430"/>
      <c r="CI97" s="1312">
        <v>77693</v>
      </c>
      <c r="CJ97" s="2432">
        <v>48060</v>
      </c>
      <c r="CK97" s="1145"/>
      <c r="CL97" s="2432">
        <v>12038</v>
      </c>
      <c r="CM97" s="2431">
        <v>0.10586114408829091</v>
      </c>
      <c r="CN97" s="1146">
        <v>0</v>
      </c>
      <c r="CO97" s="2430">
        <v>0</v>
      </c>
      <c r="CP97" s="1144"/>
      <c r="CQ97" s="1144"/>
    </row>
    <row r="98" spans="1:95" ht="12.75" customHeight="1" x14ac:dyDescent="0.2">
      <c r="A98" s="1193"/>
      <c r="B98" s="946" t="s">
        <v>62</v>
      </c>
      <c r="C98" s="1198">
        <v>2734</v>
      </c>
      <c r="D98" s="1035">
        <v>1.2421626533393912</v>
      </c>
      <c r="E98" s="1147"/>
      <c r="F98" s="2961">
        <v>4935</v>
      </c>
      <c r="G98" s="1167">
        <v>3407</v>
      </c>
      <c r="H98" s="1262">
        <v>3522</v>
      </c>
      <c r="I98" s="1262">
        <v>4752</v>
      </c>
      <c r="J98" s="1272">
        <v>2201</v>
      </c>
      <c r="K98" s="1262">
        <v>3978</v>
      </c>
      <c r="L98" s="1262">
        <v>1944</v>
      </c>
      <c r="M98" s="1262">
        <v>1814</v>
      </c>
      <c r="N98" s="1272">
        <v>1999</v>
      </c>
      <c r="O98" s="1262">
        <v>2037</v>
      </c>
      <c r="P98" s="1262">
        <v>883</v>
      </c>
      <c r="Q98" s="1262">
        <v>1582</v>
      </c>
      <c r="R98" s="1272">
        <v>442</v>
      </c>
      <c r="S98" s="1262">
        <v>597</v>
      </c>
      <c r="T98" s="1262">
        <v>731</v>
      </c>
      <c r="U98" s="1262">
        <v>704</v>
      </c>
      <c r="V98" s="1272">
        <v>1239</v>
      </c>
      <c r="W98" s="1262">
        <v>1474</v>
      </c>
      <c r="X98" s="1262">
        <v>1145</v>
      </c>
      <c r="Y98" s="1262">
        <v>1806</v>
      </c>
      <c r="Z98" s="1272">
        <v>2183</v>
      </c>
      <c r="AA98" s="1262">
        <v>2370</v>
      </c>
      <c r="AB98" s="1262">
        <v>2182</v>
      </c>
      <c r="AC98" s="1262">
        <v>2502</v>
      </c>
      <c r="AD98" s="1272">
        <v>2586</v>
      </c>
      <c r="AE98" s="1262">
        <v>2229</v>
      </c>
      <c r="AF98" s="1262">
        <v>2872</v>
      </c>
      <c r="AG98" s="1262">
        <v>1914</v>
      </c>
      <c r="AH98" s="1272">
        <v>2967</v>
      </c>
      <c r="AI98" s="1262">
        <v>2590</v>
      </c>
      <c r="AJ98" s="1262">
        <v>2133</v>
      </c>
      <c r="AK98" s="1269">
        <v>1827</v>
      </c>
      <c r="AL98" s="1272">
        <v>1804</v>
      </c>
      <c r="AM98" s="1262">
        <v>1891</v>
      </c>
      <c r="AN98" s="1262">
        <v>2898</v>
      </c>
      <c r="AO98" s="1262">
        <v>1311</v>
      </c>
      <c r="AP98" s="1272">
        <v>-19</v>
      </c>
      <c r="AQ98" s="1262">
        <v>248</v>
      </c>
      <c r="AR98" s="1262">
        <v>80</v>
      </c>
      <c r="AS98" s="1262">
        <v>113</v>
      </c>
      <c r="AT98" s="1272">
        <v>124</v>
      </c>
      <c r="AU98" s="1462">
        <v>453</v>
      </c>
      <c r="AV98" s="1262">
        <v>866</v>
      </c>
      <c r="AW98" s="1262">
        <v>1320</v>
      </c>
      <c r="AX98" s="1272">
        <v>1513</v>
      </c>
      <c r="AY98" s="1454">
        <v>1512</v>
      </c>
      <c r="AZ98" s="1208"/>
      <c r="BA98" s="1208"/>
      <c r="BB98" s="946"/>
      <c r="BC98" s="1208"/>
      <c r="BD98" s="946"/>
      <c r="BE98" s="946"/>
      <c r="BF98" s="1208"/>
      <c r="BG98" s="1188"/>
      <c r="BH98" s="1198">
        <v>13882</v>
      </c>
      <c r="BI98" s="1246">
        <v>9735</v>
      </c>
      <c r="BJ98" s="1476">
        <v>4147</v>
      </c>
      <c r="BK98" s="1035">
        <v>0.42598870056497173</v>
      </c>
      <c r="BL98" s="1208"/>
      <c r="BM98" s="1367">
        <v>13882</v>
      </c>
      <c r="BN98" s="1367">
        <v>9735</v>
      </c>
      <c r="BO98" s="1367">
        <v>4944</v>
      </c>
      <c r="BP98" s="1367">
        <v>3271</v>
      </c>
      <c r="BQ98" s="1367">
        <v>6608</v>
      </c>
      <c r="BR98" s="1367">
        <v>9640</v>
      </c>
      <c r="BS98" s="1367">
        <v>9982</v>
      </c>
      <c r="BT98" s="1367">
        <v>8354</v>
      </c>
      <c r="BU98" s="1273">
        <v>6081</v>
      </c>
      <c r="BV98" s="1273">
        <v>565</v>
      </c>
      <c r="BW98" s="1273">
        <v>4152</v>
      </c>
      <c r="BX98" s="1196">
        <v>8036</v>
      </c>
      <c r="BY98" s="1237">
        <v>9202</v>
      </c>
      <c r="BZ98" s="1033">
        <v>5342</v>
      </c>
      <c r="CA98" s="1203"/>
      <c r="CB98" s="1203"/>
      <c r="CC98" s="1223"/>
      <c r="CD98" s="1312">
        <v>1061</v>
      </c>
      <c r="CE98" s="2430">
        <v>1.20158550396376</v>
      </c>
      <c r="CF98" s="2429">
        <v>1673</v>
      </c>
      <c r="CG98" s="2430">
        <v>4.0577149375631283E-2</v>
      </c>
      <c r="CH98" s="2430"/>
      <c r="CI98" s="1312">
        <v>5757</v>
      </c>
      <c r="CJ98" s="2432">
        <v>8125</v>
      </c>
      <c r="CK98" s="1145"/>
      <c r="CL98" s="2432">
        <v>4147</v>
      </c>
      <c r="CM98" s="2431">
        <v>0.42598870056497173</v>
      </c>
      <c r="CN98" s="1146">
        <v>0</v>
      </c>
      <c r="CO98" s="2430">
        <v>0</v>
      </c>
      <c r="CP98" s="1144"/>
      <c r="CQ98" s="1144"/>
    </row>
    <row r="99" spans="1:95" ht="12.75" customHeight="1" x14ac:dyDescent="0.2">
      <c r="A99" s="1350"/>
      <c r="B99" s="946" t="s">
        <v>63</v>
      </c>
      <c r="C99" s="1198">
        <v>-129</v>
      </c>
      <c r="D99" s="1035">
        <v>-9.648466716529544E-2</v>
      </c>
      <c r="E99" s="2854"/>
      <c r="F99" s="2961">
        <v>1208</v>
      </c>
      <c r="G99" s="1167">
        <v>912</v>
      </c>
      <c r="H99" s="1262">
        <v>1259</v>
      </c>
      <c r="I99" s="1262">
        <v>1213</v>
      </c>
      <c r="J99" s="1272">
        <v>1337</v>
      </c>
      <c r="K99" s="1262">
        <v>185</v>
      </c>
      <c r="L99" s="1262">
        <v>298</v>
      </c>
      <c r="M99" s="1262">
        <v>440</v>
      </c>
      <c r="N99" s="1272">
        <v>865</v>
      </c>
      <c r="O99" s="1262">
        <v>320</v>
      </c>
      <c r="P99" s="1262">
        <v>889</v>
      </c>
      <c r="Q99" s="1262">
        <v>1225</v>
      </c>
      <c r="R99" s="1272">
        <v>2776</v>
      </c>
      <c r="S99" s="1262">
        <v>649</v>
      </c>
      <c r="T99" s="1262">
        <v>1356</v>
      </c>
      <c r="U99" s="1269">
        <v>-51</v>
      </c>
      <c r="V99" s="1272">
        <v>840</v>
      </c>
      <c r="W99" s="1262">
        <v>1394</v>
      </c>
      <c r="X99" s="1262">
        <v>465</v>
      </c>
      <c r="Y99" s="1262">
        <v>746</v>
      </c>
      <c r="Z99" s="1272">
        <v>1050</v>
      </c>
      <c r="AA99" s="1262">
        <v>421</v>
      </c>
      <c r="AB99" s="1262">
        <v>790</v>
      </c>
      <c r="AC99" s="1262">
        <v>397</v>
      </c>
      <c r="AD99" s="1272">
        <v>1203</v>
      </c>
      <c r="AE99" s="1262">
        <v>421</v>
      </c>
      <c r="AF99" s="1269">
        <v>-66</v>
      </c>
      <c r="AG99" s="1262">
        <v>195</v>
      </c>
      <c r="AH99" s="1272">
        <v>16</v>
      </c>
      <c r="AI99" s="1262">
        <v>352</v>
      </c>
      <c r="AJ99" s="1262">
        <v>137</v>
      </c>
      <c r="AK99" s="1269">
        <v>255</v>
      </c>
      <c r="AL99" s="1301">
        <v>77</v>
      </c>
      <c r="AM99" s="1262">
        <v>39</v>
      </c>
      <c r="AN99" s="1262">
        <v>213</v>
      </c>
      <c r="AO99" s="1302">
        <v>180</v>
      </c>
      <c r="AP99" s="1301">
        <v>-39</v>
      </c>
      <c r="AQ99" s="1262">
        <v>361</v>
      </c>
      <c r="AR99" s="1262">
        <v>-48</v>
      </c>
      <c r="AS99" s="1302">
        <v>57</v>
      </c>
      <c r="AT99" s="1301">
        <v>749</v>
      </c>
      <c r="AU99" s="1462">
        <v>389</v>
      </c>
      <c r="AV99" s="1302">
        <v>1874</v>
      </c>
      <c r="AW99" s="1302">
        <v>45</v>
      </c>
      <c r="AX99" s="1301">
        <v>61</v>
      </c>
      <c r="AY99" s="1457">
        <v>60</v>
      </c>
      <c r="AZ99" s="990"/>
      <c r="BA99" s="990"/>
      <c r="BB99" s="990"/>
      <c r="BC99" s="990"/>
      <c r="BD99" s="990"/>
      <c r="BE99" s="990"/>
      <c r="BF99" s="990"/>
      <c r="BG99" s="1188"/>
      <c r="BH99" s="1307">
        <v>4721</v>
      </c>
      <c r="BI99" s="1254">
        <v>1788</v>
      </c>
      <c r="BJ99" s="1464">
        <v>2933</v>
      </c>
      <c r="BK99" s="1192">
        <v>1.640380313199105</v>
      </c>
      <c r="BL99" s="1193"/>
      <c r="BM99" s="1367">
        <v>4721</v>
      </c>
      <c r="BN99" s="1380">
        <v>1788</v>
      </c>
      <c r="BO99" s="1380">
        <v>5210</v>
      </c>
      <c r="BP99" s="1380">
        <v>2794</v>
      </c>
      <c r="BQ99" s="1367">
        <v>3655</v>
      </c>
      <c r="BR99" s="1367">
        <v>2811</v>
      </c>
      <c r="BS99" s="1367">
        <v>566</v>
      </c>
      <c r="BT99" s="1367">
        <v>821</v>
      </c>
      <c r="BU99" s="1461">
        <v>393</v>
      </c>
      <c r="BV99" s="1461">
        <v>1119</v>
      </c>
      <c r="BW99" s="1461">
        <v>2369</v>
      </c>
      <c r="BX99" s="1460">
        <v>3940</v>
      </c>
      <c r="BY99" s="1257">
        <v>-76</v>
      </c>
      <c r="BZ99" s="1275">
        <v>1010</v>
      </c>
      <c r="CA99" s="1203"/>
      <c r="CB99" s="1203"/>
      <c r="CC99" s="1223"/>
      <c r="CD99" s="1312">
        <v>-591</v>
      </c>
      <c r="CE99" s="2430">
        <v>-0.6647919010123734</v>
      </c>
      <c r="CF99" s="2429">
        <v>462</v>
      </c>
      <c r="CG99" s="2430">
        <v>0.56830723384707793</v>
      </c>
      <c r="CH99" s="2430"/>
      <c r="CI99" s="1312">
        <v>1603</v>
      </c>
      <c r="CJ99" s="2432">
        <v>3118</v>
      </c>
      <c r="CK99" s="1145"/>
      <c r="CL99" s="2432">
        <v>2933</v>
      </c>
      <c r="CM99" s="2431">
        <v>1.640380313199105</v>
      </c>
      <c r="CN99" s="1146">
        <v>0</v>
      </c>
      <c r="CO99" s="2430">
        <v>0</v>
      </c>
      <c r="CP99" s="1144"/>
      <c r="CQ99" s="1144"/>
    </row>
    <row r="100" spans="1:95" ht="12.75" customHeight="1" x14ac:dyDescent="0.2">
      <c r="A100" s="1350"/>
      <c r="B100" s="946"/>
      <c r="C100" s="1195">
        <v>33851</v>
      </c>
      <c r="D100" s="1190">
        <v>0.21675460389826601</v>
      </c>
      <c r="E100" s="1818"/>
      <c r="F100" s="2059">
        <v>190023</v>
      </c>
      <c r="G100" s="1336">
        <v>160047</v>
      </c>
      <c r="H100" s="1465">
        <v>209373</v>
      </c>
      <c r="I100" s="1465">
        <v>178734</v>
      </c>
      <c r="J100" s="1466">
        <v>156172</v>
      </c>
      <c r="K100" s="1465">
        <v>200687</v>
      </c>
      <c r="L100" s="2840">
        <v>196203</v>
      </c>
      <c r="M100" s="1465">
        <v>118880</v>
      </c>
      <c r="N100" s="1466">
        <v>121786</v>
      </c>
      <c r="O100" s="1465">
        <v>193520</v>
      </c>
      <c r="P100" s="1465">
        <v>137268</v>
      </c>
      <c r="Q100" s="1465">
        <v>127005</v>
      </c>
      <c r="R100" s="1466">
        <v>140598</v>
      </c>
      <c r="S100" s="1465">
        <v>138579</v>
      </c>
      <c r="T100" s="1465">
        <v>122145</v>
      </c>
      <c r="U100" s="1465">
        <v>126511</v>
      </c>
      <c r="V100" s="1466">
        <v>145035</v>
      </c>
      <c r="W100" s="1465">
        <v>159379</v>
      </c>
      <c r="X100" s="1465">
        <v>103866</v>
      </c>
      <c r="Y100" s="1465">
        <v>170615</v>
      </c>
      <c r="Z100" s="1466">
        <v>179245</v>
      </c>
      <c r="AA100" s="1465">
        <v>186659</v>
      </c>
      <c r="AB100" s="1465">
        <v>171234</v>
      </c>
      <c r="AC100" s="1465">
        <v>126691</v>
      </c>
      <c r="AD100" s="1466">
        <v>131206</v>
      </c>
      <c r="AE100" s="1465">
        <v>153997</v>
      </c>
      <c r="AF100" s="1465">
        <v>165625</v>
      </c>
      <c r="AG100" s="1465">
        <v>120110</v>
      </c>
      <c r="AH100" s="1466">
        <v>101301</v>
      </c>
      <c r="AI100" s="1465">
        <v>113067</v>
      </c>
      <c r="AJ100" s="1465">
        <v>93581</v>
      </c>
      <c r="AK100" s="1465">
        <v>69452</v>
      </c>
      <c r="AL100" s="1466">
        <v>97377</v>
      </c>
      <c r="AM100" s="1465">
        <v>163771</v>
      </c>
      <c r="AN100" s="1465">
        <v>177758</v>
      </c>
      <c r="AO100" s="1465">
        <v>96963</v>
      </c>
      <c r="AP100" s="1466">
        <v>100152</v>
      </c>
      <c r="AQ100" s="1465">
        <v>83496</v>
      </c>
      <c r="AR100" s="1465">
        <v>116090</v>
      </c>
      <c r="AS100" s="1465">
        <v>78475</v>
      </c>
      <c r="AT100" s="1466">
        <v>85497</v>
      </c>
      <c r="AU100" s="1467">
        <v>64972</v>
      </c>
      <c r="AV100" s="1465">
        <v>49250</v>
      </c>
      <c r="AW100" s="1465">
        <v>58336</v>
      </c>
      <c r="AX100" s="1466">
        <v>104793</v>
      </c>
      <c r="AY100" s="1466">
        <v>104793</v>
      </c>
      <c r="AZ100" s="941"/>
      <c r="BA100" s="941"/>
      <c r="BB100" s="941"/>
      <c r="BC100" s="941"/>
      <c r="BD100" s="941"/>
      <c r="BE100" s="941"/>
      <c r="BF100" s="941"/>
      <c r="BG100" s="1222"/>
      <c r="BH100" s="1246">
        <v>704326</v>
      </c>
      <c r="BI100" s="1254">
        <v>637556</v>
      </c>
      <c r="BJ100" s="2779">
        <v>66770</v>
      </c>
      <c r="BK100" s="1192">
        <v>0.10472805526102805</v>
      </c>
      <c r="BL100" s="1183"/>
      <c r="BM100" s="1386">
        <v>704326</v>
      </c>
      <c r="BN100" s="1249">
        <v>637556</v>
      </c>
      <c r="BO100" s="1249">
        <v>598391</v>
      </c>
      <c r="BP100" s="1249">
        <v>532270</v>
      </c>
      <c r="BQ100" s="1469">
        <v>613105</v>
      </c>
      <c r="BR100" s="1469">
        <v>615790</v>
      </c>
      <c r="BS100" s="1469">
        <v>541033</v>
      </c>
      <c r="BT100" s="1469">
        <v>373477</v>
      </c>
      <c r="BU100" s="1469">
        <v>538644</v>
      </c>
      <c r="BV100" s="1469">
        <v>363558</v>
      </c>
      <c r="BW100" s="1470">
        <v>277351</v>
      </c>
      <c r="BX100" s="1281">
        <v>431642</v>
      </c>
      <c r="BY100" s="1469">
        <v>449717</v>
      </c>
      <c r="BZ100" s="1242">
        <v>333666</v>
      </c>
      <c r="CA100" s="1203"/>
      <c r="CB100" s="1203"/>
      <c r="CC100" s="1223"/>
      <c r="CD100" s="1183"/>
      <c r="CE100" s="1144"/>
      <c r="CF100" s="1144"/>
      <c r="CG100" s="1144"/>
      <c r="CH100" s="1144"/>
      <c r="CI100" s="1144"/>
      <c r="CJ100" s="1144"/>
      <c r="CK100" s="1144"/>
      <c r="CL100" s="1144"/>
      <c r="CM100" s="1144"/>
      <c r="CN100" s="1144"/>
      <c r="CO100" s="1144"/>
      <c r="CP100" s="1144"/>
      <c r="CQ100" s="1144"/>
    </row>
    <row r="101" spans="1:95" ht="11.25" customHeight="1" x14ac:dyDescent="0.2">
      <c r="A101" s="1350"/>
      <c r="B101" s="946"/>
      <c r="C101" s="1353"/>
      <c r="D101" s="1296"/>
      <c r="E101" s="1149"/>
      <c r="F101" s="2966"/>
      <c r="G101" s="1337"/>
      <c r="H101" s="1471"/>
      <c r="I101" s="1471"/>
      <c r="J101" s="1472"/>
      <c r="K101" s="1471"/>
      <c r="L101" s="1295"/>
      <c r="M101" s="1471"/>
      <c r="N101" s="1472"/>
      <c r="O101" s="1471"/>
      <c r="P101" s="1471"/>
      <c r="Q101" s="1471"/>
      <c r="R101" s="1472"/>
      <c r="S101" s="1471"/>
      <c r="T101" s="1471"/>
      <c r="U101" s="1471"/>
      <c r="V101" s="1472"/>
      <c r="W101" s="1471"/>
      <c r="X101" s="1471"/>
      <c r="Y101" s="1471"/>
      <c r="Z101" s="1472"/>
      <c r="AA101" s="1471"/>
      <c r="AB101" s="1471"/>
      <c r="AC101" s="1471"/>
      <c r="AD101" s="1472"/>
      <c r="AE101" s="1471"/>
      <c r="AF101" s="1471"/>
      <c r="AG101" s="1471"/>
      <c r="AH101" s="1472"/>
      <c r="AI101" s="1473"/>
      <c r="AJ101" s="1471"/>
      <c r="AK101" s="1471"/>
      <c r="AL101" s="1472"/>
      <c r="AM101" s="1473"/>
      <c r="AN101" s="1471"/>
      <c r="AO101" s="1471"/>
      <c r="AP101" s="1472"/>
      <c r="AQ101" s="1473"/>
      <c r="AR101" s="1472"/>
      <c r="AS101" s="1472"/>
      <c r="AT101" s="1472"/>
      <c r="AU101" s="1235"/>
      <c r="AV101" s="1235"/>
      <c r="AW101" s="1235"/>
      <c r="AX101" s="1235"/>
      <c r="AY101" s="1235"/>
      <c r="AZ101" s="941"/>
      <c r="BA101" s="941"/>
      <c r="BB101" s="941"/>
      <c r="BC101" s="941"/>
      <c r="BD101" s="941"/>
      <c r="BE101" s="941"/>
      <c r="BF101" s="941"/>
      <c r="BG101" s="1222"/>
      <c r="BH101" s="1471"/>
      <c r="BI101" s="1471"/>
      <c r="BJ101" s="1471"/>
      <c r="BK101" s="1472"/>
      <c r="BL101" s="1183"/>
      <c r="BM101" s="1474"/>
      <c r="BN101" s="1474"/>
      <c r="BO101" s="1474"/>
      <c r="BP101" s="1474"/>
      <c r="BQ101" s="1474"/>
      <c r="BR101" s="1474"/>
      <c r="BS101" s="1474"/>
      <c r="BT101" s="1474"/>
      <c r="BU101" s="1474"/>
      <c r="BV101" s="1474"/>
      <c r="BW101" s="1475"/>
      <c r="BX101" s="1474"/>
      <c r="BY101" s="1474"/>
      <c r="BZ101" s="1236"/>
      <c r="CA101" s="1203"/>
      <c r="CB101" s="1203"/>
      <c r="CC101" s="1223"/>
      <c r="CD101" s="1183"/>
      <c r="CE101" s="1144"/>
      <c r="CF101" s="1144"/>
      <c r="CG101" s="1144"/>
      <c r="CH101" s="1144"/>
      <c r="CI101" s="1144"/>
      <c r="CJ101" s="1144"/>
      <c r="CK101" s="1144"/>
      <c r="CL101" s="1144"/>
      <c r="CM101" s="1144"/>
      <c r="CN101" s="1144"/>
      <c r="CO101" s="1144"/>
      <c r="CP101" s="1144"/>
      <c r="CQ101" s="1144"/>
    </row>
    <row r="102" spans="1:95" ht="13.5" customHeight="1" x14ac:dyDescent="0.2">
      <c r="A102" s="1193"/>
      <c r="B102" s="946" t="s">
        <v>633</v>
      </c>
      <c r="C102" s="1307">
        <v>-167</v>
      </c>
      <c r="D102" s="1192">
        <v>-6.3619047619047617E-2</v>
      </c>
      <c r="E102" s="1152"/>
      <c r="F102" s="2962">
        <v>-2792</v>
      </c>
      <c r="G102" s="1181">
        <v>-153</v>
      </c>
      <c r="H102" s="1304">
        <v>-2040</v>
      </c>
      <c r="I102" s="1304">
        <v>-1580</v>
      </c>
      <c r="J102" s="1253">
        <v>-2625</v>
      </c>
      <c r="K102" s="1304">
        <v>-1419</v>
      </c>
      <c r="L102" s="1304">
        <v>-3097</v>
      </c>
      <c r="M102" s="1304">
        <v>-993</v>
      </c>
      <c r="N102" s="1253">
        <v>-2847</v>
      </c>
      <c r="O102" s="1304">
        <v>-2179</v>
      </c>
      <c r="P102" s="1304">
        <v>-3199</v>
      </c>
      <c r="Q102" s="1304">
        <v>-3064</v>
      </c>
      <c r="R102" s="1253">
        <v>-4323</v>
      </c>
      <c r="S102" s="1304">
        <v>-2836</v>
      </c>
      <c r="T102" s="1304">
        <v>-2475</v>
      </c>
      <c r="U102" s="1304">
        <v>-6298</v>
      </c>
      <c r="V102" s="1253">
        <v>-2651</v>
      </c>
      <c r="W102" s="1304">
        <v>-2875</v>
      </c>
      <c r="X102" s="1304">
        <v>-4152</v>
      </c>
      <c r="Y102" s="1304">
        <v>-4070</v>
      </c>
      <c r="Z102" s="1253">
        <v>-2728</v>
      </c>
      <c r="AA102" s="1304">
        <v>-4455</v>
      </c>
      <c r="AB102" s="1304">
        <v>-3058</v>
      </c>
      <c r="AC102" s="1304">
        <v>-4564</v>
      </c>
      <c r="AD102" s="1253">
        <v>-2711</v>
      </c>
      <c r="AE102" s="1304">
        <v>-4936</v>
      </c>
      <c r="AF102" s="1304">
        <v>-4073</v>
      </c>
      <c r="AG102" s="1304">
        <v>-1622</v>
      </c>
      <c r="AH102" s="1253">
        <v>-4802</v>
      </c>
      <c r="AI102" s="1304">
        <v>-1603</v>
      </c>
      <c r="AJ102" s="1304">
        <v>-6363</v>
      </c>
      <c r="AK102" s="1304">
        <v>-7649</v>
      </c>
      <c r="AL102" s="1253">
        <v>-12509</v>
      </c>
      <c r="AM102" s="1304">
        <v>-10900</v>
      </c>
      <c r="AN102" s="1304">
        <v>-2762</v>
      </c>
      <c r="AO102" s="1304">
        <v>-6393</v>
      </c>
      <c r="AP102" s="1253">
        <v>-8241</v>
      </c>
      <c r="AQ102" s="1252" t="s">
        <v>181</v>
      </c>
      <c r="AR102" s="1252" t="s">
        <v>181</v>
      </c>
      <c r="AS102" s="1205" t="s">
        <v>181</v>
      </c>
      <c r="AT102" s="1245" t="s">
        <v>181</v>
      </c>
      <c r="AU102" s="1476"/>
      <c r="AV102" s="1269"/>
      <c r="AW102" s="1269"/>
      <c r="AX102" s="1245"/>
      <c r="AY102" s="1248"/>
      <c r="AZ102" s="1246"/>
      <c r="BA102" s="1246"/>
      <c r="BB102" s="1269"/>
      <c r="BC102" s="1246"/>
      <c r="BD102" s="1269"/>
      <c r="BE102" s="1269"/>
      <c r="BF102" s="1246"/>
      <c r="BG102" s="1249"/>
      <c r="BH102" s="1254">
        <v>-6398</v>
      </c>
      <c r="BI102" s="1254">
        <v>-8356</v>
      </c>
      <c r="BJ102" s="1254">
        <v>1958</v>
      </c>
      <c r="BK102" s="1192">
        <v>0.23432264241263762</v>
      </c>
      <c r="BL102" s="1208"/>
      <c r="BM102" s="1477">
        <v>-6398</v>
      </c>
      <c r="BN102" s="1477">
        <v>-8356</v>
      </c>
      <c r="BO102" s="1477">
        <v>-12765</v>
      </c>
      <c r="BP102" s="1477">
        <v>-14260</v>
      </c>
      <c r="BQ102" s="1477">
        <v>-13825</v>
      </c>
      <c r="BR102" s="1477">
        <v>-14788</v>
      </c>
      <c r="BS102" s="1477">
        <v>-15433</v>
      </c>
      <c r="BT102" s="1477">
        <v>-28124</v>
      </c>
      <c r="BU102" s="1478">
        <v>-28296</v>
      </c>
      <c r="BV102" s="1479" t="s">
        <v>181</v>
      </c>
      <c r="BW102" s="1479" t="s">
        <v>181</v>
      </c>
      <c r="BX102" s="1480" t="s">
        <v>181</v>
      </c>
      <c r="BY102" s="1380" t="s">
        <v>181</v>
      </c>
      <c r="BZ102" s="1033"/>
      <c r="CA102" s="1203"/>
      <c r="CB102" s="1203"/>
      <c r="CC102" s="1223"/>
      <c r="CD102" s="1312">
        <v>102</v>
      </c>
      <c r="CE102" s="2430">
        <v>-3.1884964051266021E-2</v>
      </c>
      <c r="CF102" s="2429">
        <v>-269</v>
      </c>
      <c r="CG102" s="2430">
        <v>-3.1734083567781596E-2</v>
      </c>
      <c r="CH102" s="2430"/>
      <c r="CI102" s="1312">
        <v>-6937</v>
      </c>
      <c r="CJ102" s="2432">
        <v>539</v>
      </c>
      <c r="CK102" s="1145"/>
      <c r="CL102" s="2432">
        <v>1958</v>
      </c>
      <c r="CM102" s="2431">
        <v>-0.23432264241263762</v>
      </c>
      <c r="CN102" s="1146">
        <v>0</v>
      </c>
      <c r="CO102" s="2430">
        <v>0.46864528482527523</v>
      </c>
      <c r="CP102" s="1144"/>
      <c r="CQ102" s="1144"/>
    </row>
    <row r="103" spans="1:95" ht="12.75" customHeight="1" x14ac:dyDescent="0.2">
      <c r="A103" s="1350"/>
      <c r="B103" s="946"/>
      <c r="C103" s="1007"/>
      <c r="D103" s="959"/>
      <c r="E103" s="1145"/>
      <c r="F103" s="1145"/>
      <c r="G103" s="1145"/>
      <c r="H103" s="1184"/>
      <c r="I103" s="1184"/>
      <c r="J103" s="1184"/>
      <c r="K103" s="1184"/>
      <c r="L103" s="941"/>
      <c r="M103" s="1184"/>
      <c r="N103" s="1184"/>
      <c r="O103" s="1184"/>
      <c r="P103" s="1184"/>
      <c r="Q103" s="1184"/>
      <c r="R103" s="1184"/>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941"/>
      <c r="BA103" s="941"/>
      <c r="BB103" s="941"/>
      <c r="BC103" s="941"/>
      <c r="BD103" s="941"/>
      <c r="BE103" s="941"/>
      <c r="BF103" s="941"/>
      <c r="BG103" s="1184"/>
      <c r="BH103" s="1184"/>
      <c r="BI103" s="1184"/>
      <c r="BJ103" s="1481"/>
      <c r="BK103" s="952"/>
      <c r="BL103" s="1183"/>
      <c r="BM103" s="1183"/>
      <c r="BN103" s="1183"/>
      <c r="BO103" s="1183"/>
      <c r="BP103" s="1183"/>
      <c r="BQ103" s="1246"/>
      <c r="BR103" s="1246"/>
      <c r="BS103" s="1246"/>
      <c r="BT103" s="1246"/>
      <c r="BU103" s="1246"/>
      <c r="BV103" s="1246"/>
      <c r="BW103" s="1235"/>
      <c r="BX103" s="1246"/>
      <c r="BY103" s="1246"/>
      <c r="BZ103" s="1236"/>
      <c r="CA103" s="1203"/>
      <c r="CB103" s="1203"/>
      <c r="CC103" s="1183"/>
      <c r="CD103" s="1183"/>
      <c r="CE103" s="1144"/>
      <c r="CF103" s="1144"/>
      <c r="CG103" s="1144"/>
      <c r="CH103" s="1144"/>
      <c r="CI103" s="1144"/>
      <c r="CJ103" s="1144"/>
      <c r="CK103" s="1144"/>
      <c r="CL103" s="1144"/>
      <c r="CM103" s="1144"/>
      <c r="CN103" s="1144"/>
      <c r="CO103" s="1144"/>
      <c r="CP103" s="1144"/>
      <c r="CQ103" s="1144"/>
    </row>
    <row r="104" spans="1:95" ht="12.75" customHeight="1" x14ac:dyDescent="0.2">
      <c r="A104" s="946" t="s">
        <v>357</v>
      </c>
      <c r="B104" s="972"/>
      <c r="C104" s="1482"/>
      <c r="D104" s="1482"/>
      <c r="E104" s="2731"/>
      <c r="F104" s="2731"/>
      <c r="G104" s="2731"/>
      <c r="H104" s="1482"/>
      <c r="I104" s="1482"/>
      <c r="J104" s="1482"/>
      <c r="K104" s="1482"/>
      <c r="L104" s="1482"/>
      <c r="M104" s="1482"/>
      <c r="N104" s="1482"/>
      <c r="O104" s="1482"/>
      <c r="P104" s="1482"/>
      <c r="Q104" s="1482"/>
      <c r="R104" s="1482"/>
      <c r="S104" s="1482"/>
      <c r="T104" s="1482"/>
      <c r="U104" s="1482"/>
      <c r="V104" s="1482"/>
      <c r="W104" s="1482"/>
      <c r="X104" s="1482"/>
      <c r="Y104" s="1482"/>
      <c r="Z104" s="1482"/>
      <c r="AA104" s="1482"/>
      <c r="AB104" s="1482"/>
      <c r="AC104" s="1482"/>
      <c r="AD104" s="1482"/>
      <c r="AE104" s="1482"/>
      <c r="AF104" s="1482"/>
      <c r="AG104" s="1482"/>
      <c r="AH104" s="1482"/>
      <c r="AI104" s="1482"/>
      <c r="AJ104" s="1482"/>
      <c r="AK104" s="1482"/>
      <c r="AL104" s="1482"/>
      <c r="AM104" s="1482"/>
      <c r="AN104" s="1482"/>
      <c r="AO104" s="1482"/>
      <c r="AP104" s="2732"/>
      <c r="AQ104" s="1482"/>
      <c r="AR104" s="1482"/>
      <c r="AS104" s="1482"/>
      <c r="AT104" s="2732"/>
      <c r="AU104" s="1482"/>
      <c r="AV104" s="1482"/>
      <c r="AW104" s="1482"/>
      <c r="AX104" s="2732"/>
      <c r="AY104" s="2732"/>
      <c r="AZ104" s="2732"/>
      <c r="BA104" s="2732"/>
      <c r="BB104" s="2732"/>
      <c r="BC104" s="2732"/>
      <c r="BD104" s="2732"/>
      <c r="BE104" s="2732"/>
      <c r="BF104" s="2732"/>
      <c r="BH104" s="1357"/>
      <c r="BI104" s="1357"/>
      <c r="BX104" s="1311"/>
      <c r="BY104" s="1311"/>
      <c r="BZ104" s="1450"/>
      <c r="CA104" s="1450"/>
    </row>
    <row r="105" spans="1:95" x14ac:dyDescent="0.2">
      <c r="A105" s="971" t="s">
        <v>28</v>
      </c>
      <c r="B105" s="1184"/>
      <c r="C105" s="1357"/>
      <c r="D105" s="1357"/>
      <c r="L105" s="1311"/>
      <c r="AX105" s="1357"/>
      <c r="AY105" s="1357"/>
      <c r="AZ105" s="1357"/>
      <c r="BA105" s="1357"/>
      <c r="BB105" s="1357"/>
      <c r="BC105" s="1357"/>
      <c r="BD105" s="1357"/>
      <c r="BE105" s="1357"/>
      <c r="BF105" s="1357"/>
      <c r="BH105" s="1357"/>
      <c r="BI105" s="1357"/>
      <c r="BJ105" s="1357"/>
      <c r="BK105" s="1357"/>
      <c r="BL105" s="1357"/>
      <c r="BM105" s="1357"/>
      <c r="BN105" s="1357"/>
      <c r="BO105" s="1357"/>
      <c r="BP105" s="1357"/>
      <c r="BQ105" s="1357"/>
      <c r="BR105" s="1357"/>
      <c r="BS105" s="1357"/>
      <c r="BT105" s="1357"/>
      <c r="BU105" s="1357"/>
      <c r="BV105" s="1357"/>
      <c r="BW105" s="1357"/>
      <c r="BX105" s="1357"/>
      <c r="BY105" s="1357"/>
      <c r="BZ105" s="1357"/>
    </row>
    <row r="106" spans="1:95" x14ac:dyDescent="0.2">
      <c r="A106" s="946" t="s">
        <v>709</v>
      </c>
      <c r="L106" s="1311"/>
      <c r="Z106" s="1077"/>
      <c r="BV106" s="1357"/>
      <c r="BX106" s="1077"/>
      <c r="BY106" s="1077"/>
    </row>
    <row r="107" spans="1:95" x14ac:dyDescent="0.2">
      <c r="L107" s="1311"/>
      <c r="S107" s="1077"/>
      <c r="T107" s="1077"/>
      <c r="U107" s="1077"/>
      <c r="V107" s="1077"/>
      <c r="W107" s="1077"/>
      <c r="X107" s="1077"/>
      <c r="Y107" s="1077"/>
      <c r="Z107" s="1077"/>
      <c r="BV107" s="1924"/>
      <c r="BW107" s="1924"/>
      <c r="BX107" s="1077"/>
      <c r="BY107" s="1077"/>
      <c r="BZ107" s="1077"/>
    </row>
    <row r="108" spans="1:95" x14ac:dyDescent="0.2">
      <c r="L108" s="1311"/>
      <c r="BV108" s="1357"/>
      <c r="BW108" s="1357"/>
      <c r="BX108" s="1077"/>
      <c r="BY108" s="1077"/>
      <c r="BZ108" s="1357"/>
    </row>
    <row r="109" spans="1:95" x14ac:dyDescent="0.2">
      <c r="L109" s="1311"/>
      <c r="T109" s="1077"/>
      <c r="U109" s="1077"/>
      <c r="V109" s="1077"/>
      <c r="X109" s="1077"/>
      <c r="Y109" s="1077"/>
      <c r="Z109" s="1077"/>
      <c r="BV109" s="1924"/>
      <c r="BW109" s="1924"/>
      <c r="BX109" s="1077"/>
      <c r="BY109" s="1077"/>
      <c r="BZ109" s="1077"/>
    </row>
    <row r="110" spans="1:95" x14ac:dyDescent="0.2">
      <c r="L110" s="1311"/>
      <c r="BV110" s="1357"/>
      <c r="BW110" s="1357"/>
      <c r="BX110" s="1357"/>
      <c r="BY110" s="1357"/>
      <c r="BZ110" s="1357"/>
    </row>
    <row r="111" spans="1:95" x14ac:dyDescent="0.2">
      <c r="L111" s="1311"/>
      <c r="AX111" s="1077"/>
      <c r="AY111" s="1077"/>
      <c r="AZ111" s="1077"/>
      <c r="BA111" s="1077"/>
      <c r="BB111" s="1077"/>
      <c r="BC111" s="1077"/>
      <c r="BD111" s="1077"/>
      <c r="BE111" s="1077"/>
      <c r="BF111" s="2733"/>
      <c r="BH111" s="1357"/>
      <c r="BI111" s="1357"/>
      <c r="BX111" s="1077"/>
      <c r="BY111" s="1077"/>
    </row>
    <row r="112" spans="1:95" x14ac:dyDescent="0.2">
      <c r="L112" s="1311"/>
      <c r="AX112" s="1077"/>
      <c r="AY112" s="1077"/>
      <c r="AZ112" s="1077"/>
      <c r="BA112" s="1077"/>
      <c r="BB112" s="1077"/>
      <c r="BC112" s="1077"/>
      <c r="BD112" s="1077"/>
      <c r="BE112" s="1077"/>
      <c r="BF112" s="1065"/>
      <c r="BH112" s="1357"/>
      <c r="BI112" s="1357"/>
      <c r="BX112" s="1077"/>
      <c r="BY112" s="1077"/>
    </row>
    <row r="113" spans="12:77" x14ac:dyDescent="0.2">
      <c r="L113" s="1311"/>
      <c r="AX113" s="1077"/>
      <c r="AY113" s="1077"/>
      <c r="AZ113" s="1077"/>
      <c r="BA113" s="1077"/>
      <c r="BB113" s="1077"/>
      <c r="BC113" s="1077"/>
      <c r="BD113" s="1077"/>
      <c r="BE113" s="1077"/>
      <c r="BF113" s="1077"/>
      <c r="BH113" s="1357"/>
      <c r="BI113" s="1357"/>
      <c r="BX113" s="1077"/>
      <c r="BY113" s="1077"/>
    </row>
    <row r="114" spans="12:77" x14ac:dyDescent="0.2">
      <c r="L114" s="1311"/>
      <c r="AX114" s="1077"/>
      <c r="AY114" s="1077"/>
      <c r="AZ114" s="1077"/>
      <c r="BA114" s="1077"/>
      <c r="BB114" s="1077"/>
      <c r="BC114" s="1077"/>
      <c r="BD114" s="1077"/>
      <c r="BE114" s="1077"/>
      <c r="BF114" s="1077"/>
      <c r="BH114" s="1357"/>
      <c r="BI114" s="1357"/>
      <c r="BX114" s="1077"/>
      <c r="BY114" s="1077"/>
    </row>
    <row r="115" spans="12:77" x14ac:dyDescent="0.2">
      <c r="L115" s="1311"/>
      <c r="AX115" s="1077"/>
      <c r="AY115" s="1077"/>
      <c r="AZ115" s="1077"/>
      <c r="BA115" s="1077"/>
      <c r="BB115" s="1077"/>
      <c r="BC115" s="1077"/>
      <c r="BD115" s="1077"/>
      <c r="BE115" s="1077"/>
      <c r="BF115" s="1077"/>
      <c r="BH115" s="1357"/>
      <c r="BI115" s="1357"/>
      <c r="BX115" s="1357"/>
      <c r="BY115" s="1357"/>
    </row>
    <row r="116" spans="12:77" x14ac:dyDescent="0.2">
      <c r="L116" s="1311"/>
      <c r="AX116" s="1357"/>
      <c r="AY116" s="1357"/>
      <c r="AZ116" s="1357"/>
      <c r="BA116" s="1357"/>
      <c r="BB116" s="1357"/>
      <c r="BC116" s="1357"/>
      <c r="BD116" s="1357"/>
      <c r="BE116" s="1357"/>
      <c r="BF116" s="1357"/>
      <c r="BH116" s="1357"/>
      <c r="BI116" s="1357"/>
      <c r="BX116" s="1357"/>
      <c r="BY116" s="1357"/>
    </row>
    <row r="117" spans="12:77" x14ac:dyDescent="0.2">
      <c r="L117" s="1311"/>
      <c r="AX117" s="1357"/>
      <c r="AY117" s="1357"/>
      <c r="AZ117" s="1357"/>
      <c r="BA117" s="1357"/>
      <c r="BB117" s="1357"/>
      <c r="BC117" s="1357"/>
      <c r="BD117" s="1357"/>
      <c r="BE117" s="1357"/>
      <c r="BF117" s="1357"/>
      <c r="BH117" s="1357"/>
      <c r="BI117" s="1357"/>
      <c r="BX117" s="1357"/>
      <c r="BY117" s="1357"/>
    </row>
    <row r="118" spans="12:77" x14ac:dyDescent="0.2">
      <c r="L118" s="1311"/>
      <c r="AX118" s="1357"/>
      <c r="AY118" s="1357"/>
      <c r="AZ118" s="1357"/>
      <c r="BA118" s="1357"/>
      <c r="BB118" s="1357"/>
      <c r="BC118" s="1357"/>
      <c r="BD118" s="1357"/>
      <c r="BE118" s="1357"/>
      <c r="BF118" s="1357"/>
      <c r="BH118" s="1357"/>
      <c r="BI118" s="1357"/>
      <c r="BX118" s="1357"/>
      <c r="BY118" s="1357"/>
    </row>
    <row r="119" spans="12:77" x14ac:dyDescent="0.2">
      <c r="L119" s="1311"/>
      <c r="AX119" s="1357"/>
      <c r="AY119" s="1357"/>
      <c r="AZ119" s="1357"/>
      <c r="BA119" s="1357"/>
      <c r="BB119" s="1357"/>
      <c r="BC119" s="1357"/>
      <c r="BD119" s="1357"/>
      <c r="BE119" s="1357"/>
      <c r="BF119" s="1357"/>
      <c r="BH119" s="1357"/>
      <c r="BI119" s="1357"/>
      <c r="BX119" s="1357"/>
      <c r="BY119" s="1357"/>
    </row>
    <row r="120" spans="12:77" x14ac:dyDescent="0.2">
      <c r="AX120" s="1357"/>
      <c r="AY120" s="1357"/>
      <c r="AZ120" s="1357"/>
      <c r="BA120" s="1357"/>
      <c r="BB120" s="1357"/>
      <c r="BC120" s="1357"/>
      <c r="BD120" s="1357"/>
      <c r="BE120" s="1357"/>
      <c r="BF120" s="1357"/>
      <c r="BH120" s="1357"/>
      <c r="BI120" s="1357"/>
    </row>
  </sheetData>
  <mergeCells count="11">
    <mergeCell ref="A61:B61"/>
    <mergeCell ref="A62:B62"/>
    <mergeCell ref="BJ93:BK93"/>
    <mergeCell ref="C12:D12"/>
    <mergeCell ref="C13:D13"/>
    <mergeCell ref="BJ13:BK13"/>
    <mergeCell ref="C79:D79"/>
    <mergeCell ref="C80:D80"/>
    <mergeCell ref="BJ80:BK80"/>
    <mergeCell ref="C92:D92"/>
    <mergeCell ref="C93:D93"/>
  </mergeCells>
  <conditionalFormatting sqref="A103 BX73:CA73 A99:A101 A77:A78 AY87:BF90 A91 BY87:BY90 BW87:BX88 BT90:BX90 BX69:BY72 AY69:AY72 AZ69:BF73 BW69:BW73 A69:B69">
    <cfRule type="cellIs" dxfId="153" priority="12" stopIfTrue="1" operator="equal">
      <formula>0</formula>
    </cfRule>
  </conditionalFormatting>
  <conditionalFormatting sqref="BS90">
    <cfRule type="cellIs" dxfId="152" priority="11" stopIfTrue="1" operator="equal">
      <formula>0</formula>
    </cfRule>
  </conditionalFormatting>
  <conditionalFormatting sqref="BS90">
    <cfRule type="cellIs" dxfId="151" priority="10" stopIfTrue="1" operator="equal">
      <formula>0</formula>
    </cfRule>
  </conditionalFormatting>
  <conditionalFormatting sqref="BR90">
    <cfRule type="cellIs" dxfId="150" priority="9" stopIfTrue="1" operator="equal">
      <formula>0</formula>
    </cfRule>
  </conditionalFormatting>
  <conditionalFormatting sqref="BQ90">
    <cfRule type="cellIs" dxfId="149" priority="8" stopIfTrue="1" operator="equal">
      <formula>0</formula>
    </cfRule>
  </conditionalFormatting>
  <conditionalFormatting sqref="BP90">
    <cfRule type="cellIs" dxfId="148" priority="7" stopIfTrue="1" operator="equal">
      <formula>0</formula>
    </cfRule>
  </conditionalFormatting>
  <conditionalFormatting sqref="BO90">
    <cfRule type="cellIs" dxfId="147" priority="5" stopIfTrue="1" operator="equal">
      <formula>0</formula>
    </cfRule>
  </conditionalFormatting>
  <conditionalFormatting sqref="BN90">
    <cfRule type="cellIs" dxfId="146" priority="4" stopIfTrue="1" operator="equal">
      <formula>0</formula>
    </cfRule>
  </conditionalFormatting>
  <conditionalFormatting sqref="B86">
    <cfRule type="cellIs" dxfId="145" priority="2" stopIfTrue="1" operator="equal">
      <formula>0</formula>
    </cfRule>
  </conditionalFormatting>
  <conditionalFormatting sqref="BM90">
    <cfRule type="cellIs" dxfId="144" priority="1" stopIfTrue="1" operator="equal">
      <formula>0</formula>
    </cfRule>
  </conditionalFormatting>
  <printOptions horizontalCentered="1" verticalCentered="1"/>
  <pageMargins left="0" right="0" top="0" bottom="0" header="0" footer="0"/>
  <pageSetup scale="49" firstPageNumber="5" orientation="landscape" useFirstPageNumber="1" r:id="rId1"/>
  <headerFooter alignWithMargins="0">
    <oddFooter>&amp;L&amp;F&amp;CPage 5</oddFooter>
  </headerFooter>
  <colBreaks count="1" manualBreakCount="1">
    <brk id="78" max="9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CC98"/>
  <sheetViews>
    <sheetView topLeftCell="A36" zoomScale="80" zoomScaleNormal="80" workbookViewId="0">
      <selection activeCell="C45" sqref="C45"/>
    </sheetView>
  </sheetViews>
  <sheetFormatPr defaultColWidth="9.140625" defaultRowHeight="12.75" x14ac:dyDescent="0.2"/>
  <cols>
    <col min="1" max="1" width="2.7109375" style="1522" customWidth="1"/>
    <col min="2" max="2" width="50.42578125" style="1522" customWidth="1"/>
    <col min="3" max="3" width="11.42578125" style="2748" customWidth="1"/>
    <col min="4" max="4" width="9.7109375" style="2748" customWidth="1"/>
    <col min="5" max="5" width="1.5703125" style="2742" customWidth="1"/>
    <col min="6" max="6" width="13.140625" style="2742" customWidth="1"/>
    <col min="7" max="7" width="10.85546875" style="2742" customWidth="1"/>
    <col min="8" max="8" width="12.85546875" style="2749" customWidth="1"/>
    <col min="9" max="9" width="9.42578125" style="2749" customWidth="1"/>
    <col min="10" max="10" width="11.28515625" style="2749" customWidth="1"/>
    <col min="11" max="11" width="10.140625" style="2749" customWidth="1"/>
    <col min="12" max="12" width="10.85546875" style="2744" customWidth="1"/>
    <col min="13" max="13" width="9.42578125" style="2749" customWidth="1"/>
    <col min="14" max="14" width="11.28515625" style="2749" customWidth="1"/>
    <col min="15" max="15" width="10.140625" style="2749" hidden="1" customWidth="1"/>
    <col min="16" max="16" width="10.85546875" style="2749" hidden="1" customWidth="1"/>
    <col min="17" max="18" width="9.42578125" style="2749" hidden="1" customWidth="1"/>
    <col min="19" max="19" width="9.7109375" style="2749" hidden="1" customWidth="1"/>
    <col min="20" max="20" width="10.7109375" style="2749" hidden="1" customWidth="1"/>
    <col min="21" max="22" width="8.7109375" style="2749" hidden="1" customWidth="1"/>
    <col min="23" max="23" width="9.7109375" style="2749" hidden="1" customWidth="1"/>
    <col min="24" max="24" width="9.42578125" style="2749" hidden="1" customWidth="1"/>
    <col min="25" max="42" width="8.7109375" style="2749" hidden="1" customWidth="1"/>
    <col min="43" max="49" width="9.7109375" style="2749" hidden="1" customWidth="1"/>
    <col min="50" max="58" width="9.7109375" style="2748" hidden="1" customWidth="1"/>
    <col min="59" max="59" width="1.5703125" style="2748" hidden="1" customWidth="1"/>
    <col min="60" max="60" width="9.42578125" style="2748" hidden="1" customWidth="1"/>
    <col min="61" max="61" width="9" style="2748" hidden="1" customWidth="1"/>
    <col min="62" max="62" width="11.28515625" style="2750" hidden="1" customWidth="1"/>
    <col min="63" max="63" width="9.7109375" style="2750" hidden="1" customWidth="1"/>
    <col min="64" max="64" width="1.5703125" style="2748" customWidth="1"/>
    <col min="65" max="69" width="11" style="2748" customWidth="1"/>
    <col min="70" max="70" width="11" style="2748" hidden="1" customWidth="1"/>
    <col min="71" max="72" width="9.7109375" style="2748" hidden="1" customWidth="1"/>
    <col min="73" max="80" width="9.7109375" style="2734" hidden="1" customWidth="1"/>
    <col min="81" max="81" width="1.5703125" style="2734" customWidth="1"/>
    <col min="82" max="16384" width="9.140625" style="2734"/>
  </cols>
  <sheetData>
    <row r="1" spans="1:81" x14ac:dyDescent="0.2">
      <c r="C1" s="1522"/>
      <c r="D1" s="1522"/>
      <c r="E1" s="1484"/>
      <c r="F1" s="1484"/>
      <c r="G1" s="1484"/>
      <c r="H1" s="1523"/>
      <c r="I1" s="1523"/>
      <c r="J1" s="1523"/>
      <c r="K1" s="1523"/>
      <c r="L1" s="1526"/>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3"/>
      <c r="AM1" s="1523"/>
      <c r="AN1" s="1523"/>
      <c r="AO1" s="1523"/>
      <c r="AP1" s="1523"/>
      <c r="AQ1" s="1523"/>
      <c r="AR1" s="1523"/>
      <c r="AS1" s="1523"/>
      <c r="AT1" s="1523"/>
      <c r="AU1" s="1523"/>
      <c r="AV1" s="1523"/>
      <c r="AW1" s="1523"/>
      <c r="AX1" s="1522"/>
      <c r="AY1" s="1522"/>
      <c r="AZ1" s="1522"/>
      <c r="BA1" s="1522"/>
      <c r="BB1" s="1522"/>
      <c r="BC1" s="1522"/>
      <c r="BD1" s="1522"/>
      <c r="BE1" s="1522"/>
      <c r="BF1" s="1522"/>
      <c r="BG1" s="1522"/>
      <c r="BH1" s="1522"/>
      <c r="BI1" s="1522"/>
      <c r="BJ1" s="1564"/>
      <c r="BK1" s="1564"/>
      <c r="BL1" s="1522"/>
      <c r="BM1" s="1522"/>
      <c r="BN1" s="1522"/>
      <c r="BO1" s="1522"/>
      <c r="BP1" s="1522"/>
      <c r="BQ1" s="1522"/>
      <c r="BR1" s="1522"/>
      <c r="BS1" s="1522"/>
      <c r="BT1" s="1522"/>
      <c r="BU1" s="1483"/>
      <c r="BV1" s="1483"/>
      <c r="BW1" s="1483"/>
      <c r="BX1" s="1483"/>
      <c r="BY1" s="1483"/>
      <c r="BZ1" s="1483"/>
      <c r="CA1" s="1483"/>
      <c r="CB1" s="1483"/>
      <c r="CC1" s="1483"/>
    </row>
    <row r="2" spans="1:81" x14ac:dyDescent="0.2">
      <c r="C2" s="1522"/>
      <c r="D2" s="1522"/>
      <c r="E2" s="1484"/>
      <c r="F2" s="1484"/>
      <c r="G2" s="1484"/>
      <c r="H2" s="1523"/>
      <c r="I2" s="1523"/>
      <c r="J2" s="1523"/>
      <c r="K2" s="1523"/>
      <c r="L2" s="1526"/>
      <c r="M2" s="1523"/>
      <c r="N2" s="1523"/>
      <c r="O2" s="1523"/>
      <c r="P2" s="1523"/>
      <c r="Q2" s="1523"/>
      <c r="R2" s="1523"/>
      <c r="S2" s="1523"/>
      <c r="T2" s="1563"/>
      <c r="U2" s="1563"/>
      <c r="V2" s="1563"/>
      <c r="W2" s="1523"/>
      <c r="X2" s="1563"/>
      <c r="Y2" s="1563"/>
      <c r="Z2" s="1563"/>
      <c r="AA2" s="1523"/>
      <c r="AB2" s="1563"/>
      <c r="AC2" s="1563"/>
      <c r="AD2" s="1563"/>
      <c r="AE2" s="1523"/>
      <c r="AF2" s="1563"/>
      <c r="AG2" s="1563"/>
      <c r="AH2" s="1563"/>
      <c r="AI2" s="1523"/>
      <c r="AJ2" s="1523"/>
      <c r="AK2" s="1563"/>
      <c r="AL2" s="1563"/>
      <c r="AM2" s="1523"/>
      <c r="AN2" s="1523"/>
      <c r="AO2" s="1563"/>
      <c r="AP2" s="1563"/>
      <c r="AQ2" s="1523"/>
      <c r="AR2" s="1523"/>
      <c r="AS2" s="1563"/>
      <c r="AT2" s="1563"/>
      <c r="AU2" s="1523"/>
      <c r="AV2" s="1523"/>
      <c r="AW2" s="1523"/>
      <c r="AX2" s="1522"/>
      <c r="AY2" s="1522"/>
      <c r="AZ2" s="1522"/>
      <c r="BA2" s="1522"/>
      <c r="BB2" s="1522"/>
      <c r="BC2" s="1522"/>
      <c r="BD2" s="1522"/>
      <c r="BE2" s="1522"/>
      <c r="BF2" s="1522"/>
      <c r="BG2" s="1522"/>
      <c r="BH2" s="1522"/>
      <c r="BI2" s="1522"/>
      <c r="BJ2" s="1564"/>
      <c r="BK2" s="1564"/>
      <c r="BL2" s="1522"/>
      <c r="BM2" s="1522"/>
      <c r="BN2" s="1522"/>
      <c r="BO2" s="1522"/>
      <c r="BP2" s="1522"/>
      <c r="BQ2" s="1522"/>
      <c r="BR2" s="1522"/>
      <c r="BS2" s="1522"/>
      <c r="BT2" s="1522"/>
      <c r="BU2" s="1483"/>
      <c r="BV2" s="1483"/>
      <c r="BW2" s="1483"/>
      <c r="BX2" s="1483"/>
      <c r="BY2" s="1483"/>
      <c r="BZ2" s="1483"/>
      <c r="CA2" s="1483"/>
      <c r="CB2" s="1483"/>
      <c r="CC2" s="1483"/>
    </row>
    <row r="3" spans="1:81" x14ac:dyDescent="0.2">
      <c r="C3" s="1522"/>
      <c r="D3" s="1522"/>
      <c r="E3" s="1484"/>
      <c r="F3" s="1484"/>
      <c r="G3" s="1484"/>
      <c r="H3" s="1523"/>
      <c r="I3" s="1523"/>
      <c r="J3" s="1523"/>
      <c r="K3" s="1523"/>
      <c r="L3" s="1526"/>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c r="AT3" s="1523"/>
      <c r="AU3" s="1523"/>
      <c r="AV3" s="1523"/>
      <c r="AW3" s="1523"/>
      <c r="AX3" s="1522"/>
      <c r="AY3" s="1522"/>
      <c r="AZ3" s="1522"/>
      <c r="BA3" s="1522"/>
      <c r="BB3" s="1522"/>
      <c r="BC3" s="1522"/>
      <c r="BD3" s="1522"/>
      <c r="BE3" s="1522"/>
      <c r="BF3" s="1522"/>
      <c r="BG3" s="1522"/>
      <c r="BH3" s="1522"/>
      <c r="BI3" s="1522"/>
      <c r="BJ3" s="1564"/>
      <c r="BK3" s="1564"/>
      <c r="BL3" s="1522"/>
      <c r="BM3" s="1522"/>
      <c r="BN3" s="1522"/>
      <c r="BO3" s="1522"/>
      <c r="BP3" s="1522"/>
      <c r="BQ3" s="1522"/>
      <c r="BR3" s="1522"/>
      <c r="BS3" s="1522"/>
      <c r="BT3" s="1522"/>
      <c r="BU3" s="1483"/>
      <c r="BV3" s="1483"/>
      <c r="BW3" s="1483"/>
      <c r="BX3" s="1483"/>
      <c r="BY3" s="1483"/>
      <c r="BZ3" s="1483"/>
      <c r="CA3" s="1483"/>
      <c r="CB3" s="1483"/>
      <c r="CC3" s="1483"/>
    </row>
    <row r="4" spans="1:81" x14ac:dyDescent="0.2">
      <c r="C4" s="1522"/>
      <c r="D4" s="1522"/>
      <c r="E4" s="1484"/>
      <c r="F4" s="1484"/>
      <c r="G4" s="1484"/>
      <c r="H4" s="1523"/>
      <c r="I4" s="1523"/>
      <c r="J4" s="1523"/>
      <c r="K4" s="1523"/>
      <c r="L4" s="2841"/>
      <c r="M4" s="1523"/>
      <c r="N4" s="1523"/>
      <c r="O4" s="1523"/>
      <c r="P4" s="2842"/>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2"/>
      <c r="AY4" s="1522"/>
      <c r="AZ4" s="1522"/>
      <c r="BA4" s="1522"/>
      <c r="BB4" s="1522"/>
      <c r="BC4" s="1522"/>
      <c r="BD4" s="1522"/>
      <c r="BE4" s="1522"/>
      <c r="BF4" s="1522"/>
      <c r="BG4" s="1522"/>
      <c r="BH4" s="1522"/>
      <c r="BI4" s="1522"/>
      <c r="BJ4" s="1564"/>
      <c r="BK4" s="1564"/>
      <c r="BL4" s="1522"/>
      <c r="BM4" s="1522"/>
      <c r="BN4" s="1522"/>
      <c r="BO4" s="1522"/>
      <c r="BP4" s="1522"/>
      <c r="BQ4" s="1522"/>
      <c r="BR4" s="1522"/>
      <c r="BS4" s="1522"/>
      <c r="BT4" s="1522"/>
      <c r="BU4" s="1483"/>
      <c r="BV4" s="1483"/>
      <c r="BW4" s="1483"/>
      <c r="BX4" s="1483"/>
      <c r="BY4" s="1483"/>
      <c r="BZ4" s="1483"/>
      <c r="CA4" s="1483"/>
      <c r="CB4" s="1483"/>
      <c r="CC4" s="1483"/>
    </row>
    <row r="5" spans="1:81" x14ac:dyDescent="0.2">
      <c r="A5" s="1523"/>
      <c r="B5" s="1523"/>
      <c r="C5" s="1523"/>
      <c r="D5" s="1523"/>
      <c r="E5" s="1484"/>
      <c r="F5" s="1484"/>
      <c r="G5" s="1484"/>
      <c r="H5" s="1523"/>
      <c r="I5" s="1523"/>
      <c r="J5" s="1523"/>
      <c r="K5" s="1523"/>
      <c r="L5" s="2841"/>
      <c r="M5" s="1523"/>
      <c r="N5" s="1523"/>
      <c r="O5" s="1523"/>
      <c r="P5" s="2842"/>
      <c r="Q5" s="1523"/>
      <c r="R5" s="1523"/>
      <c r="S5" s="1523"/>
      <c r="T5" s="1523"/>
      <c r="U5" s="1523"/>
      <c r="V5" s="1523"/>
      <c r="W5" s="1523"/>
      <c r="X5" s="1523"/>
      <c r="Y5" s="1523"/>
      <c r="Z5" s="1523"/>
      <c r="AA5" s="1523"/>
      <c r="AB5" s="1523"/>
      <c r="AC5" s="1523"/>
      <c r="AD5" s="1523"/>
      <c r="AE5" s="1523"/>
      <c r="AF5" s="1523"/>
      <c r="AG5" s="1523"/>
      <c r="AH5" s="1523"/>
      <c r="AI5" s="1523"/>
      <c r="AJ5" s="1523"/>
      <c r="AK5" s="1523"/>
      <c r="AL5" s="1523"/>
      <c r="AM5" s="1523"/>
      <c r="AN5" s="1523"/>
      <c r="AO5" s="1523"/>
      <c r="AP5" s="1523"/>
      <c r="AQ5" s="1523"/>
      <c r="AR5" s="1523"/>
      <c r="AS5" s="1523"/>
      <c r="AT5" s="1523"/>
      <c r="AU5" s="1523"/>
      <c r="AV5" s="1523"/>
      <c r="AW5" s="1523"/>
      <c r="AX5" s="1523"/>
      <c r="AY5" s="1523"/>
      <c r="AZ5" s="1523"/>
      <c r="BA5" s="1522"/>
      <c r="BB5" s="1522"/>
      <c r="BC5" s="1522"/>
      <c r="BD5" s="1522"/>
      <c r="BE5" s="1522"/>
      <c r="BF5" s="1522"/>
      <c r="BG5" s="1522"/>
      <c r="BH5" s="1522"/>
      <c r="BI5" s="1522"/>
      <c r="BJ5" s="1564"/>
      <c r="BK5" s="1564"/>
      <c r="BL5" s="1522"/>
      <c r="BM5" s="1522"/>
      <c r="BN5" s="1522"/>
      <c r="BO5" s="1522"/>
      <c r="BP5" s="1522"/>
      <c r="BQ5" s="1522"/>
      <c r="BR5" s="1522"/>
      <c r="BS5" s="1522"/>
      <c r="BT5" s="1522"/>
      <c r="BU5" s="1483"/>
      <c r="BV5" s="1483"/>
      <c r="BW5" s="1483"/>
      <c r="BX5" s="1483"/>
      <c r="BY5" s="1483"/>
      <c r="BZ5" s="1483"/>
      <c r="CA5" s="1483"/>
      <c r="CB5" s="1483"/>
      <c r="CC5" s="1483"/>
    </row>
    <row r="6" spans="1:81" ht="18" customHeight="1" x14ac:dyDescent="0.2">
      <c r="A6" s="1524" t="s">
        <v>652</v>
      </c>
      <c r="B6" s="1523"/>
      <c r="C6" s="1523"/>
      <c r="D6" s="1523"/>
      <c r="E6" s="1484"/>
      <c r="F6" s="1484"/>
      <c r="G6" s="1484"/>
      <c r="H6" s="1523"/>
      <c r="I6" s="1523"/>
      <c r="J6" s="1523"/>
      <c r="K6" s="1523"/>
      <c r="L6" s="1526"/>
      <c r="M6" s="1523"/>
      <c r="N6" s="1523"/>
      <c r="O6" s="1523"/>
      <c r="P6" s="1523"/>
      <c r="Q6" s="1523"/>
      <c r="R6" s="1523"/>
      <c r="S6" s="1523"/>
      <c r="T6" s="1563"/>
      <c r="U6" s="1565"/>
      <c r="V6" s="1523"/>
      <c r="W6" s="1523"/>
      <c r="X6" s="1563"/>
      <c r="Y6" s="1565"/>
      <c r="Z6" s="1523"/>
      <c r="AA6" s="1523"/>
      <c r="AB6" s="1563"/>
      <c r="AC6" s="1565"/>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2"/>
      <c r="BB6" s="1522"/>
      <c r="BC6" s="1522"/>
      <c r="BD6" s="1522"/>
      <c r="BE6" s="1522"/>
      <c r="BF6" s="1522"/>
      <c r="BG6" s="1522"/>
      <c r="BH6" s="1522"/>
      <c r="BI6" s="1522"/>
      <c r="BJ6" s="1564"/>
      <c r="BK6" s="1564"/>
      <c r="BL6" s="1522"/>
      <c r="BM6" s="1522"/>
      <c r="BN6" s="1522"/>
      <c r="BO6" s="1522"/>
      <c r="BP6" s="1522"/>
      <c r="BQ6" s="1522"/>
      <c r="BR6" s="1522"/>
      <c r="BS6" s="1522"/>
      <c r="BT6" s="1522"/>
      <c r="BU6" s="1483"/>
      <c r="BV6" s="1483"/>
      <c r="BW6" s="1483"/>
      <c r="BX6" s="1483"/>
      <c r="BY6" s="1483"/>
      <c r="BZ6" s="1483"/>
      <c r="CA6" s="1483"/>
      <c r="CB6" s="1483"/>
      <c r="CC6" s="1483"/>
    </row>
    <row r="7" spans="1:81" ht="18" hidden="1" customHeight="1" x14ac:dyDescent="0.2">
      <c r="A7" s="1524" t="s">
        <v>345</v>
      </c>
      <c r="B7" s="1523"/>
      <c r="C7" s="1523"/>
      <c r="D7" s="1523"/>
      <c r="E7" s="1484"/>
      <c r="F7" s="1484"/>
      <c r="G7" s="1484"/>
      <c r="H7" s="1523"/>
      <c r="I7" s="1523"/>
      <c r="J7" s="1523"/>
      <c r="K7" s="1523"/>
      <c r="L7" s="1526"/>
      <c r="M7" s="1523"/>
      <c r="N7" s="1523"/>
      <c r="O7" s="1523"/>
      <c r="P7" s="1523"/>
      <c r="Q7" s="1523"/>
      <c r="R7" s="1523"/>
      <c r="S7" s="1523"/>
      <c r="T7" s="1566"/>
      <c r="U7" s="1523"/>
      <c r="V7" s="1523"/>
      <c r="W7" s="1523"/>
      <c r="X7" s="1566"/>
      <c r="Y7" s="1523"/>
      <c r="Z7" s="1523"/>
      <c r="AA7" s="1523"/>
      <c r="AB7" s="1566"/>
      <c r="AC7" s="1523"/>
      <c r="AD7" s="1523"/>
      <c r="AE7" s="1523"/>
      <c r="AF7" s="1523"/>
      <c r="AG7" s="1523"/>
      <c r="AH7" s="1523"/>
      <c r="AI7" s="1523"/>
      <c r="AJ7" s="1523"/>
      <c r="AK7" s="1523"/>
      <c r="AL7" s="1523"/>
      <c r="AM7" s="1523"/>
      <c r="AN7" s="1523"/>
      <c r="AO7" s="1523"/>
      <c r="AP7" s="1523"/>
      <c r="AQ7" s="1523"/>
      <c r="AR7" s="1523"/>
      <c r="AS7" s="1523"/>
      <c r="AT7" s="1523"/>
      <c r="AU7" s="1523"/>
      <c r="AV7" s="1523"/>
      <c r="AW7" s="1523"/>
      <c r="AX7" s="1523"/>
      <c r="AY7" s="1523"/>
      <c r="AZ7" s="1523"/>
      <c r="BA7" s="1522"/>
      <c r="BB7" s="1522"/>
      <c r="BC7" s="1522"/>
      <c r="BD7" s="1522"/>
      <c r="BE7" s="1522"/>
      <c r="BF7" s="1522"/>
      <c r="BG7" s="1522"/>
      <c r="BH7" s="1778"/>
      <c r="BI7" s="1778"/>
      <c r="BJ7" s="1564"/>
      <c r="BK7" s="1564"/>
      <c r="BL7" s="1522"/>
      <c r="BM7" s="1522"/>
      <c r="BN7" s="1778"/>
      <c r="BO7" s="1522"/>
      <c r="BP7" s="1522"/>
      <c r="BQ7" s="1522"/>
      <c r="BR7" s="1522"/>
      <c r="BS7" s="1522"/>
      <c r="BT7" s="1522"/>
      <c r="BU7" s="1483"/>
      <c r="BV7" s="1483"/>
      <c r="BW7" s="1483"/>
      <c r="BX7" s="1483"/>
      <c r="BY7" s="1483"/>
      <c r="BZ7" s="1483"/>
      <c r="CA7" s="1483"/>
      <c r="CB7" s="1483"/>
      <c r="CC7" s="1483"/>
    </row>
    <row r="8" spans="1:81" ht="18" customHeight="1" x14ac:dyDescent="0.2">
      <c r="A8" s="944"/>
      <c r="B8" s="1525"/>
      <c r="C8" s="1525"/>
      <c r="D8" s="1525"/>
      <c r="E8" s="1485"/>
      <c r="F8" s="1485"/>
      <c r="G8" s="148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6"/>
      <c r="AY8" s="1526"/>
      <c r="AZ8" s="1526"/>
      <c r="BA8" s="1778"/>
      <c r="BB8" s="1778"/>
      <c r="BC8" s="1778"/>
      <c r="BD8" s="1778"/>
      <c r="BE8" s="1778"/>
      <c r="BF8" s="1778"/>
      <c r="BG8" s="1778"/>
      <c r="BH8" s="1778"/>
      <c r="BI8" s="1778"/>
      <c r="BJ8" s="2440"/>
      <c r="BK8" s="2440"/>
      <c r="BL8" s="1778"/>
      <c r="BM8" s="1778"/>
      <c r="BN8" s="1778"/>
      <c r="BO8" s="1778"/>
      <c r="BP8" s="1778"/>
      <c r="BQ8" s="1778"/>
      <c r="BR8" s="1778"/>
      <c r="BS8" s="1778"/>
      <c r="BT8" s="1778"/>
      <c r="BU8" s="2061"/>
      <c r="BV8" s="2061"/>
      <c r="BW8" s="2061"/>
      <c r="BX8" s="2061"/>
      <c r="BY8" s="2061"/>
      <c r="BZ8" s="2061"/>
      <c r="CA8" s="2061"/>
      <c r="CB8" s="2061"/>
      <c r="CC8" s="2061"/>
    </row>
    <row r="9" spans="1:81" ht="9.75" customHeight="1" x14ac:dyDescent="0.2">
      <c r="A9" s="1526"/>
      <c r="B9" s="1526"/>
      <c r="C9" s="1526"/>
      <c r="D9" s="1526"/>
      <c r="E9" s="1486"/>
      <c r="F9" s="1486"/>
      <c r="G9" s="1486"/>
      <c r="H9" s="1526"/>
      <c r="I9" s="1526"/>
      <c r="J9" s="1526"/>
      <c r="K9" s="1526"/>
      <c r="L9" s="1526"/>
      <c r="M9" s="1526"/>
      <c r="N9" s="1526"/>
      <c r="O9" s="1526"/>
      <c r="P9" s="1526"/>
      <c r="Q9" s="1526"/>
      <c r="R9" s="1526"/>
      <c r="S9" s="1526"/>
      <c r="T9" s="1567"/>
      <c r="U9" s="1567"/>
      <c r="V9" s="1526"/>
      <c r="W9" s="1526"/>
      <c r="X9" s="1567"/>
      <c r="Y9" s="1567"/>
      <c r="Z9" s="1526"/>
      <c r="AA9" s="1526"/>
      <c r="AB9" s="1567"/>
      <c r="AC9" s="1567"/>
      <c r="AD9" s="1526"/>
      <c r="AE9" s="1526"/>
      <c r="AF9" s="1567"/>
      <c r="AG9" s="1567"/>
      <c r="AH9" s="1526"/>
      <c r="AI9" s="1526"/>
      <c r="AJ9" s="1526"/>
      <c r="AK9" s="1567"/>
      <c r="AL9" s="1526"/>
      <c r="AM9" s="1567"/>
      <c r="AN9" s="1526"/>
      <c r="AO9" s="1567"/>
      <c r="AP9" s="1526"/>
      <c r="AQ9" s="1567"/>
      <c r="AR9" s="1526"/>
      <c r="AS9" s="1567"/>
      <c r="AT9" s="1526"/>
      <c r="AU9" s="1567"/>
      <c r="AV9" s="1526"/>
      <c r="AW9" s="1526"/>
      <c r="AX9" s="1526"/>
      <c r="AY9" s="1526"/>
      <c r="AZ9" s="1526"/>
      <c r="BA9" s="1778"/>
      <c r="BB9" s="1778"/>
      <c r="BC9" s="1778"/>
      <c r="BD9" s="1778"/>
      <c r="BE9" s="1778"/>
      <c r="BF9" s="1778"/>
      <c r="BG9" s="1778"/>
      <c r="BH9" s="1778"/>
      <c r="BI9" s="1778"/>
      <c r="BJ9" s="2441"/>
      <c r="BK9" s="2441"/>
      <c r="BL9" s="1778"/>
      <c r="BM9" s="1778"/>
      <c r="BN9" s="1778"/>
      <c r="BO9" s="1778"/>
      <c r="BP9" s="1778"/>
      <c r="BQ9" s="1778"/>
      <c r="BR9" s="1778"/>
      <c r="BS9" s="1778"/>
      <c r="BT9" s="1778"/>
      <c r="BU9" s="2061"/>
      <c r="BV9" s="2061"/>
      <c r="BW9" s="2061"/>
      <c r="BX9" s="2061"/>
      <c r="BY9" s="2061"/>
      <c r="BZ9" s="2061"/>
      <c r="CA9" s="2061"/>
      <c r="CB9" s="2061"/>
      <c r="CC9" s="2061"/>
    </row>
    <row r="10" spans="1:81" x14ac:dyDescent="0.2">
      <c r="A10" s="1527" t="s">
        <v>1</v>
      </c>
      <c r="B10" s="1528"/>
      <c r="C10" s="3073" t="s">
        <v>671</v>
      </c>
      <c r="D10" s="3074"/>
      <c r="E10" s="1488"/>
      <c r="F10" s="2427"/>
      <c r="G10" s="2445"/>
      <c r="H10" s="2443"/>
      <c r="I10" s="2443"/>
      <c r="J10" s="2442"/>
      <c r="K10" s="2443"/>
      <c r="L10" s="2443"/>
      <c r="M10" s="2443"/>
      <c r="N10" s="2442"/>
      <c r="O10" s="2443"/>
      <c r="P10" s="2443"/>
      <c r="Q10" s="2443"/>
      <c r="R10" s="2442"/>
      <c r="S10" s="2443"/>
      <c r="T10" s="2443"/>
      <c r="U10" s="1526"/>
      <c r="V10" s="2442"/>
      <c r="W10" s="2443"/>
      <c r="X10" s="2443"/>
      <c r="Y10" s="1526"/>
      <c r="Z10" s="2442"/>
      <c r="AA10" s="2443"/>
      <c r="AB10" s="2443"/>
      <c r="AC10" s="1526"/>
      <c r="AD10" s="2442"/>
      <c r="AE10" s="2443"/>
      <c r="AF10" s="2443"/>
      <c r="AG10" s="1526"/>
      <c r="AH10" s="2442"/>
      <c r="AI10" s="2443"/>
      <c r="AJ10" s="2443"/>
      <c r="AK10" s="1526"/>
      <c r="AL10" s="2442"/>
      <c r="AM10" s="2443"/>
      <c r="AN10" s="2443"/>
      <c r="AO10" s="1526"/>
      <c r="AP10" s="2442"/>
      <c r="AQ10" s="2443"/>
      <c r="AR10" s="2443"/>
      <c r="AS10" s="1526"/>
      <c r="AT10" s="2442"/>
      <c r="AU10" s="1526"/>
      <c r="AV10" s="2443"/>
      <c r="AW10" s="2443"/>
      <c r="AX10" s="2442"/>
      <c r="AY10" s="2443"/>
      <c r="AZ10" s="2443"/>
      <c r="BA10" s="2443"/>
      <c r="BB10" s="2443"/>
      <c r="BC10" s="2444"/>
      <c r="BD10" s="2442"/>
      <c r="BE10" s="2442"/>
      <c r="BF10" s="2443"/>
      <c r="BG10" s="1569"/>
      <c r="BH10" s="988" t="s">
        <v>660</v>
      </c>
      <c r="BI10" s="988"/>
      <c r="BJ10" s="988" t="s">
        <v>563</v>
      </c>
      <c r="BK10" s="989"/>
      <c r="BL10" s="1570"/>
      <c r="BM10" s="2310"/>
      <c r="BN10" s="2310"/>
      <c r="BO10" s="1571"/>
      <c r="BP10" s="1571"/>
      <c r="BQ10" s="1571"/>
      <c r="BR10" s="1571"/>
      <c r="BS10" s="1571"/>
      <c r="BT10" s="1571"/>
      <c r="BU10" s="2062"/>
      <c r="BV10" s="2062"/>
      <c r="BW10" s="2062"/>
      <c r="BX10" s="2445"/>
      <c r="BY10" s="2446"/>
      <c r="BZ10" s="2062"/>
      <c r="CA10" s="2062"/>
      <c r="CB10" s="2062"/>
      <c r="CC10" s="2155"/>
    </row>
    <row r="11" spans="1:81" ht="13.5" x14ac:dyDescent="0.2">
      <c r="A11" s="1527" t="s">
        <v>2</v>
      </c>
      <c r="B11" s="1528"/>
      <c r="C11" s="3186" t="s">
        <v>38</v>
      </c>
      <c r="D11" s="3187"/>
      <c r="E11" s="1491"/>
      <c r="F11" s="907" t="s">
        <v>670</v>
      </c>
      <c r="G11" s="1948" t="s">
        <v>558</v>
      </c>
      <c r="H11" s="992" t="s">
        <v>559</v>
      </c>
      <c r="I11" s="992" t="s">
        <v>560</v>
      </c>
      <c r="J11" s="993" t="s">
        <v>561</v>
      </c>
      <c r="K11" s="992" t="s">
        <v>508</v>
      </c>
      <c r="L11" s="992" t="s">
        <v>507</v>
      </c>
      <c r="M11" s="992" t="s">
        <v>506</v>
      </c>
      <c r="N11" s="993" t="s">
        <v>505</v>
      </c>
      <c r="O11" s="992" t="s">
        <v>382</v>
      </c>
      <c r="P11" s="992" t="s">
        <v>383</v>
      </c>
      <c r="Q11" s="992" t="s">
        <v>384</v>
      </c>
      <c r="R11" s="993" t="s">
        <v>385</v>
      </c>
      <c r="S11" s="992" t="s">
        <v>368</v>
      </c>
      <c r="T11" s="992" t="s">
        <v>367</v>
      </c>
      <c r="U11" s="992" t="s">
        <v>366</v>
      </c>
      <c r="V11" s="993" t="s">
        <v>364</v>
      </c>
      <c r="W11" s="992" t="s">
        <v>348</v>
      </c>
      <c r="X11" s="992" t="s">
        <v>349</v>
      </c>
      <c r="Y11" s="992" t="s">
        <v>350</v>
      </c>
      <c r="Z11" s="993" t="s">
        <v>351</v>
      </c>
      <c r="AA11" s="1572" t="s">
        <v>315</v>
      </c>
      <c r="AB11" s="1572" t="s">
        <v>314</v>
      </c>
      <c r="AC11" s="1572" t="s">
        <v>313</v>
      </c>
      <c r="AD11" s="1573" t="s">
        <v>311</v>
      </c>
      <c r="AE11" s="1572" t="s">
        <v>270</v>
      </c>
      <c r="AF11" s="1572" t="s">
        <v>271</v>
      </c>
      <c r="AG11" s="1572" t="s">
        <v>272</v>
      </c>
      <c r="AH11" s="1573" t="s">
        <v>273</v>
      </c>
      <c r="AI11" s="1572" t="s">
        <v>223</v>
      </c>
      <c r="AJ11" s="1572" t="s">
        <v>224</v>
      </c>
      <c r="AK11" s="1572" t="s">
        <v>225</v>
      </c>
      <c r="AL11" s="1573" t="s">
        <v>222</v>
      </c>
      <c r="AM11" s="1572" t="s">
        <v>189</v>
      </c>
      <c r="AN11" s="1572" t="s">
        <v>190</v>
      </c>
      <c r="AO11" s="1572" t="s">
        <v>191</v>
      </c>
      <c r="AP11" s="1573" t="s">
        <v>192</v>
      </c>
      <c r="AQ11" s="1572" t="s">
        <v>121</v>
      </c>
      <c r="AR11" s="1572" t="s">
        <v>120</v>
      </c>
      <c r="AS11" s="1572" t="s">
        <v>119</v>
      </c>
      <c r="AT11" s="1573" t="s">
        <v>118</v>
      </c>
      <c r="AU11" s="1572" t="s">
        <v>81</v>
      </c>
      <c r="AV11" s="1572" t="s">
        <v>82</v>
      </c>
      <c r="AW11" s="1572" t="s">
        <v>83</v>
      </c>
      <c r="AX11" s="1573" t="s">
        <v>29</v>
      </c>
      <c r="AY11" s="1572" t="s">
        <v>30</v>
      </c>
      <c r="AZ11" s="1572" t="s">
        <v>31</v>
      </c>
      <c r="BA11" s="1572" t="s">
        <v>32</v>
      </c>
      <c r="BB11" s="1572" t="s">
        <v>33</v>
      </c>
      <c r="BC11" s="1574" t="s">
        <v>34</v>
      </c>
      <c r="BD11" s="1573" t="s">
        <v>35</v>
      </c>
      <c r="BE11" s="1573" t="s">
        <v>36</v>
      </c>
      <c r="BF11" s="1572" t="s">
        <v>37</v>
      </c>
      <c r="BG11" s="1575"/>
      <c r="BH11" s="992" t="s">
        <v>558</v>
      </c>
      <c r="BI11" s="992" t="s">
        <v>508</v>
      </c>
      <c r="BJ11" s="3071" t="s">
        <v>38</v>
      </c>
      <c r="BK11" s="3072"/>
      <c r="BL11" s="1576"/>
      <c r="BM11" s="995" t="s">
        <v>562</v>
      </c>
      <c r="BN11" s="995" t="s">
        <v>509</v>
      </c>
      <c r="BO11" s="994" t="s">
        <v>502</v>
      </c>
      <c r="BP11" s="994" t="s">
        <v>379</v>
      </c>
      <c r="BQ11" s="994" t="s">
        <v>360</v>
      </c>
      <c r="BR11" s="994" t="s">
        <v>317</v>
      </c>
      <c r="BS11" s="1577" t="s">
        <v>275</v>
      </c>
      <c r="BT11" s="1577" t="s">
        <v>227</v>
      </c>
      <c r="BU11" s="2067" t="s">
        <v>123</v>
      </c>
      <c r="BV11" s="2067" t="s">
        <v>122</v>
      </c>
      <c r="BW11" s="2066" t="s">
        <v>42</v>
      </c>
      <c r="BX11" s="2066" t="s">
        <v>39</v>
      </c>
      <c r="BY11" s="2067" t="s">
        <v>40</v>
      </c>
      <c r="BZ11" s="2067" t="s">
        <v>142</v>
      </c>
      <c r="CA11" s="2067" t="s">
        <v>143</v>
      </c>
      <c r="CB11" s="2067" t="s">
        <v>144</v>
      </c>
      <c r="CC11" s="2155"/>
    </row>
    <row r="12" spans="1:81" s="2740" customFormat="1" x14ac:dyDescent="0.2">
      <c r="A12" s="1527"/>
      <c r="B12" s="1527"/>
      <c r="C12" s="2781"/>
      <c r="D12" s="1530"/>
      <c r="E12" s="2856"/>
      <c r="F12" s="1151"/>
      <c r="G12" s="1996"/>
      <c r="H12" s="1224"/>
      <c r="I12" s="1224"/>
      <c r="J12" s="1225"/>
      <c r="K12" s="1224"/>
      <c r="L12" s="1224"/>
      <c r="M12" s="1224"/>
      <c r="N12" s="1225"/>
      <c r="O12" s="1224"/>
      <c r="P12" s="1224"/>
      <c r="Q12" s="1224"/>
      <c r="R12" s="1225"/>
      <c r="S12" s="1224"/>
      <c r="T12" s="1224"/>
      <c r="U12" s="1224"/>
      <c r="V12" s="1225"/>
      <c r="W12" s="1224"/>
      <c r="X12" s="1224"/>
      <c r="Y12" s="1224"/>
      <c r="Z12" s="1225"/>
      <c r="AA12" s="1578"/>
      <c r="AB12" s="1578"/>
      <c r="AC12" s="1578"/>
      <c r="AD12" s="1579"/>
      <c r="AE12" s="1578"/>
      <c r="AF12" s="1578"/>
      <c r="AG12" s="1578"/>
      <c r="AH12" s="1579"/>
      <c r="AI12" s="1578"/>
      <c r="AJ12" s="1578"/>
      <c r="AK12" s="1578"/>
      <c r="AL12" s="1579"/>
      <c r="AM12" s="1578"/>
      <c r="AN12" s="1578"/>
      <c r="AO12" s="1578"/>
      <c r="AP12" s="1579"/>
      <c r="AQ12" s="1578"/>
      <c r="AR12" s="1578"/>
      <c r="AS12" s="1578"/>
      <c r="AT12" s="1579"/>
      <c r="AU12" s="1580"/>
      <c r="AV12" s="1580"/>
      <c r="AW12" s="1580"/>
      <c r="AX12" s="1581"/>
      <c r="AY12" s="1580"/>
      <c r="AZ12" s="1580"/>
      <c r="BA12" s="1580"/>
      <c r="BB12" s="1580"/>
      <c r="BC12" s="1582"/>
      <c r="BD12" s="1581"/>
      <c r="BE12" s="1581"/>
      <c r="BF12" s="1580"/>
      <c r="BG12" s="1583"/>
      <c r="BH12" s="1584"/>
      <c r="BI12" s="1584"/>
      <c r="BJ12" s="2447"/>
      <c r="BK12" s="2448"/>
      <c r="BL12" s="1585"/>
      <c r="BM12" s="2518"/>
      <c r="BN12" s="2886"/>
      <c r="BO12" s="1586"/>
      <c r="BP12" s="1586"/>
      <c r="BQ12" s="1586"/>
      <c r="BR12" s="1586"/>
      <c r="BS12" s="1586"/>
      <c r="BT12" s="1586"/>
      <c r="BU12" s="2069"/>
      <c r="BV12" s="2070" t="s">
        <v>241</v>
      </c>
      <c r="BW12" s="2070" t="s">
        <v>241</v>
      </c>
      <c r="BX12" s="2070" t="s">
        <v>241</v>
      </c>
      <c r="BY12" s="2070" t="s">
        <v>241</v>
      </c>
      <c r="BZ12" s="2070" t="s">
        <v>241</v>
      </c>
      <c r="CA12" s="2071"/>
      <c r="CB12" s="2071"/>
      <c r="CC12" s="2449"/>
    </row>
    <row r="13" spans="1:81" ht="12.75" customHeight="1" x14ac:dyDescent="0.2">
      <c r="A13" s="1531" t="s">
        <v>59</v>
      </c>
      <c r="B13" s="1532"/>
      <c r="C13" s="2450"/>
      <c r="D13" s="2451"/>
      <c r="E13" s="2857"/>
      <c r="F13" s="1487"/>
      <c r="G13" s="2454"/>
      <c r="H13" s="1528"/>
      <c r="I13" s="1528"/>
      <c r="J13" s="2451"/>
      <c r="K13" s="1528"/>
      <c r="L13" s="1528"/>
      <c r="M13" s="1528"/>
      <c r="N13" s="2451"/>
      <c r="O13" s="1528"/>
      <c r="P13" s="1528"/>
      <c r="Q13" s="1528"/>
      <c r="R13" s="2451"/>
      <c r="S13" s="1528"/>
      <c r="T13" s="1528"/>
      <c r="U13" s="1528"/>
      <c r="V13" s="2451"/>
      <c r="W13" s="1528"/>
      <c r="X13" s="1528"/>
      <c r="Y13" s="1528"/>
      <c r="Z13" s="2451"/>
      <c r="AA13" s="1528"/>
      <c r="AB13" s="1528"/>
      <c r="AC13" s="1528"/>
      <c r="AD13" s="2451"/>
      <c r="AE13" s="1528"/>
      <c r="AF13" s="1528"/>
      <c r="AG13" s="1528"/>
      <c r="AH13" s="2451"/>
      <c r="AI13" s="1528"/>
      <c r="AJ13" s="1528"/>
      <c r="AK13" s="1528"/>
      <c r="AL13" s="2451"/>
      <c r="AM13" s="1528"/>
      <c r="AN13" s="1528"/>
      <c r="AO13" s="1528"/>
      <c r="AP13" s="2451"/>
      <c r="AQ13" s="1528"/>
      <c r="AR13" s="1528"/>
      <c r="AS13" s="1528"/>
      <c r="AT13" s="2451"/>
      <c r="AU13" s="1528"/>
      <c r="AV13" s="1528"/>
      <c r="AW13" s="1528"/>
      <c r="AX13" s="2451"/>
      <c r="AY13" s="1528"/>
      <c r="AZ13" s="1528"/>
      <c r="BA13" s="1528"/>
      <c r="BB13" s="2451"/>
      <c r="BC13" s="2450"/>
      <c r="BD13" s="2451"/>
      <c r="BE13" s="2451"/>
      <c r="BF13" s="1528"/>
      <c r="BG13" s="1629"/>
      <c r="BH13" s="1528"/>
      <c r="BI13" s="1528"/>
      <c r="BJ13" s="2228"/>
      <c r="BK13" s="2453"/>
      <c r="BL13" s="1539"/>
      <c r="BM13" s="1629"/>
      <c r="BN13" s="2451"/>
      <c r="BO13" s="1629"/>
      <c r="BP13" s="1629"/>
      <c r="BQ13" s="1629"/>
      <c r="BR13" s="1629"/>
      <c r="BS13" s="1629"/>
      <c r="BT13" s="1629"/>
      <c r="BU13" s="2452"/>
      <c r="BV13" s="2452"/>
      <c r="BW13" s="2452"/>
      <c r="BX13" s="2454"/>
      <c r="BY13" s="2452"/>
      <c r="BZ13" s="2075"/>
      <c r="CA13" s="2076"/>
      <c r="CB13" s="2076"/>
      <c r="CC13" s="2155"/>
    </row>
    <row r="14" spans="1:81" ht="12.75" customHeight="1" x14ac:dyDescent="0.2">
      <c r="A14" s="1528"/>
      <c r="B14" s="1528" t="s">
        <v>333</v>
      </c>
      <c r="C14" s="1533">
        <v>18493</v>
      </c>
      <c r="D14" s="1035">
        <v>0.40319626738760739</v>
      </c>
      <c r="E14" s="2208"/>
      <c r="F14" s="1591">
        <v>64359</v>
      </c>
      <c r="G14" s="2873">
        <v>54486</v>
      </c>
      <c r="H14" s="1591">
        <v>83341</v>
      </c>
      <c r="I14" s="1591">
        <v>76972</v>
      </c>
      <c r="J14" s="1592">
        <v>45866</v>
      </c>
      <c r="K14" s="1593">
        <v>77614</v>
      </c>
      <c r="L14" s="1593">
        <v>75278</v>
      </c>
      <c r="M14" s="1591">
        <v>28830</v>
      </c>
      <c r="N14" s="1592">
        <v>34384</v>
      </c>
      <c r="O14" s="1593">
        <v>46243</v>
      </c>
      <c r="P14" s="1593">
        <v>31995</v>
      </c>
      <c r="Q14" s="1591">
        <v>28281</v>
      </c>
      <c r="R14" s="1592">
        <v>48892</v>
      </c>
      <c r="S14" s="1593">
        <v>39106</v>
      </c>
      <c r="T14" s="1593">
        <v>33199</v>
      </c>
      <c r="U14" s="1591">
        <v>24758</v>
      </c>
      <c r="V14" s="1592">
        <v>34336</v>
      </c>
      <c r="W14" s="1593">
        <v>48292</v>
      </c>
      <c r="X14" s="1593">
        <v>29192</v>
      </c>
      <c r="Y14" s="1591">
        <v>68913</v>
      </c>
      <c r="Z14" s="1592">
        <v>58188</v>
      </c>
      <c r="AA14" s="1593">
        <v>43057</v>
      </c>
      <c r="AB14" s="1593">
        <v>41283</v>
      </c>
      <c r="AC14" s="1591">
        <v>31264</v>
      </c>
      <c r="AD14" s="1592">
        <v>32910</v>
      </c>
      <c r="AE14" s="1591">
        <v>56814</v>
      </c>
      <c r="AF14" s="1591">
        <v>76454</v>
      </c>
      <c r="AG14" s="1591">
        <v>35445</v>
      </c>
      <c r="AH14" s="1592">
        <v>35624</v>
      </c>
      <c r="AI14" s="1591">
        <v>71006</v>
      </c>
      <c r="AJ14" s="1591">
        <v>56942</v>
      </c>
      <c r="AK14" s="1591">
        <v>42491</v>
      </c>
      <c r="AL14" s="1592">
        <v>61867</v>
      </c>
      <c r="AM14" s="1591">
        <v>88632</v>
      </c>
      <c r="AN14" s="1591">
        <v>109404</v>
      </c>
      <c r="AO14" s="1591">
        <v>49909</v>
      </c>
      <c r="AP14" s="1592">
        <v>53057</v>
      </c>
      <c r="AQ14" s="1591">
        <v>32806</v>
      </c>
      <c r="AR14" s="1591">
        <v>58040</v>
      </c>
      <c r="AS14" s="1594">
        <v>27314</v>
      </c>
      <c r="AT14" s="1592">
        <v>30054</v>
      </c>
      <c r="AU14" s="1595">
        <v>25033</v>
      </c>
      <c r="AV14" s="1595">
        <v>12639</v>
      </c>
      <c r="AW14" s="1595">
        <v>23461</v>
      </c>
      <c r="AX14" s="1592">
        <v>34352</v>
      </c>
      <c r="AY14" s="2455">
        <v>31944</v>
      </c>
      <c r="AZ14" s="2456">
        <v>42952</v>
      </c>
      <c r="BA14" s="2456">
        <v>39210</v>
      </c>
      <c r="BB14" s="2457">
        <v>62549</v>
      </c>
      <c r="BC14" s="2458">
        <v>57382</v>
      </c>
      <c r="BD14" s="2457">
        <v>48897</v>
      </c>
      <c r="BE14" s="2457">
        <v>38533</v>
      </c>
      <c r="BF14" s="2455">
        <v>42750</v>
      </c>
      <c r="BG14" s="1629"/>
      <c r="BH14" s="1591">
        <v>260665</v>
      </c>
      <c r="BI14" s="1591">
        <v>216106</v>
      </c>
      <c r="BJ14" s="1596">
        <v>44559</v>
      </c>
      <c r="BK14" s="1536">
        <v>0.20619048059748457</v>
      </c>
      <c r="BL14" s="1539"/>
      <c r="BM14" s="1617">
        <v>260665</v>
      </c>
      <c r="BN14" s="1611">
        <v>216106</v>
      </c>
      <c r="BO14" s="1639">
        <v>155411</v>
      </c>
      <c r="BP14" s="1639">
        <v>131399</v>
      </c>
      <c r="BQ14" s="1597">
        <v>204585</v>
      </c>
      <c r="BR14" s="1597">
        <v>148514</v>
      </c>
      <c r="BS14" s="1597">
        <v>204337</v>
      </c>
      <c r="BT14" s="1597">
        <v>232306</v>
      </c>
      <c r="BU14" s="2079">
        <v>338520</v>
      </c>
      <c r="BV14" s="2079">
        <v>177581</v>
      </c>
      <c r="BW14" s="2079">
        <v>122850</v>
      </c>
      <c r="BX14" s="2079">
        <v>176655</v>
      </c>
      <c r="BY14" s="2079">
        <v>187562</v>
      </c>
      <c r="BZ14" s="2075">
        <v>150470</v>
      </c>
      <c r="CA14" s="2075">
        <v>95559</v>
      </c>
      <c r="CB14" s="2075"/>
      <c r="CC14" s="1486"/>
    </row>
    <row r="15" spans="1:81" ht="12.75" customHeight="1" x14ac:dyDescent="0.2">
      <c r="A15" s="1532"/>
      <c r="B15" s="1528"/>
      <c r="C15" s="1534">
        <v>18493</v>
      </c>
      <c r="D15" s="1190">
        <v>0.40319626738760739</v>
      </c>
      <c r="E15" s="2208"/>
      <c r="F15" s="1591">
        <v>64359</v>
      </c>
      <c r="G15" s="2873">
        <v>54486</v>
      </c>
      <c r="H15" s="1591">
        <v>83341</v>
      </c>
      <c r="I15" s="1591">
        <v>76972</v>
      </c>
      <c r="J15" s="1598">
        <v>45866</v>
      </c>
      <c r="K15" s="1591">
        <v>77614</v>
      </c>
      <c r="L15" s="1591">
        <v>75278</v>
      </c>
      <c r="M15" s="1591">
        <v>28830</v>
      </c>
      <c r="N15" s="1598">
        <v>34384</v>
      </c>
      <c r="O15" s="1591">
        <v>46243</v>
      </c>
      <c r="P15" s="1591">
        <v>31995</v>
      </c>
      <c r="Q15" s="1591">
        <v>28281</v>
      </c>
      <c r="R15" s="1598">
        <v>48892</v>
      </c>
      <c r="S15" s="1591">
        <v>39106</v>
      </c>
      <c r="T15" s="1591">
        <v>33199</v>
      </c>
      <c r="U15" s="1591">
        <v>24758</v>
      </c>
      <c r="V15" s="1598">
        <v>34336</v>
      </c>
      <c r="W15" s="1593">
        <v>48292</v>
      </c>
      <c r="X15" s="1593">
        <v>29192</v>
      </c>
      <c r="Y15" s="1591">
        <v>68913</v>
      </c>
      <c r="Z15" s="1598">
        <v>58188</v>
      </c>
      <c r="AA15" s="1593">
        <v>43057</v>
      </c>
      <c r="AB15" s="1593">
        <v>41283</v>
      </c>
      <c r="AC15" s="1591">
        <v>31264</v>
      </c>
      <c r="AD15" s="1598">
        <v>32910</v>
      </c>
      <c r="AE15" s="1591">
        <v>56814</v>
      </c>
      <c r="AF15" s="1591">
        <v>76454</v>
      </c>
      <c r="AG15" s="1591">
        <v>35445</v>
      </c>
      <c r="AH15" s="1598">
        <v>35624</v>
      </c>
      <c r="AI15" s="1591">
        <v>71006</v>
      </c>
      <c r="AJ15" s="1591">
        <v>56942</v>
      </c>
      <c r="AK15" s="1591">
        <v>42491</v>
      </c>
      <c r="AL15" s="1598">
        <v>61867</v>
      </c>
      <c r="AM15" s="1591">
        <v>88632</v>
      </c>
      <c r="AN15" s="1591">
        <v>109404</v>
      </c>
      <c r="AO15" s="1591">
        <v>49909</v>
      </c>
      <c r="AP15" s="1598">
        <v>53057</v>
      </c>
      <c r="AQ15" s="1591">
        <v>32806</v>
      </c>
      <c r="AR15" s="1591">
        <v>58040</v>
      </c>
      <c r="AS15" s="1591">
        <v>27314</v>
      </c>
      <c r="AT15" s="1598">
        <v>30054</v>
      </c>
      <c r="AU15" s="1599">
        <v>25033</v>
      </c>
      <c r="AV15" s="1599">
        <v>12639</v>
      </c>
      <c r="AW15" s="1599">
        <v>23461</v>
      </c>
      <c r="AX15" s="1598">
        <v>34352</v>
      </c>
      <c r="AY15" s="1599">
        <v>31944</v>
      </c>
      <c r="AZ15" s="1599">
        <v>42952</v>
      </c>
      <c r="BA15" s="1599">
        <v>39210</v>
      </c>
      <c r="BB15" s="1599">
        <v>62549</v>
      </c>
      <c r="BC15" s="1600">
        <v>57382</v>
      </c>
      <c r="BD15" s="1598">
        <v>48897</v>
      </c>
      <c r="BE15" s="1598">
        <v>38533</v>
      </c>
      <c r="BF15" s="1599">
        <v>42750</v>
      </c>
      <c r="BG15" s="1629"/>
      <c r="BH15" s="1591">
        <v>260665</v>
      </c>
      <c r="BI15" s="1591">
        <v>216106</v>
      </c>
      <c r="BJ15" s="1601">
        <v>44559</v>
      </c>
      <c r="BK15" s="1535">
        <v>0.20619048059748457</v>
      </c>
      <c r="BL15" s="1539"/>
      <c r="BM15" s="1932">
        <v>260665</v>
      </c>
      <c r="BN15" s="1611">
        <v>216106</v>
      </c>
      <c r="BO15" s="1935">
        <v>155411</v>
      </c>
      <c r="BP15" s="1935">
        <v>131399</v>
      </c>
      <c r="BQ15" s="1602">
        <v>204585</v>
      </c>
      <c r="BR15" s="1602">
        <v>148514</v>
      </c>
      <c r="BS15" s="1602">
        <v>204337</v>
      </c>
      <c r="BT15" s="1602">
        <v>232306</v>
      </c>
      <c r="BU15" s="2081">
        <v>338520</v>
      </c>
      <c r="BV15" s="2081">
        <v>177581</v>
      </c>
      <c r="BW15" s="2081">
        <v>122850</v>
      </c>
      <c r="BX15" s="2081">
        <v>176655</v>
      </c>
      <c r="BY15" s="2081">
        <v>187562</v>
      </c>
      <c r="BZ15" s="2082">
        <v>150470</v>
      </c>
      <c r="CA15" s="2082">
        <v>95559</v>
      </c>
      <c r="CB15" s="2082">
        <v>211758</v>
      </c>
      <c r="CC15" s="1486"/>
    </row>
    <row r="16" spans="1:81" ht="12.75" customHeight="1" x14ac:dyDescent="0.2">
      <c r="A16" s="1531" t="s">
        <v>5</v>
      </c>
      <c r="B16" s="1528"/>
      <c r="C16" s="1804"/>
      <c r="D16" s="1210"/>
      <c r="E16" s="2208"/>
      <c r="F16" s="2904"/>
      <c r="G16" s="2904"/>
      <c r="H16" s="1604"/>
      <c r="I16" s="1604"/>
      <c r="J16" s="1605"/>
      <c r="K16" s="1603"/>
      <c r="L16" s="1603"/>
      <c r="M16" s="1595"/>
      <c r="N16" s="1592"/>
      <c r="O16" s="1603"/>
      <c r="P16" s="1603"/>
      <c r="Q16" s="1595"/>
      <c r="R16" s="1592"/>
      <c r="S16" s="1603"/>
      <c r="T16" s="1603"/>
      <c r="U16" s="1595"/>
      <c r="V16" s="1592"/>
      <c r="W16" s="1603"/>
      <c r="X16" s="1603"/>
      <c r="Y16" s="1595"/>
      <c r="Z16" s="1592"/>
      <c r="AA16" s="1603"/>
      <c r="AB16" s="1603"/>
      <c r="AC16" s="1595"/>
      <c r="AD16" s="1592"/>
      <c r="AE16" s="1595"/>
      <c r="AF16" s="1595"/>
      <c r="AG16" s="1595"/>
      <c r="AH16" s="1592"/>
      <c r="AI16" s="1595"/>
      <c r="AJ16" s="1604"/>
      <c r="AK16" s="1595"/>
      <c r="AL16" s="1592"/>
      <c r="AM16" s="1595"/>
      <c r="AN16" s="1604"/>
      <c r="AO16" s="1595"/>
      <c r="AP16" s="1592"/>
      <c r="AQ16" s="1595"/>
      <c r="AR16" s="1604"/>
      <c r="AS16" s="1595"/>
      <c r="AT16" s="1592"/>
      <c r="AU16" s="1604"/>
      <c r="AV16" s="1604"/>
      <c r="AW16" s="1604"/>
      <c r="AX16" s="1605"/>
      <c r="AY16" s="1606"/>
      <c r="AZ16" s="1606"/>
      <c r="BA16" s="1606"/>
      <c r="BB16" s="1606"/>
      <c r="BC16" s="1607"/>
      <c r="BD16" s="1592"/>
      <c r="BE16" s="1592"/>
      <c r="BF16" s="1606"/>
      <c r="BG16" s="2450"/>
      <c r="BH16" s="1595"/>
      <c r="BI16" s="1606"/>
      <c r="BJ16" s="1596"/>
      <c r="BK16" s="1536"/>
      <c r="BL16" s="1539"/>
      <c r="BM16" s="1936"/>
      <c r="BN16" s="2884"/>
      <c r="BO16" s="1724"/>
      <c r="BP16" s="1724"/>
      <c r="BQ16" s="1724"/>
      <c r="BR16" s="1724"/>
      <c r="BS16" s="1724"/>
      <c r="BT16" s="1724"/>
      <c r="BU16" s="2138"/>
      <c r="BV16" s="2138"/>
      <c r="BW16" s="2138"/>
      <c r="BX16" s="2079"/>
      <c r="BY16" s="2079"/>
      <c r="BZ16" s="2084"/>
      <c r="CA16" s="2084"/>
      <c r="CB16" s="2084"/>
      <c r="CC16" s="1486"/>
    </row>
    <row r="17" spans="1:81" ht="12.75" hidden="1" customHeight="1" x14ac:dyDescent="0.2">
      <c r="A17" s="1531"/>
      <c r="B17" s="1528" t="s">
        <v>292</v>
      </c>
      <c r="C17" s="1533">
        <v>6886</v>
      </c>
      <c r="D17" s="1035">
        <v>0.33488960217877639</v>
      </c>
      <c r="E17" s="2208"/>
      <c r="F17" s="2905">
        <v>27448</v>
      </c>
      <c r="G17" s="2905">
        <v>14771</v>
      </c>
      <c r="H17" s="1595">
        <v>39570</v>
      </c>
      <c r="I17" s="1595">
        <v>33660</v>
      </c>
      <c r="J17" s="1592">
        <v>20562</v>
      </c>
      <c r="K17" s="1603">
        <v>33321</v>
      </c>
      <c r="L17" s="1603">
        <v>35692</v>
      </c>
      <c r="M17" s="1595">
        <v>13071</v>
      </c>
      <c r="N17" s="1592">
        <v>14569</v>
      </c>
      <c r="O17" s="1603">
        <v>20515</v>
      </c>
      <c r="P17" s="1603">
        <v>12187</v>
      </c>
      <c r="Q17" s="1595">
        <v>12928</v>
      </c>
      <c r="R17" s="1592">
        <v>21172</v>
      </c>
      <c r="S17" s="1603">
        <v>19943</v>
      </c>
      <c r="T17" s="1603">
        <v>14256</v>
      </c>
      <c r="U17" s="1595">
        <v>8530</v>
      </c>
      <c r="V17" s="1592">
        <v>12398</v>
      </c>
      <c r="W17" s="1603">
        <v>19889</v>
      </c>
      <c r="X17" s="1603">
        <v>9898</v>
      </c>
      <c r="Y17" s="1595">
        <v>29488</v>
      </c>
      <c r="Z17" s="1592">
        <v>25438</v>
      </c>
      <c r="AA17" s="1603">
        <v>17633</v>
      </c>
      <c r="AB17" s="1603">
        <v>16110</v>
      </c>
      <c r="AC17" s="1595">
        <v>10947</v>
      </c>
      <c r="AD17" s="1592">
        <v>9008</v>
      </c>
      <c r="AE17" s="1595">
        <v>24687</v>
      </c>
      <c r="AF17" s="1595">
        <v>32365</v>
      </c>
      <c r="AG17" s="1595">
        <v>13998</v>
      </c>
      <c r="AH17" s="1592">
        <v>13566</v>
      </c>
      <c r="AI17" s="1595">
        <v>30200</v>
      </c>
      <c r="AJ17" s="1595">
        <v>23452</v>
      </c>
      <c r="AK17" s="1595">
        <v>16998</v>
      </c>
      <c r="AL17" s="1592">
        <v>29195</v>
      </c>
      <c r="AM17" s="1595">
        <v>43043</v>
      </c>
      <c r="AN17" s="1595">
        <v>47584</v>
      </c>
      <c r="AO17" s="1595">
        <v>20732</v>
      </c>
      <c r="AP17" s="1592"/>
      <c r="AQ17" s="1595"/>
      <c r="AR17" s="1595"/>
      <c r="AS17" s="1595"/>
      <c r="AT17" s="1592"/>
      <c r="AU17" s="1595"/>
      <c r="AV17" s="1595"/>
      <c r="AW17" s="1595"/>
      <c r="AX17" s="1592"/>
      <c r="AY17" s="1606"/>
      <c r="AZ17" s="1606"/>
      <c r="BA17" s="1606"/>
      <c r="BB17" s="1606"/>
      <c r="BC17" s="1607"/>
      <c r="BD17" s="1592"/>
      <c r="BE17" s="1592"/>
      <c r="BF17" s="1606"/>
      <c r="BG17" s="2450"/>
      <c r="BH17" s="1607">
        <v>108563</v>
      </c>
      <c r="BI17" s="1606">
        <v>96653</v>
      </c>
      <c r="BJ17" s="2891">
        <v>11910</v>
      </c>
      <c r="BK17" s="1536">
        <v>0.1232243179208095</v>
      </c>
      <c r="BL17" s="1539"/>
      <c r="BM17" s="1617">
        <v>108563</v>
      </c>
      <c r="BN17" s="2884">
        <v>96653</v>
      </c>
      <c r="BO17" s="1597">
        <v>66802</v>
      </c>
      <c r="BP17" s="1597">
        <v>55127</v>
      </c>
      <c r="BQ17" s="2459">
        <v>84713</v>
      </c>
      <c r="BR17" s="2459">
        <v>53698</v>
      </c>
      <c r="BS17" s="2459">
        <v>84615</v>
      </c>
      <c r="BT17" s="2459">
        <v>99845</v>
      </c>
      <c r="BU17" s="2078">
        <v>147080</v>
      </c>
      <c r="BV17" s="2085">
        <v>86644</v>
      </c>
      <c r="BW17" s="2085">
        <v>63086</v>
      </c>
      <c r="BX17" s="2085">
        <v>88234</v>
      </c>
      <c r="BY17" s="2086"/>
      <c r="BZ17" s="2084"/>
      <c r="CA17" s="2084"/>
      <c r="CB17" s="2084"/>
      <c r="CC17" s="2155"/>
    </row>
    <row r="18" spans="1:81" ht="12.75" hidden="1" customHeight="1" x14ac:dyDescent="0.2">
      <c r="A18" s="1531"/>
      <c r="B18" s="946" t="s">
        <v>293</v>
      </c>
      <c r="C18" s="1537">
        <v>97</v>
      </c>
      <c r="D18" s="1192">
        <v>4.4231646146830825E-2</v>
      </c>
      <c r="E18" s="2208"/>
      <c r="F18" s="2985">
        <v>2290</v>
      </c>
      <c r="G18" s="2906">
        <v>14036</v>
      </c>
      <c r="H18" s="1610">
        <v>1431</v>
      </c>
      <c r="I18" s="1610">
        <v>1983</v>
      </c>
      <c r="J18" s="1611">
        <v>2193</v>
      </c>
      <c r="K18" s="1612">
        <v>5661</v>
      </c>
      <c r="L18" s="1612">
        <v>3256</v>
      </c>
      <c r="M18" s="1610">
        <v>3693</v>
      </c>
      <c r="N18" s="1611">
        <v>3392</v>
      </c>
      <c r="O18" s="1612">
        <v>3289</v>
      </c>
      <c r="P18" s="1612">
        <v>3765</v>
      </c>
      <c r="Q18" s="1610">
        <v>3551</v>
      </c>
      <c r="R18" s="1611">
        <v>2622</v>
      </c>
      <c r="S18" s="1612">
        <v>4425</v>
      </c>
      <c r="T18" s="1612">
        <v>2850</v>
      </c>
      <c r="U18" s="1610">
        <v>2970</v>
      </c>
      <c r="V18" s="1611">
        <v>2944</v>
      </c>
      <c r="W18" s="1612">
        <v>4497</v>
      </c>
      <c r="X18" s="1612">
        <v>3700</v>
      </c>
      <c r="Y18" s="1610">
        <v>3230</v>
      </c>
      <c r="Z18" s="1611">
        <v>3226</v>
      </c>
      <c r="AA18" s="1612">
        <v>4247</v>
      </c>
      <c r="AB18" s="1612">
        <v>4019</v>
      </c>
      <c r="AC18" s="1610">
        <v>4969</v>
      </c>
      <c r="AD18" s="1611">
        <v>5109</v>
      </c>
      <c r="AE18" s="1610">
        <v>3758</v>
      </c>
      <c r="AF18" s="1610">
        <v>3721</v>
      </c>
      <c r="AG18" s="1610">
        <v>5475</v>
      </c>
      <c r="AH18" s="1611">
        <v>3512</v>
      </c>
      <c r="AI18" s="1610">
        <v>6279</v>
      </c>
      <c r="AJ18" s="1610">
        <v>3254</v>
      </c>
      <c r="AK18" s="1610">
        <v>3168</v>
      </c>
      <c r="AL18" s="1611">
        <v>-3366</v>
      </c>
      <c r="AM18" s="1610">
        <v>-3740</v>
      </c>
      <c r="AN18" s="1610">
        <v>598</v>
      </c>
      <c r="AO18" s="1610">
        <v>1780</v>
      </c>
      <c r="AP18" s="1592"/>
      <c r="AQ18" s="1595"/>
      <c r="AR18" s="1595"/>
      <c r="AS18" s="1595"/>
      <c r="AT18" s="1592"/>
      <c r="AU18" s="1595"/>
      <c r="AV18" s="1595"/>
      <c r="AW18" s="1595"/>
      <c r="AX18" s="1592"/>
      <c r="AY18" s="1606"/>
      <c r="AZ18" s="1606"/>
      <c r="BA18" s="1606"/>
      <c r="BB18" s="1606"/>
      <c r="BC18" s="1607"/>
      <c r="BD18" s="1592"/>
      <c r="BE18" s="1592"/>
      <c r="BF18" s="1606"/>
      <c r="BG18" s="2450"/>
      <c r="BH18" s="2873">
        <v>19643</v>
      </c>
      <c r="BI18" s="1591">
        <v>16002</v>
      </c>
      <c r="BJ18" s="2892">
        <v>3641</v>
      </c>
      <c r="BK18" s="1538">
        <v>0.22753405824271966</v>
      </c>
      <c r="BL18" s="1539"/>
      <c r="BM18" s="1935">
        <v>19643</v>
      </c>
      <c r="BN18" s="2885">
        <v>16002</v>
      </c>
      <c r="BO18" s="1639">
        <v>13227</v>
      </c>
      <c r="BP18" s="1639">
        <v>13189</v>
      </c>
      <c r="BQ18" s="2460">
        <v>14653</v>
      </c>
      <c r="BR18" s="2460">
        <v>18344</v>
      </c>
      <c r="BS18" s="2460">
        <v>16465</v>
      </c>
      <c r="BT18" s="2460">
        <v>9335</v>
      </c>
      <c r="BU18" s="2087">
        <v>-1125</v>
      </c>
      <c r="BV18" s="2088">
        <v>6489</v>
      </c>
      <c r="BW18" s="2088">
        <v>3937</v>
      </c>
      <c r="BX18" s="2088">
        <v>-253</v>
      </c>
      <c r="BY18" s="2086"/>
      <c r="BZ18" s="2084"/>
      <c r="CA18" s="2084"/>
      <c r="CB18" s="2084"/>
      <c r="CC18" s="2155"/>
    </row>
    <row r="19" spans="1:81" ht="12.75" hidden="1" customHeight="1" x14ac:dyDescent="0.2">
      <c r="A19" s="1532"/>
      <c r="B19" s="946" t="s">
        <v>620</v>
      </c>
      <c r="C19" s="1533">
        <v>6983</v>
      </c>
      <c r="D19" s="1035">
        <v>0.30687760931663371</v>
      </c>
      <c r="E19" s="2208"/>
      <c r="F19" s="1500">
        <v>29738</v>
      </c>
      <c r="G19" s="2971">
        <v>28807</v>
      </c>
      <c r="H19" s="1595">
        <v>41001</v>
      </c>
      <c r="I19" s="1595">
        <v>35643</v>
      </c>
      <c r="J19" s="1592">
        <v>22755</v>
      </c>
      <c r="K19" s="1595">
        <v>38982</v>
      </c>
      <c r="L19" s="1595">
        <v>38948</v>
      </c>
      <c r="M19" s="1595">
        <v>16764</v>
      </c>
      <c r="N19" s="1592">
        <v>17961</v>
      </c>
      <c r="O19" s="1595">
        <v>23804</v>
      </c>
      <c r="P19" s="1595">
        <v>15952</v>
      </c>
      <c r="Q19" s="1595">
        <v>16479</v>
      </c>
      <c r="R19" s="1592">
        <v>23794</v>
      </c>
      <c r="S19" s="1595">
        <v>24368</v>
      </c>
      <c r="T19" s="1595">
        <v>17106</v>
      </c>
      <c r="U19" s="1595">
        <v>11500</v>
      </c>
      <c r="V19" s="1592">
        <v>15342</v>
      </c>
      <c r="W19" s="1603">
        <v>24386</v>
      </c>
      <c r="X19" s="1603">
        <v>13598</v>
      </c>
      <c r="Y19" s="1595">
        <v>32718</v>
      </c>
      <c r="Z19" s="1592">
        <v>28664</v>
      </c>
      <c r="AA19" s="1603">
        <v>21880</v>
      </c>
      <c r="AB19" s="1603">
        <v>20129</v>
      </c>
      <c r="AC19" s="1595">
        <v>15916</v>
      </c>
      <c r="AD19" s="1592">
        <v>14117</v>
      </c>
      <c r="AE19" s="1595">
        <v>28445</v>
      </c>
      <c r="AF19" s="1595">
        <v>36086</v>
      </c>
      <c r="AG19" s="1595">
        <v>19473</v>
      </c>
      <c r="AH19" s="1592">
        <v>17078</v>
      </c>
      <c r="AI19" s="1595">
        <v>36479</v>
      </c>
      <c r="AJ19" s="1595">
        <v>26706</v>
      </c>
      <c r="AK19" s="1595">
        <v>20166</v>
      </c>
      <c r="AL19" s="1592">
        <v>25829</v>
      </c>
      <c r="AM19" s="1595">
        <v>39303</v>
      </c>
      <c r="AN19" s="1595">
        <v>48182</v>
      </c>
      <c r="AO19" s="1595">
        <v>22512</v>
      </c>
      <c r="AP19" s="1592">
        <v>22508</v>
      </c>
      <c r="AQ19" s="1595">
        <v>16925</v>
      </c>
      <c r="AR19" s="1595">
        <v>30817</v>
      </c>
      <c r="AS19" s="1595">
        <v>14959</v>
      </c>
      <c r="AT19" s="1592">
        <v>17215</v>
      </c>
      <c r="AU19" s="1595">
        <v>12371</v>
      </c>
      <c r="AV19" s="1595">
        <v>10291</v>
      </c>
      <c r="AW19" s="1595">
        <v>13228</v>
      </c>
      <c r="AX19" s="1592">
        <v>19085</v>
      </c>
      <c r="AY19" s="1606">
        <v>16510</v>
      </c>
      <c r="AZ19" s="1606">
        <v>57933</v>
      </c>
      <c r="BA19" s="1606">
        <v>42205</v>
      </c>
      <c r="BB19" s="1606">
        <v>76203</v>
      </c>
      <c r="BC19" s="1607">
        <v>70783</v>
      </c>
      <c r="BD19" s="1592">
        <v>51546</v>
      </c>
      <c r="BE19" s="1592">
        <v>45305</v>
      </c>
      <c r="BF19" s="1606">
        <v>65948</v>
      </c>
      <c r="BG19" s="1629"/>
      <c r="BH19" s="1595">
        <v>128206</v>
      </c>
      <c r="BI19" s="1606">
        <v>112655</v>
      </c>
      <c r="BJ19" s="1596">
        <v>15551</v>
      </c>
      <c r="BK19" s="1536">
        <v>0.1380409213971861</v>
      </c>
      <c r="BL19" s="1539"/>
      <c r="BM19" s="1617">
        <v>128206</v>
      </c>
      <c r="BN19" s="2884">
        <v>112655</v>
      </c>
      <c r="BO19" s="1936">
        <v>80029</v>
      </c>
      <c r="BP19" s="1936">
        <v>68316</v>
      </c>
      <c r="BQ19" s="1597">
        <v>99366</v>
      </c>
      <c r="BR19" s="1597">
        <v>72042</v>
      </c>
      <c r="BS19" s="1597">
        <v>101080</v>
      </c>
      <c r="BT19" s="1597">
        <v>109180</v>
      </c>
      <c r="BU19" s="2079">
        <v>145955</v>
      </c>
      <c r="BV19" s="2079">
        <v>93133</v>
      </c>
      <c r="BW19" s="2079">
        <v>67023</v>
      </c>
      <c r="BX19" s="2079">
        <v>87981</v>
      </c>
      <c r="BY19" s="2079">
        <v>98642</v>
      </c>
      <c r="BZ19" s="2084">
        <v>82259</v>
      </c>
      <c r="CA19" s="2084">
        <v>47759</v>
      </c>
      <c r="CB19" s="2084">
        <v>120298</v>
      </c>
      <c r="CC19" s="2155"/>
    </row>
    <row r="20" spans="1:81" ht="12.75" hidden="1" customHeight="1" x14ac:dyDescent="0.2">
      <c r="A20" s="1532"/>
      <c r="B20" s="1528" t="s">
        <v>64</v>
      </c>
      <c r="C20" s="1533">
        <v>965</v>
      </c>
      <c r="D20" s="1035">
        <v>0.72830188679245278</v>
      </c>
      <c r="E20" s="2208"/>
      <c r="F20" s="1502">
        <v>2290</v>
      </c>
      <c r="G20" s="2905">
        <v>2347</v>
      </c>
      <c r="H20" s="1595">
        <v>1351</v>
      </c>
      <c r="I20" s="1595">
        <v>1333</v>
      </c>
      <c r="J20" s="1592">
        <v>1325</v>
      </c>
      <c r="K20" s="1603">
        <v>1305</v>
      </c>
      <c r="L20" s="1603">
        <v>1322</v>
      </c>
      <c r="M20" s="1595">
        <v>1290</v>
      </c>
      <c r="N20" s="1592">
        <v>1464</v>
      </c>
      <c r="O20" s="1603">
        <v>1350</v>
      </c>
      <c r="P20" s="1603">
        <v>1439</v>
      </c>
      <c r="Q20" s="1595">
        <v>1263</v>
      </c>
      <c r="R20" s="1592">
        <v>1329</v>
      </c>
      <c r="S20" s="1603">
        <v>1874</v>
      </c>
      <c r="T20" s="1603">
        <v>1563</v>
      </c>
      <c r="U20" s="1595">
        <v>1308</v>
      </c>
      <c r="V20" s="1592">
        <v>1237</v>
      </c>
      <c r="W20" s="1603">
        <v>1267</v>
      </c>
      <c r="X20" s="1603">
        <v>1086</v>
      </c>
      <c r="Y20" s="1595">
        <v>1093</v>
      </c>
      <c r="Z20" s="1592">
        <v>1780</v>
      </c>
      <c r="AA20" s="1603">
        <v>1061</v>
      </c>
      <c r="AB20" s="1603">
        <v>1398</v>
      </c>
      <c r="AC20" s="1595">
        <v>1040</v>
      </c>
      <c r="AD20" s="1592">
        <v>1320</v>
      </c>
      <c r="AE20" s="1595">
        <v>1372</v>
      </c>
      <c r="AF20" s="1595">
        <v>1492</v>
      </c>
      <c r="AG20" s="1595">
        <v>2221</v>
      </c>
      <c r="AH20" s="1592">
        <v>1737</v>
      </c>
      <c r="AI20" s="1595">
        <v>1421</v>
      </c>
      <c r="AJ20" s="1595">
        <v>1310</v>
      </c>
      <c r="AK20" s="1595">
        <v>867</v>
      </c>
      <c r="AL20" s="1592">
        <v>1866</v>
      </c>
      <c r="AM20" s="1595">
        <v>733</v>
      </c>
      <c r="AN20" s="1595">
        <v>930</v>
      </c>
      <c r="AO20" s="1595">
        <v>1056</v>
      </c>
      <c r="AP20" s="1592">
        <v>1141</v>
      </c>
      <c r="AQ20" s="1595">
        <v>736</v>
      </c>
      <c r="AR20" s="1595">
        <v>1106</v>
      </c>
      <c r="AS20" s="1595">
        <v>445</v>
      </c>
      <c r="AT20" s="1592">
        <v>469</v>
      </c>
      <c r="AU20" s="1595">
        <v>514</v>
      </c>
      <c r="AV20" s="1595">
        <v>535</v>
      </c>
      <c r="AW20" s="1595">
        <v>708</v>
      </c>
      <c r="AX20" s="1592">
        <v>937</v>
      </c>
      <c r="AY20" s="1606">
        <v>571</v>
      </c>
      <c r="AZ20" s="1606">
        <v>3275</v>
      </c>
      <c r="BA20" s="1606">
        <v>3194</v>
      </c>
      <c r="BB20" s="1606">
        <v>4019</v>
      </c>
      <c r="BC20" s="1607">
        <v>2619</v>
      </c>
      <c r="BD20" s="1592">
        <v>3158</v>
      </c>
      <c r="BE20" s="1592">
        <v>2228</v>
      </c>
      <c r="BF20" s="1606">
        <v>3188</v>
      </c>
      <c r="BG20" s="1618"/>
      <c r="BH20" s="1595">
        <v>6356</v>
      </c>
      <c r="BI20" s="1595">
        <v>5381</v>
      </c>
      <c r="BJ20" s="1614">
        <v>975</v>
      </c>
      <c r="BK20" s="1536">
        <v>0.18119308678684259</v>
      </c>
      <c r="BL20" s="2456"/>
      <c r="BM20" s="1617">
        <v>6356</v>
      </c>
      <c r="BN20" s="2884">
        <v>5381</v>
      </c>
      <c r="BO20" s="1597">
        <v>5381</v>
      </c>
      <c r="BP20" s="1597">
        <v>5982</v>
      </c>
      <c r="BQ20" s="1413">
        <v>5226</v>
      </c>
      <c r="BR20" s="1413">
        <v>4819</v>
      </c>
      <c r="BS20" s="1413">
        <v>6822</v>
      </c>
      <c r="BT20" s="1413">
        <v>5464</v>
      </c>
      <c r="BU20" s="2015">
        <v>5760</v>
      </c>
      <c r="BV20" s="2015">
        <v>4482</v>
      </c>
      <c r="BW20" s="1503">
        <v>4289</v>
      </c>
      <c r="BX20" s="2079">
        <v>3159</v>
      </c>
      <c r="BY20" s="2079">
        <v>1847</v>
      </c>
      <c r="BZ20" s="2084">
        <v>2414</v>
      </c>
      <c r="CA20" s="2084">
        <v>6699</v>
      </c>
      <c r="CB20" s="2084">
        <v>12517</v>
      </c>
      <c r="CC20" s="1486"/>
    </row>
    <row r="21" spans="1:81" ht="12.75" customHeight="1" x14ac:dyDescent="0.2">
      <c r="A21" s="1532"/>
      <c r="B21" s="1201" t="s">
        <v>715</v>
      </c>
      <c r="C21" s="1533">
        <v>7948</v>
      </c>
      <c r="D21" s="1035">
        <v>0.33006644518272427</v>
      </c>
      <c r="E21" s="2208"/>
      <c r="F21" s="1502">
        <v>32028</v>
      </c>
      <c r="G21" s="2905">
        <v>31154</v>
      </c>
      <c r="H21" s="1595">
        <v>42352</v>
      </c>
      <c r="I21" s="1595">
        <v>36976</v>
      </c>
      <c r="J21" s="1592">
        <v>24080</v>
      </c>
      <c r="K21" s="1603">
        <v>40287</v>
      </c>
      <c r="L21" s="1595">
        <v>40270</v>
      </c>
      <c r="M21" s="1595">
        <v>18054</v>
      </c>
      <c r="N21" s="1592">
        <v>19425</v>
      </c>
      <c r="O21" s="1603"/>
      <c r="P21" s="1603"/>
      <c r="Q21" s="1595"/>
      <c r="R21" s="1592"/>
      <c r="S21" s="1603"/>
      <c r="T21" s="1603"/>
      <c r="U21" s="1595"/>
      <c r="V21" s="1592"/>
      <c r="W21" s="1603"/>
      <c r="X21" s="1603"/>
      <c r="Y21" s="1595"/>
      <c r="Z21" s="1592"/>
      <c r="AA21" s="1603"/>
      <c r="AB21" s="1603"/>
      <c r="AC21" s="1595"/>
      <c r="AD21" s="1592"/>
      <c r="AE21" s="1595"/>
      <c r="AF21" s="1595"/>
      <c r="AG21" s="1595"/>
      <c r="AH21" s="1592"/>
      <c r="AI21" s="1595"/>
      <c r="AJ21" s="1595"/>
      <c r="AK21" s="1595"/>
      <c r="AL21" s="1592"/>
      <c r="AM21" s="1595"/>
      <c r="AN21" s="1595"/>
      <c r="AO21" s="1595"/>
      <c r="AP21" s="1592"/>
      <c r="AQ21" s="1595"/>
      <c r="AR21" s="1595"/>
      <c r="AS21" s="1595"/>
      <c r="AT21" s="1592"/>
      <c r="AU21" s="1595"/>
      <c r="AV21" s="1595"/>
      <c r="AW21" s="1595"/>
      <c r="AX21" s="1592"/>
      <c r="AY21" s="1606"/>
      <c r="AZ21" s="1606"/>
      <c r="BA21" s="1606"/>
      <c r="BB21" s="1606"/>
      <c r="BC21" s="1607"/>
      <c r="BD21" s="1592"/>
      <c r="BE21" s="1592"/>
      <c r="BF21" s="1606"/>
      <c r="BG21" s="1618"/>
      <c r="BH21" s="1595"/>
      <c r="BI21" s="1595"/>
      <c r="BJ21" s="1614"/>
      <c r="BK21" s="1536"/>
      <c r="BL21" s="2456"/>
      <c r="BM21" s="1617">
        <v>134562</v>
      </c>
      <c r="BN21" s="2884">
        <v>118036</v>
      </c>
      <c r="BO21" s="2884">
        <v>85410</v>
      </c>
      <c r="BP21" s="2884">
        <v>74298</v>
      </c>
      <c r="BQ21" s="1413">
        <v>104592</v>
      </c>
      <c r="BR21" s="1413"/>
      <c r="BS21" s="1413"/>
      <c r="BT21" s="1413"/>
      <c r="BU21" s="2015"/>
      <c r="BV21" s="2015"/>
      <c r="BW21" s="1503"/>
      <c r="BX21" s="2079"/>
      <c r="BY21" s="2079"/>
      <c r="BZ21" s="2084"/>
      <c r="CA21" s="2084"/>
      <c r="CB21" s="2084"/>
      <c r="CC21" s="1486"/>
    </row>
    <row r="22" spans="1:81" ht="12.75" customHeight="1" x14ac:dyDescent="0.2">
      <c r="A22" s="1532"/>
      <c r="B22" s="1528" t="s">
        <v>93</v>
      </c>
      <c r="C22" s="1533">
        <v>1241</v>
      </c>
      <c r="D22" s="1035">
        <v>0.39686600575631598</v>
      </c>
      <c r="E22" s="2208"/>
      <c r="F22" s="1502">
        <v>4368</v>
      </c>
      <c r="G22" s="2905">
        <v>2668</v>
      </c>
      <c r="H22" s="1595">
        <v>4992</v>
      </c>
      <c r="I22" s="1595">
        <v>5124</v>
      </c>
      <c r="J22" s="1592">
        <v>3127</v>
      </c>
      <c r="K22" s="1603">
        <v>3365</v>
      </c>
      <c r="L22" s="1603">
        <v>2657</v>
      </c>
      <c r="M22" s="1595">
        <v>2098</v>
      </c>
      <c r="N22" s="1592">
        <v>2723</v>
      </c>
      <c r="O22" s="1603">
        <v>3256</v>
      </c>
      <c r="P22" s="1603">
        <v>2472</v>
      </c>
      <c r="Q22" s="1595">
        <v>2230</v>
      </c>
      <c r="R22" s="1592">
        <v>2666</v>
      </c>
      <c r="S22" s="1603">
        <v>2291</v>
      </c>
      <c r="T22" s="1603">
        <v>2425</v>
      </c>
      <c r="U22" s="1595">
        <v>2572</v>
      </c>
      <c r="V22" s="1592">
        <v>2674</v>
      </c>
      <c r="W22" s="1603">
        <v>3773</v>
      </c>
      <c r="X22" s="1603">
        <v>3824</v>
      </c>
      <c r="Y22" s="1595">
        <v>3787</v>
      </c>
      <c r="Z22" s="1592">
        <v>3756</v>
      </c>
      <c r="AA22" s="1603">
        <v>3482</v>
      </c>
      <c r="AB22" s="1603">
        <v>3496</v>
      </c>
      <c r="AC22" s="1595">
        <v>2839</v>
      </c>
      <c r="AD22" s="1592">
        <v>3201</v>
      </c>
      <c r="AE22" s="1595">
        <v>2802</v>
      </c>
      <c r="AF22" s="1595">
        <v>2737</v>
      </c>
      <c r="AG22" s="1595">
        <v>2309</v>
      </c>
      <c r="AH22" s="1592">
        <v>2984</v>
      </c>
      <c r="AI22" s="1595">
        <v>2748</v>
      </c>
      <c r="AJ22" s="1595">
        <v>3263</v>
      </c>
      <c r="AK22" s="1595">
        <v>3155</v>
      </c>
      <c r="AL22" s="1592">
        <v>4193</v>
      </c>
      <c r="AM22" s="1595">
        <v>2526</v>
      </c>
      <c r="AN22" s="1595">
        <v>2575</v>
      </c>
      <c r="AO22" s="1595">
        <v>2211</v>
      </c>
      <c r="AP22" s="1592">
        <v>1863</v>
      </c>
      <c r="AQ22" s="1595">
        <v>1434</v>
      </c>
      <c r="AR22" s="1595">
        <v>1589</v>
      </c>
      <c r="AS22" s="1595">
        <v>1151</v>
      </c>
      <c r="AT22" s="1592">
        <v>943</v>
      </c>
      <c r="AU22" s="1595">
        <v>993</v>
      </c>
      <c r="AV22" s="1595">
        <v>971</v>
      </c>
      <c r="AW22" s="1595">
        <v>891</v>
      </c>
      <c r="AX22" s="1592">
        <v>781</v>
      </c>
      <c r="AY22" s="1606">
        <v>689</v>
      </c>
      <c r="AZ22" s="1606">
        <v>4655</v>
      </c>
      <c r="BA22" s="1606">
        <v>4906</v>
      </c>
      <c r="BB22" s="1606">
        <v>4441</v>
      </c>
      <c r="BC22" s="1607">
        <v>4178</v>
      </c>
      <c r="BD22" s="1592">
        <v>3700</v>
      </c>
      <c r="BE22" s="1592">
        <v>3796</v>
      </c>
      <c r="BF22" s="1606">
        <v>5308</v>
      </c>
      <c r="BG22" s="1618"/>
      <c r="BH22" s="1595">
        <v>15911</v>
      </c>
      <c r="BI22" s="1595">
        <v>10843</v>
      </c>
      <c r="BJ22" s="1614">
        <v>5068</v>
      </c>
      <c r="BK22" s="1536">
        <v>0.46739832149774047</v>
      </c>
      <c r="BL22" s="2456"/>
      <c r="BM22" s="1617">
        <v>15911</v>
      </c>
      <c r="BN22" s="2884">
        <v>10843</v>
      </c>
      <c r="BO22" s="1597">
        <v>10624</v>
      </c>
      <c r="BP22" s="1597">
        <v>9962</v>
      </c>
      <c r="BQ22" s="1413">
        <v>15140</v>
      </c>
      <c r="BR22" s="1413">
        <v>13018</v>
      </c>
      <c r="BS22" s="1413">
        <v>10832</v>
      </c>
      <c r="BT22" s="1413">
        <v>13359</v>
      </c>
      <c r="BU22" s="2015">
        <v>13928</v>
      </c>
      <c r="BV22" s="2015">
        <v>9367</v>
      </c>
      <c r="BW22" s="1503">
        <v>7303</v>
      </c>
      <c r="BX22" s="2079">
        <v>3032</v>
      </c>
      <c r="BY22" s="2079">
        <v>2191</v>
      </c>
      <c r="BZ22" s="2084">
        <v>2896</v>
      </c>
      <c r="CA22" s="2084">
        <v>1887</v>
      </c>
      <c r="CB22" s="2084">
        <v>3440</v>
      </c>
      <c r="CC22" s="1486"/>
    </row>
    <row r="23" spans="1:81" ht="12.75" customHeight="1" x14ac:dyDescent="0.2">
      <c r="A23" s="1532"/>
      <c r="B23" s="1528" t="s">
        <v>66</v>
      </c>
      <c r="C23" s="1533">
        <v>-659</v>
      </c>
      <c r="D23" s="1035">
        <v>-0.6435546875</v>
      </c>
      <c r="E23" s="2208"/>
      <c r="F23" s="1502">
        <v>365</v>
      </c>
      <c r="G23" s="2905">
        <v>1016</v>
      </c>
      <c r="H23" s="1595">
        <v>1171</v>
      </c>
      <c r="I23" s="1595">
        <v>1066</v>
      </c>
      <c r="J23" s="1592">
        <v>1024</v>
      </c>
      <c r="K23" s="1603">
        <v>1234</v>
      </c>
      <c r="L23" s="1603">
        <v>1085</v>
      </c>
      <c r="M23" s="1595">
        <v>1110</v>
      </c>
      <c r="N23" s="1592">
        <v>1087</v>
      </c>
      <c r="O23" s="1603">
        <v>1119</v>
      </c>
      <c r="P23" s="1603">
        <v>1079</v>
      </c>
      <c r="Q23" s="1595">
        <v>967</v>
      </c>
      <c r="R23" s="1592">
        <v>1090</v>
      </c>
      <c r="S23" s="1603">
        <v>1126</v>
      </c>
      <c r="T23" s="1603">
        <v>1178</v>
      </c>
      <c r="U23" s="1595">
        <v>1112</v>
      </c>
      <c r="V23" s="1592">
        <v>1049</v>
      </c>
      <c r="W23" s="1603">
        <v>1111</v>
      </c>
      <c r="X23" s="1603">
        <v>1164</v>
      </c>
      <c r="Y23" s="1595">
        <v>1168</v>
      </c>
      <c r="Z23" s="1592">
        <v>1087</v>
      </c>
      <c r="AA23" s="1603">
        <v>1119</v>
      </c>
      <c r="AB23" s="1603">
        <v>1119</v>
      </c>
      <c r="AC23" s="1595">
        <v>1108</v>
      </c>
      <c r="AD23" s="1592">
        <v>1078</v>
      </c>
      <c r="AE23" s="1595">
        <v>1221</v>
      </c>
      <c r="AF23" s="1595">
        <v>1117</v>
      </c>
      <c r="AG23" s="1595">
        <v>1196</v>
      </c>
      <c r="AH23" s="1592">
        <v>1263</v>
      </c>
      <c r="AI23" s="1595">
        <v>1300</v>
      </c>
      <c r="AJ23" s="1595">
        <v>1228</v>
      </c>
      <c r="AK23" s="1595">
        <v>1661</v>
      </c>
      <c r="AL23" s="1592">
        <v>852</v>
      </c>
      <c r="AM23" s="1595">
        <v>1191</v>
      </c>
      <c r="AN23" s="1595">
        <v>1338</v>
      </c>
      <c r="AO23" s="1595">
        <v>855</v>
      </c>
      <c r="AP23" s="1592">
        <v>549</v>
      </c>
      <c r="AQ23" s="1595">
        <v>661</v>
      </c>
      <c r="AR23" s="1595">
        <v>671</v>
      </c>
      <c r="AS23" s="1595">
        <v>645</v>
      </c>
      <c r="AT23" s="1592">
        <v>595</v>
      </c>
      <c r="AU23" s="1595">
        <v>667</v>
      </c>
      <c r="AV23" s="1595">
        <v>676</v>
      </c>
      <c r="AW23" s="1595">
        <v>693</v>
      </c>
      <c r="AX23" s="1592">
        <v>690</v>
      </c>
      <c r="AY23" s="1606">
        <v>706</v>
      </c>
      <c r="AZ23" s="1606">
        <v>3011</v>
      </c>
      <c r="BA23" s="1606">
        <v>2910</v>
      </c>
      <c r="BB23" s="1606">
        <v>2613</v>
      </c>
      <c r="BC23" s="1607">
        <v>5054</v>
      </c>
      <c r="BD23" s="1592">
        <v>3183</v>
      </c>
      <c r="BE23" s="1592">
        <v>2884</v>
      </c>
      <c r="BF23" s="1606">
        <v>3008</v>
      </c>
      <c r="BG23" s="1618"/>
      <c r="BH23" s="1595">
        <v>4277</v>
      </c>
      <c r="BI23" s="1595">
        <v>4516</v>
      </c>
      <c r="BJ23" s="1614">
        <v>-239</v>
      </c>
      <c r="BK23" s="1536">
        <v>-5.2922940655447295E-2</v>
      </c>
      <c r="BL23" s="2456"/>
      <c r="BM23" s="1617">
        <v>4277</v>
      </c>
      <c r="BN23" s="2884">
        <v>4516</v>
      </c>
      <c r="BO23" s="1597">
        <v>4255</v>
      </c>
      <c r="BP23" s="1597">
        <v>4465</v>
      </c>
      <c r="BQ23" s="1413">
        <v>4530</v>
      </c>
      <c r="BR23" s="1413">
        <v>4424</v>
      </c>
      <c r="BS23" s="1413">
        <v>4797</v>
      </c>
      <c r="BT23" s="1413">
        <v>5041</v>
      </c>
      <c r="BU23" s="2015">
        <v>4319</v>
      </c>
      <c r="BV23" s="2015">
        <v>3014</v>
      </c>
      <c r="BW23" s="1503">
        <v>3158</v>
      </c>
      <c r="BX23" s="2079">
        <v>2856</v>
      </c>
      <c r="BY23" s="2079">
        <v>3000</v>
      </c>
      <c r="BZ23" s="2084">
        <v>2293</v>
      </c>
      <c r="CA23" s="2084">
        <v>1365</v>
      </c>
      <c r="CB23" s="2084">
        <v>4236</v>
      </c>
      <c r="CC23" s="1486"/>
    </row>
    <row r="24" spans="1:81" ht="12.75" customHeight="1" x14ac:dyDescent="0.2">
      <c r="A24" s="1532"/>
      <c r="B24" s="1528" t="s">
        <v>67</v>
      </c>
      <c r="C24" s="1533">
        <v>665</v>
      </c>
      <c r="D24" s="1035">
        <v>0.38218390804597702</v>
      </c>
      <c r="E24" s="2208"/>
      <c r="F24" s="1502">
        <v>2405</v>
      </c>
      <c r="G24" s="2905">
        <v>2799</v>
      </c>
      <c r="H24" s="1595">
        <v>2931</v>
      </c>
      <c r="I24" s="1595">
        <v>1455</v>
      </c>
      <c r="J24" s="1592">
        <v>1740</v>
      </c>
      <c r="K24" s="1603">
        <v>1776</v>
      </c>
      <c r="L24" s="1603">
        <v>1985</v>
      </c>
      <c r="M24" s="1595">
        <v>2081</v>
      </c>
      <c r="N24" s="1592">
        <v>1588</v>
      </c>
      <c r="O24" s="1603">
        <v>1610</v>
      </c>
      <c r="P24" s="1603">
        <v>1742</v>
      </c>
      <c r="Q24" s="1595">
        <v>1886</v>
      </c>
      <c r="R24" s="1592">
        <v>1395</v>
      </c>
      <c r="S24" s="1603">
        <v>1734</v>
      </c>
      <c r="T24" s="1603">
        <v>1592</v>
      </c>
      <c r="U24" s="1595">
        <v>1606</v>
      </c>
      <c r="V24" s="1592">
        <v>1525</v>
      </c>
      <c r="W24" s="1603">
        <v>1836</v>
      </c>
      <c r="X24" s="1603">
        <v>1581</v>
      </c>
      <c r="Y24" s="1595">
        <v>1758</v>
      </c>
      <c r="Z24" s="1592">
        <v>1254</v>
      </c>
      <c r="AA24" s="1603">
        <v>1483</v>
      </c>
      <c r="AB24" s="1603">
        <v>1709</v>
      </c>
      <c r="AC24" s="1595">
        <v>1632</v>
      </c>
      <c r="AD24" s="1592">
        <v>1422</v>
      </c>
      <c r="AE24" s="1595">
        <v>1553</v>
      </c>
      <c r="AF24" s="1595">
        <v>1583</v>
      </c>
      <c r="AG24" s="1595">
        <v>1305</v>
      </c>
      <c r="AH24" s="1592">
        <v>1477</v>
      </c>
      <c r="AI24" s="1595">
        <v>2254</v>
      </c>
      <c r="AJ24" s="1595">
        <v>1309</v>
      </c>
      <c r="AK24" s="1595">
        <v>1341</v>
      </c>
      <c r="AL24" s="1592">
        <v>1329</v>
      </c>
      <c r="AM24" s="1595">
        <v>977</v>
      </c>
      <c r="AN24" s="1595">
        <v>993</v>
      </c>
      <c r="AO24" s="1595">
        <v>1107</v>
      </c>
      <c r="AP24" s="1592">
        <v>1004</v>
      </c>
      <c r="AQ24" s="1595">
        <v>587</v>
      </c>
      <c r="AR24" s="1595">
        <v>610</v>
      </c>
      <c r="AS24" s="1595">
        <v>573</v>
      </c>
      <c r="AT24" s="1592">
        <v>706</v>
      </c>
      <c r="AU24" s="1595">
        <v>894</v>
      </c>
      <c r="AV24" s="1595">
        <v>1012</v>
      </c>
      <c r="AW24" s="1595">
        <v>1350</v>
      </c>
      <c r="AX24" s="1592">
        <v>1224</v>
      </c>
      <c r="AY24" s="1606">
        <v>1201</v>
      </c>
      <c r="AZ24" s="1606">
        <v>3063</v>
      </c>
      <c r="BA24" s="1606">
        <v>2962</v>
      </c>
      <c r="BB24" s="1606">
        <v>2879</v>
      </c>
      <c r="BC24" s="1607">
        <v>2804</v>
      </c>
      <c r="BD24" s="1592">
        <v>2586</v>
      </c>
      <c r="BE24" s="1592">
        <v>2530</v>
      </c>
      <c r="BF24" s="1606">
        <v>2427</v>
      </c>
      <c r="BG24" s="1618"/>
      <c r="BH24" s="1595">
        <v>8925</v>
      </c>
      <c r="BI24" s="1595">
        <v>7430</v>
      </c>
      <c r="BJ24" s="1614">
        <v>1495</v>
      </c>
      <c r="BK24" s="1536">
        <v>0.20121130551816957</v>
      </c>
      <c r="BL24" s="2456"/>
      <c r="BM24" s="1617">
        <v>8925</v>
      </c>
      <c r="BN24" s="2884">
        <v>7430</v>
      </c>
      <c r="BO24" s="1597">
        <v>6633</v>
      </c>
      <c r="BP24" s="1597">
        <v>6457</v>
      </c>
      <c r="BQ24" s="1413">
        <v>6429</v>
      </c>
      <c r="BR24" s="1413">
        <v>6246</v>
      </c>
      <c r="BS24" s="1413">
        <v>5918</v>
      </c>
      <c r="BT24" s="1413">
        <v>6233</v>
      </c>
      <c r="BU24" s="2015">
        <v>5344</v>
      </c>
      <c r="BV24" s="2015">
        <v>3731</v>
      </c>
      <c r="BW24" s="1503">
        <v>6466</v>
      </c>
      <c r="BX24" s="2079">
        <v>4740</v>
      </c>
      <c r="BY24" s="2079">
        <v>3930</v>
      </c>
      <c r="BZ24" s="2084">
        <v>2980</v>
      </c>
      <c r="CA24" s="2084">
        <v>2274</v>
      </c>
      <c r="CB24" s="2084">
        <v>4205</v>
      </c>
      <c r="CC24" s="1486"/>
    </row>
    <row r="25" spans="1:81" ht="12.75" customHeight="1" x14ac:dyDescent="0.2">
      <c r="A25" s="1532"/>
      <c r="B25" s="1528" t="s">
        <v>62</v>
      </c>
      <c r="C25" s="1533">
        <v>603</v>
      </c>
      <c r="D25" s="1035">
        <v>1.0560420315236427</v>
      </c>
      <c r="E25" s="2208"/>
      <c r="F25" s="1502">
        <v>1174</v>
      </c>
      <c r="G25" s="2905">
        <v>608</v>
      </c>
      <c r="H25" s="1595">
        <v>1189</v>
      </c>
      <c r="I25" s="1595">
        <v>877</v>
      </c>
      <c r="J25" s="1592">
        <v>571</v>
      </c>
      <c r="K25" s="1603">
        <v>671</v>
      </c>
      <c r="L25" s="1603">
        <v>658</v>
      </c>
      <c r="M25" s="1595">
        <v>627</v>
      </c>
      <c r="N25" s="1592">
        <v>541</v>
      </c>
      <c r="O25" s="1603">
        <v>638</v>
      </c>
      <c r="P25" s="1603">
        <v>441</v>
      </c>
      <c r="Q25" s="1595">
        <v>608</v>
      </c>
      <c r="R25" s="1592">
        <v>659</v>
      </c>
      <c r="S25" s="1603">
        <v>508</v>
      </c>
      <c r="T25" s="1603">
        <v>652</v>
      </c>
      <c r="U25" s="1595">
        <v>694</v>
      </c>
      <c r="V25" s="1592">
        <v>1207</v>
      </c>
      <c r="W25" s="1603">
        <v>1305</v>
      </c>
      <c r="X25" s="1603">
        <v>1755</v>
      </c>
      <c r="Y25" s="1595">
        <v>1303</v>
      </c>
      <c r="Z25" s="1592">
        <v>1453</v>
      </c>
      <c r="AA25" s="1603">
        <v>1586</v>
      </c>
      <c r="AB25" s="1603">
        <v>1678</v>
      </c>
      <c r="AC25" s="1595">
        <v>2042</v>
      </c>
      <c r="AD25" s="1592">
        <v>1957</v>
      </c>
      <c r="AE25" s="1595">
        <v>1676</v>
      </c>
      <c r="AF25" s="1595">
        <v>2282</v>
      </c>
      <c r="AG25" s="1595">
        <v>1441</v>
      </c>
      <c r="AH25" s="1592">
        <v>2552</v>
      </c>
      <c r="AI25" s="1595">
        <v>2405</v>
      </c>
      <c r="AJ25" s="1595">
        <v>1861</v>
      </c>
      <c r="AK25" s="1595">
        <v>1440</v>
      </c>
      <c r="AL25" s="1592">
        <v>1878</v>
      </c>
      <c r="AM25" s="1595">
        <v>8</v>
      </c>
      <c r="AN25" s="1595">
        <v>3</v>
      </c>
      <c r="AO25" s="1595">
        <v>3</v>
      </c>
      <c r="AP25" s="1592">
        <v>33</v>
      </c>
      <c r="AQ25" s="1595">
        <v>3</v>
      </c>
      <c r="AR25" s="1595">
        <v>2</v>
      </c>
      <c r="AS25" s="1595">
        <v>2</v>
      </c>
      <c r="AT25" s="1592">
        <v>5</v>
      </c>
      <c r="AU25" s="1595">
        <v>21</v>
      </c>
      <c r="AV25" s="1595">
        <v>72</v>
      </c>
      <c r="AW25" s="1595">
        <v>94</v>
      </c>
      <c r="AX25" s="1592">
        <v>126</v>
      </c>
      <c r="AY25" s="1606">
        <v>153</v>
      </c>
      <c r="AZ25" s="1606">
        <v>738</v>
      </c>
      <c r="BA25" s="1606">
        <v>353</v>
      </c>
      <c r="BB25" s="1606">
        <v>594</v>
      </c>
      <c r="BC25" s="1607">
        <v>617</v>
      </c>
      <c r="BD25" s="1592">
        <v>520</v>
      </c>
      <c r="BE25" s="1592">
        <v>889</v>
      </c>
      <c r="BF25" s="1606">
        <v>691</v>
      </c>
      <c r="BG25" s="1618"/>
      <c r="BH25" s="1595">
        <v>3245</v>
      </c>
      <c r="BI25" s="1595">
        <v>2497</v>
      </c>
      <c r="BJ25" s="1614">
        <v>748</v>
      </c>
      <c r="BK25" s="1536">
        <v>0.29955947136563876</v>
      </c>
      <c r="BL25" s="2456"/>
      <c r="BM25" s="1617">
        <v>3245</v>
      </c>
      <c r="BN25" s="2884">
        <v>2497</v>
      </c>
      <c r="BO25" s="1597">
        <v>2346</v>
      </c>
      <c r="BP25" s="1597">
        <v>3061</v>
      </c>
      <c r="BQ25" s="1413">
        <v>5816</v>
      </c>
      <c r="BR25" s="1413">
        <v>7263</v>
      </c>
      <c r="BS25" s="1413">
        <v>7951</v>
      </c>
      <c r="BT25" s="1413">
        <v>7584</v>
      </c>
      <c r="BU25" s="2015">
        <v>5684</v>
      </c>
      <c r="BV25" s="2015">
        <v>435</v>
      </c>
      <c r="BW25" s="1503">
        <v>949</v>
      </c>
      <c r="BX25" s="2079">
        <v>602</v>
      </c>
      <c r="BY25" s="2079">
        <v>551</v>
      </c>
      <c r="BZ25" s="2084">
        <v>175</v>
      </c>
      <c r="CA25" s="2084">
        <v>114</v>
      </c>
      <c r="CB25" s="2084">
        <v>35</v>
      </c>
      <c r="CC25" s="1486"/>
    </row>
    <row r="26" spans="1:81" ht="12.75" customHeight="1" x14ac:dyDescent="0.2">
      <c r="A26" s="1532"/>
      <c r="B26" s="1528" t="s">
        <v>68</v>
      </c>
      <c r="C26" s="1533">
        <v>5140</v>
      </c>
      <c r="D26" s="1035">
        <v>1.3990201415351116</v>
      </c>
      <c r="E26" s="2208"/>
      <c r="F26" s="1502">
        <v>8814</v>
      </c>
      <c r="G26" s="2905">
        <v>5339</v>
      </c>
      <c r="H26" s="1595">
        <v>4740</v>
      </c>
      <c r="I26" s="1595">
        <v>3627</v>
      </c>
      <c r="J26" s="1592">
        <v>3674</v>
      </c>
      <c r="K26" s="1603">
        <v>6530</v>
      </c>
      <c r="L26" s="1603">
        <v>4359</v>
      </c>
      <c r="M26" s="1595">
        <v>3127</v>
      </c>
      <c r="N26" s="1592">
        <v>2704</v>
      </c>
      <c r="O26" s="1603">
        <v>439</v>
      </c>
      <c r="P26" s="1603">
        <v>2362</v>
      </c>
      <c r="Q26" s="1595">
        <v>2932</v>
      </c>
      <c r="R26" s="1592">
        <v>2562</v>
      </c>
      <c r="S26" s="1603">
        <v>1404</v>
      </c>
      <c r="T26" s="1603">
        <v>2685</v>
      </c>
      <c r="U26" s="1595">
        <v>2157</v>
      </c>
      <c r="V26" s="1592">
        <v>2829</v>
      </c>
      <c r="W26" s="1603">
        <v>1959</v>
      </c>
      <c r="X26" s="1603">
        <v>3435</v>
      </c>
      <c r="Y26" s="1595">
        <v>2993</v>
      </c>
      <c r="Z26" s="1592">
        <v>3397</v>
      </c>
      <c r="AA26" s="1603">
        <v>1440</v>
      </c>
      <c r="AB26" s="1603">
        <v>2466</v>
      </c>
      <c r="AC26" s="1595">
        <v>2827</v>
      </c>
      <c r="AD26" s="1592">
        <v>1612</v>
      </c>
      <c r="AE26" s="1595">
        <v>1696</v>
      </c>
      <c r="AF26" s="1595">
        <v>2998</v>
      </c>
      <c r="AG26" s="1595">
        <v>4496</v>
      </c>
      <c r="AH26" s="1592">
        <v>3008</v>
      </c>
      <c r="AI26" s="1595">
        <v>3819</v>
      </c>
      <c r="AJ26" s="1595">
        <v>2995</v>
      </c>
      <c r="AK26" s="1595">
        <v>5330</v>
      </c>
      <c r="AL26" s="1592">
        <v>3753</v>
      </c>
      <c r="AM26" s="1595">
        <v>3862</v>
      </c>
      <c r="AN26" s="1595">
        <v>4390</v>
      </c>
      <c r="AO26" s="1595">
        <v>3806</v>
      </c>
      <c r="AP26" s="1592">
        <v>3275</v>
      </c>
      <c r="AQ26" s="1595">
        <v>1553</v>
      </c>
      <c r="AR26" s="1595">
        <v>1777</v>
      </c>
      <c r="AS26" s="1595">
        <v>1251</v>
      </c>
      <c r="AT26" s="1592">
        <v>1408</v>
      </c>
      <c r="AU26" s="1595">
        <v>-532</v>
      </c>
      <c r="AV26" s="1595">
        <v>1655</v>
      </c>
      <c r="AW26" s="1595">
        <v>2880</v>
      </c>
      <c r="AX26" s="1592">
        <v>4020</v>
      </c>
      <c r="AY26" s="1606">
        <v>3405</v>
      </c>
      <c r="AZ26" s="1606">
        <v>8753</v>
      </c>
      <c r="BA26" s="1606">
        <v>9885</v>
      </c>
      <c r="BB26" s="1606">
        <v>10397</v>
      </c>
      <c r="BC26" s="1607">
        <v>10292</v>
      </c>
      <c r="BD26" s="1592">
        <v>7376</v>
      </c>
      <c r="BE26" s="1592">
        <v>8470</v>
      </c>
      <c r="BF26" s="1606">
        <v>8715</v>
      </c>
      <c r="BG26" s="1618"/>
      <c r="BH26" s="1595">
        <v>17380</v>
      </c>
      <c r="BI26" s="1595">
        <v>16720</v>
      </c>
      <c r="BJ26" s="1614">
        <v>660</v>
      </c>
      <c r="BK26" s="1536">
        <v>3.9473684210526314E-2</v>
      </c>
      <c r="BL26" s="2456"/>
      <c r="BM26" s="1617">
        <v>17380</v>
      </c>
      <c r="BN26" s="2884">
        <v>16720</v>
      </c>
      <c r="BO26" s="1597">
        <v>8295</v>
      </c>
      <c r="BP26" s="1597">
        <v>9075</v>
      </c>
      <c r="BQ26" s="1413">
        <v>11784</v>
      </c>
      <c r="BR26" s="1413">
        <v>8345</v>
      </c>
      <c r="BS26" s="1413">
        <v>12198</v>
      </c>
      <c r="BT26" s="1413">
        <v>15897</v>
      </c>
      <c r="BU26" s="2015">
        <v>15959</v>
      </c>
      <c r="BV26" s="2015">
        <v>6369</v>
      </c>
      <c r="BW26" s="1503">
        <v>9497</v>
      </c>
      <c r="BX26" s="2079">
        <v>14790</v>
      </c>
      <c r="BY26" s="2079">
        <v>12437</v>
      </c>
      <c r="BZ26" s="2084">
        <v>11037</v>
      </c>
      <c r="CA26" s="2084">
        <v>6277</v>
      </c>
      <c r="CB26" s="2084">
        <v>7632</v>
      </c>
      <c r="CC26" s="1486"/>
    </row>
    <row r="27" spans="1:81" ht="12.75" customHeight="1" x14ac:dyDescent="0.2">
      <c r="A27" s="1532"/>
      <c r="B27" s="1528" t="s">
        <v>69</v>
      </c>
      <c r="C27" s="1533">
        <v>-252</v>
      </c>
      <c r="D27" s="1035">
        <v>-0.26554267650158059</v>
      </c>
      <c r="E27" s="2855"/>
      <c r="F27" s="1502">
        <v>697</v>
      </c>
      <c r="G27" s="2905">
        <v>691</v>
      </c>
      <c r="H27" s="1595">
        <v>739</v>
      </c>
      <c r="I27" s="1595">
        <v>935</v>
      </c>
      <c r="J27" s="1592">
        <v>949</v>
      </c>
      <c r="K27" s="1603">
        <v>943</v>
      </c>
      <c r="L27" s="1009">
        <v>945</v>
      </c>
      <c r="M27" s="1595">
        <v>923</v>
      </c>
      <c r="N27" s="1592">
        <v>853</v>
      </c>
      <c r="O27" s="1603">
        <v>840</v>
      </c>
      <c r="P27" s="1009">
        <v>830</v>
      </c>
      <c r="Q27" s="1595">
        <v>830</v>
      </c>
      <c r="R27" s="1592">
        <v>830</v>
      </c>
      <c r="S27" s="1603">
        <v>837</v>
      </c>
      <c r="T27" s="1009">
        <v>842</v>
      </c>
      <c r="U27" s="1595">
        <v>842</v>
      </c>
      <c r="V27" s="1592">
        <v>928</v>
      </c>
      <c r="W27" s="1603">
        <v>1298</v>
      </c>
      <c r="X27" s="1009">
        <v>1331</v>
      </c>
      <c r="Y27" s="1595">
        <v>1345</v>
      </c>
      <c r="Z27" s="1592">
        <v>1341</v>
      </c>
      <c r="AA27" s="1603">
        <v>1322</v>
      </c>
      <c r="AB27" s="1009">
        <v>1345</v>
      </c>
      <c r="AC27" s="1595">
        <v>1328</v>
      </c>
      <c r="AD27" s="1592">
        <v>1322</v>
      </c>
      <c r="AE27" s="1595">
        <v>1485</v>
      </c>
      <c r="AF27" s="1595">
        <v>1403</v>
      </c>
      <c r="AG27" s="1595">
        <v>1401</v>
      </c>
      <c r="AH27" s="1592">
        <v>1400</v>
      </c>
      <c r="AI27" s="1595">
        <v>1522</v>
      </c>
      <c r="AJ27" s="1595">
        <v>1400</v>
      </c>
      <c r="AK27" s="1595">
        <v>1417</v>
      </c>
      <c r="AL27" s="1592">
        <v>1219</v>
      </c>
      <c r="AM27" s="1595">
        <v>1199</v>
      </c>
      <c r="AN27" s="1595">
        <v>1232</v>
      </c>
      <c r="AO27" s="1595">
        <v>2158</v>
      </c>
      <c r="AP27" s="1592">
        <v>1735</v>
      </c>
      <c r="AQ27" s="1595">
        <v>186</v>
      </c>
      <c r="AR27" s="1595">
        <v>183</v>
      </c>
      <c r="AS27" s="1595">
        <v>182</v>
      </c>
      <c r="AT27" s="1592">
        <v>189</v>
      </c>
      <c r="AU27" s="1595">
        <v>228</v>
      </c>
      <c r="AV27" s="1595">
        <v>732</v>
      </c>
      <c r="AW27" s="1595">
        <v>193</v>
      </c>
      <c r="AX27" s="1592">
        <v>191</v>
      </c>
      <c r="AY27" s="1606">
        <v>220</v>
      </c>
      <c r="AZ27" s="1606">
        <v>984</v>
      </c>
      <c r="BA27" s="1606">
        <v>985</v>
      </c>
      <c r="BB27" s="1606">
        <v>911</v>
      </c>
      <c r="BC27" s="1607">
        <v>895</v>
      </c>
      <c r="BD27" s="1592">
        <v>785</v>
      </c>
      <c r="BE27" s="1592">
        <v>1291</v>
      </c>
      <c r="BF27" s="1606">
        <v>950</v>
      </c>
      <c r="BG27" s="1618"/>
      <c r="BH27" s="1595">
        <v>3314</v>
      </c>
      <c r="BI27" s="1595">
        <v>3664</v>
      </c>
      <c r="BJ27" s="1614">
        <v>-350</v>
      </c>
      <c r="BK27" s="1536">
        <v>-9.5524017467248909E-2</v>
      </c>
      <c r="BL27" s="2456"/>
      <c r="BM27" s="1617">
        <v>3314</v>
      </c>
      <c r="BN27" s="2884">
        <v>3664</v>
      </c>
      <c r="BO27" s="1597">
        <v>3330</v>
      </c>
      <c r="BP27" s="1597">
        <v>3449</v>
      </c>
      <c r="BQ27" s="1413">
        <v>5315</v>
      </c>
      <c r="BR27" s="1413">
        <v>5317</v>
      </c>
      <c r="BS27" s="1413">
        <v>5689</v>
      </c>
      <c r="BT27" s="1413">
        <v>5558</v>
      </c>
      <c r="BU27" s="2015">
        <v>6461</v>
      </c>
      <c r="BV27" s="2015">
        <v>907</v>
      </c>
      <c r="BW27" s="1503">
        <v>1492</v>
      </c>
      <c r="BX27" s="2079">
        <v>804</v>
      </c>
      <c r="BY27" s="2079">
        <v>1063</v>
      </c>
      <c r="BZ27" s="2084">
        <v>893</v>
      </c>
      <c r="CA27" s="2084">
        <v>470</v>
      </c>
      <c r="CB27" s="2084">
        <v>1291</v>
      </c>
      <c r="CC27" s="1486"/>
    </row>
    <row r="28" spans="1:81" ht="12.75" customHeight="1" x14ac:dyDescent="0.2">
      <c r="A28" s="1532"/>
      <c r="B28" s="1528" t="s">
        <v>684</v>
      </c>
      <c r="C28" s="1533">
        <v>453</v>
      </c>
      <c r="D28" s="1035" t="s">
        <v>41</v>
      </c>
      <c r="E28" s="2855"/>
      <c r="F28" s="1502">
        <v>453</v>
      </c>
      <c r="G28" s="2972">
        <v>0</v>
      </c>
      <c r="H28" s="1595">
        <v>0</v>
      </c>
      <c r="I28" s="1595">
        <v>0</v>
      </c>
      <c r="J28" s="1616">
        <v>0</v>
      </c>
      <c r="K28" s="2972">
        <v>0</v>
      </c>
      <c r="L28" s="1595">
        <v>0</v>
      </c>
      <c r="M28" s="1595">
        <v>0</v>
      </c>
      <c r="N28" s="1616">
        <v>0</v>
      </c>
      <c r="O28" s="1603"/>
      <c r="P28" s="1009"/>
      <c r="Q28" s="1595"/>
      <c r="R28" s="1592"/>
      <c r="S28" s="1603"/>
      <c r="T28" s="1009"/>
      <c r="U28" s="1595"/>
      <c r="V28" s="1592"/>
      <c r="W28" s="1603"/>
      <c r="X28" s="1009"/>
      <c r="Y28" s="1595"/>
      <c r="Z28" s="1592"/>
      <c r="AA28" s="1603"/>
      <c r="AB28" s="1009"/>
      <c r="AC28" s="1595"/>
      <c r="AD28" s="1592"/>
      <c r="AE28" s="1595"/>
      <c r="AF28" s="1595"/>
      <c r="AG28" s="1595"/>
      <c r="AH28" s="1592"/>
      <c r="AI28" s="1595"/>
      <c r="AJ28" s="1595"/>
      <c r="AK28" s="1595"/>
      <c r="AL28" s="1592"/>
      <c r="AM28" s="1595"/>
      <c r="AN28" s="1595"/>
      <c r="AO28" s="1595"/>
      <c r="AP28" s="1592"/>
      <c r="AQ28" s="1595"/>
      <c r="AR28" s="1595"/>
      <c r="AS28" s="1595"/>
      <c r="AT28" s="1592"/>
      <c r="AU28" s="1595"/>
      <c r="AV28" s="1595"/>
      <c r="AW28" s="1595"/>
      <c r="AX28" s="1592"/>
      <c r="AY28" s="1606"/>
      <c r="AZ28" s="1606"/>
      <c r="BA28" s="1606"/>
      <c r="BB28" s="1606"/>
      <c r="BC28" s="1607"/>
      <c r="BD28" s="1592"/>
      <c r="BE28" s="1592"/>
      <c r="BF28" s="1606"/>
      <c r="BG28" s="1618"/>
      <c r="BH28" s="1595"/>
      <c r="BI28" s="1595"/>
      <c r="BJ28" s="1614"/>
      <c r="BK28" s="1536"/>
      <c r="BL28" s="2456"/>
      <c r="BM28" s="1617">
        <v>0</v>
      </c>
      <c r="BN28" s="2884">
        <v>0</v>
      </c>
      <c r="BO28" s="1597">
        <v>0</v>
      </c>
      <c r="BP28" s="1597">
        <v>0</v>
      </c>
      <c r="BQ28" s="1413">
        <v>0</v>
      </c>
      <c r="BR28" s="1413"/>
      <c r="BS28" s="1413"/>
      <c r="BT28" s="1413"/>
      <c r="BU28" s="2015"/>
      <c r="BV28" s="2015"/>
      <c r="BW28" s="1503"/>
      <c r="BX28" s="2079"/>
      <c r="BY28" s="2079"/>
      <c r="BZ28" s="2084"/>
      <c r="CA28" s="2084"/>
      <c r="CB28" s="2084"/>
      <c r="CC28" s="1486"/>
    </row>
    <row r="29" spans="1:81" ht="12.75" customHeight="1" x14ac:dyDescent="0.2">
      <c r="A29" s="1528"/>
      <c r="B29" s="1528" t="s">
        <v>70</v>
      </c>
      <c r="C29" s="1533">
        <v>-6</v>
      </c>
      <c r="D29" s="1035">
        <v>-0.8571428571428571</v>
      </c>
      <c r="E29" s="2208"/>
      <c r="F29" s="1502">
        <v>1</v>
      </c>
      <c r="G29" s="2905">
        <v>12</v>
      </c>
      <c r="H29" s="1595">
        <v>26</v>
      </c>
      <c r="I29" s="1595">
        <v>27</v>
      </c>
      <c r="J29" s="1592">
        <v>7</v>
      </c>
      <c r="K29" s="1603">
        <v>109</v>
      </c>
      <c r="L29" s="1009">
        <v>15</v>
      </c>
      <c r="M29" s="1595">
        <v>48</v>
      </c>
      <c r="N29" s="1592">
        <v>33</v>
      </c>
      <c r="O29" s="1603">
        <v>45</v>
      </c>
      <c r="P29" s="1009">
        <v>145</v>
      </c>
      <c r="Q29" s="1595">
        <v>55</v>
      </c>
      <c r="R29" s="1592">
        <v>-7</v>
      </c>
      <c r="S29" s="1603">
        <v>1686</v>
      </c>
      <c r="T29" s="1009">
        <v>40</v>
      </c>
      <c r="U29" s="1595">
        <v>68</v>
      </c>
      <c r="V29" s="1592">
        <v>50</v>
      </c>
      <c r="W29" s="1603">
        <v>53</v>
      </c>
      <c r="X29" s="1009">
        <v>71</v>
      </c>
      <c r="Y29" s="1595">
        <v>88</v>
      </c>
      <c r="Z29" s="1592">
        <v>118</v>
      </c>
      <c r="AA29" s="1603">
        <v>92</v>
      </c>
      <c r="AB29" s="1009">
        <v>125</v>
      </c>
      <c r="AC29" s="1595">
        <v>195</v>
      </c>
      <c r="AD29" s="1592">
        <v>142</v>
      </c>
      <c r="AE29" s="1595">
        <v>177</v>
      </c>
      <c r="AF29" s="1595">
        <v>206</v>
      </c>
      <c r="AG29" s="1595">
        <v>1037</v>
      </c>
      <c r="AH29" s="1592">
        <v>121</v>
      </c>
      <c r="AI29" s="1595">
        <v>34</v>
      </c>
      <c r="AJ29" s="1595">
        <v>-103</v>
      </c>
      <c r="AK29" s="1595">
        <v>275</v>
      </c>
      <c r="AL29" s="1592">
        <v>690</v>
      </c>
      <c r="AM29" s="1595">
        <v>472</v>
      </c>
      <c r="AN29" s="1595">
        <v>550</v>
      </c>
      <c r="AO29" s="1595">
        <v>709</v>
      </c>
      <c r="AP29" s="1592">
        <v>1042</v>
      </c>
      <c r="AQ29" s="1595">
        <v>608</v>
      </c>
      <c r="AR29" s="1595">
        <v>1167</v>
      </c>
      <c r="AS29" s="1595">
        <v>272</v>
      </c>
      <c r="AT29" s="1592">
        <v>657</v>
      </c>
      <c r="AU29" s="1595">
        <v>605</v>
      </c>
      <c r="AV29" s="1595">
        <v>643</v>
      </c>
      <c r="AW29" s="1595">
        <v>602</v>
      </c>
      <c r="AX29" s="1592">
        <v>517</v>
      </c>
      <c r="AY29" s="1606">
        <v>692</v>
      </c>
      <c r="AZ29" s="1606">
        <v>3936</v>
      </c>
      <c r="BA29" s="1606">
        <v>5582</v>
      </c>
      <c r="BB29" s="1606">
        <v>4292</v>
      </c>
      <c r="BC29" s="1607">
        <v>3663</v>
      </c>
      <c r="BD29" s="1592">
        <v>2463</v>
      </c>
      <c r="BE29" s="1592">
        <v>3310</v>
      </c>
      <c r="BF29" s="1606">
        <v>1287</v>
      </c>
      <c r="BG29" s="1618"/>
      <c r="BH29" s="1595">
        <v>72</v>
      </c>
      <c r="BI29" s="1595">
        <v>205</v>
      </c>
      <c r="BJ29" s="1614">
        <v>-133</v>
      </c>
      <c r="BK29" s="1536">
        <v>-0.64878048780487807</v>
      </c>
      <c r="BL29" s="2456"/>
      <c r="BM29" s="1617">
        <v>72</v>
      </c>
      <c r="BN29" s="2884">
        <v>205</v>
      </c>
      <c r="BO29" s="1597">
        <v>238</v>
      </c>
      <c r="BP29" s="1597">
        <v>1844</v>
      </c>
      <c r="BQ29" s="1413">
        <v>330</v>
      </c>
      <c r="BR29" s="1413">
        <v>554</v>
      </c>
      <c r="BS29" s="1413">
        <v>1541</v>
      </c>
      <c r="BT29" s="1413">
        <v>896</v>
      </c>
      <c r="BU29" s="2015">
        <v>3004</v>
      </c>
      <c r="BV29" s="2015">
        <v>3213</v>
      </c>
      <c r="BW29" s="1503">
        <v>2422</v>
      </c>
      <c r="BX29" s="2079">
        <v>2174</v>
      </c>
      <c r="BY29" s="2079">
        <v>1510</v>
      </c>
      <c r="BZ29" s="2084">
        <v>538</v>
      </c>
      <c r="CA29" s="2084">
        <v>590</v>
      </c>
      <c r="CB29" s="2084">
        <v>836</v>
      </c>
      <c r="CC29" s="1486"/>
    </row>
    <row r="30" spans="1:81" ht="12.6" customHeight="1" x14ac:dyDescent="0.2">
      <c r="A30" s="1528"/>
      <c r="B30" s="1528" t="s">
        <v>164</v>
      </c>
      <c r="C30" s="1533">
        <v>0</v>
      </c>
      <c r="D30" s="1035">
        <v>0</v>
      </c>
      <c r="E30" s="2208"/>
      <c r="F30" s="1961">
        <v>0</v>
      </c>
      <c r="G30" s="2972">
        <v>0</v>
      </c>
      <c r="H30" s="1595">
        <v>0</v>
      </c>
      <c r="I30" s="1595">
        <v>0</v>
      </c>
      <c r="J30" s="1616">
        <v>0</v>
      </c>
      <c r="K30" s="1009">
        <v>0</v>
      </c>
      <c r="L30" s="1009">
        <v>0</v>
      </c>
      <c r="M30" s="1417">
        <v>2366</v>
      </c>
      <c r="N30" s="1616">
        <v>0</v>
      </c>
      <c r="O30" s="1009">
        <v>0</v>
      </c>
      <c r="P30" s="1009">
        <v>0</v>
      </c>
      <c r="Q30" s="1417">
        <v>0</v>
      </c>
      <c r="R30" s="1616">
        <v>0</v>
      </c>
      <c r="S30" s="1009">
        <v>3427</v>
      </c>
      <c r="T30" s="1009">
        <v>0</v>
      </c>
      <c r="U30" s="1417">
        <v>0</v>
      </c>
      <c r="V30" s="1616">
        <v>0</v>
      </c>
      <c r="W30" s="1009">
        <v>4006</v>
      </c>
      <c r="X30" s="1009">
        <v>0</v>
      </c>
      <c r="Y30" s="1417">
        <v>0</v>
      </c>
      <c r="Z30" s="1616">
        <v>0</v>
      </c>
      <c r="AA30" s="1009">
        <v>0</v>
      </c>
      <c r="AB30" s="1009">
        <v>0</v>
      </c>
      <c r="AC30" s="1417">
        <v>4179</v>
      </c>
      <c r="AD30" s="1616">
        <v>0</v>
      </c>
      <c r="AE30" s="1417">
        <v>0</v>
      </c>
      <c r="AF30" s="1417">
        <v>0</v>
      </c>
      <c r="AG30" s="1417">
        <v>575</v>
      </c>
      <c r="AH30" s="1616">
        <v>0</v>
      </c>
      <c r="AI30" s="1417">
        <v>6979</v>
      </c>
      <c r="AJ30" s="1417">
        <v>884</v>
      </c>
      <c r="AK30" s="1615">
        <v>0</v>
      </c>
      <c r="AL30" s="1616">
        <v>-343</v>
      </c>
      <c r="AM30" s="1417">
        <v>0</v>
      </c>
      <c r="AN30" s="1417">
        <v>0</v>
      </c>
      <c r="AO30" s="1615">
        <v>0</v>
      </c>
      <c r="AP30" s="1616">
        <v>0</v>
      </c>
      <c r="AQ30" s="1595">
        <v>0</v>
      </c>
      <c r="AR30" s="1615">
        <v>0</v>
      </c>
      <c r="AS30" s="1615">
        <v>0</v>
      </c>
      <c r="AT30" s="1616">
        <v>0</v>
      </c>
      <c r="AU30" s="1615">
        <v>22</v>
      </c>
      <c r="AV30" s="1615">
        <v>5010</v>
      </c>
      <c r="AW30" s="1615">
        <v>0</v>
      </c>
      <c r="AX30" s="1592">
        <v>0</v>
      </c>
      <c r="AY30" s="1606">
        <v>0</v>
      </c>
      <c r="AZ30" s="1606">
        <v>0</v>
      </c>
      <c r="BA30" s="1606">
        <v>0</v>
      </c>
      <c r="BB30" s="1606">
        <v>0</v>
      </c>
      <c r="BC30" s="1607">
        <v>0</v>
      </c>
      <c r="BD30" s="1592">
        <v>0</v>
      </c>
      <c r="BE30" s="1592"/>
      <c r="BF30" s="1606"/>
      <c r="BG30" s="1617"/>
      <c r="BH30" s="1595">
        <v>0</v>
      </c>
      <c r="BI30" s="1595">
        <v>2366</v>
      </c>
      <c r="BJ30" s="1614">
        <v>-2366</v>
      </c>
      <c r="BK30" s="1536">
        <v>-1</v>
      </c>
      <c r="BL30" s="2461"/>
      <c r="BM30" s="1617">
        <v>0</v>
      </c>
      <c r="BN30" s="2884">
        <v>2366</v>
      </c>
      <c r="BO30" s="1917">
        <v>0</v>
      </c>
      <c r="BP30" s="1597">
        <v>3427</v>
      </c>
      <c r="BQ30" s="1413">
        <v>4006</v>
      </c>
      <c r="BR30" s="1413">
        <v>4179</v>
      </c>
      <c r="BS30" s="1413">
        <v>575</v>
      </c>
      <c r="BT30" s="1413">
        <v>7863</v>
      </c>
      <c r="BU30" s="2089">
        <v>0</v>
      </c>
      <c r="BV30" s="2089">
        <v>0</v>
      </c>
      <c r="BW30" s="1503">
        <v>4697</v>
      </c>
      <c r="BX30" s="2462">
        <v>0</v>
      </c>
      <c r="BY30" s="2462">
        <v>0</v>
      </c>
      <c r="BZ30" s="2091">
        <v>0</v>
      </c>
      <c r="CA30" s="2084">
        <v>0</v>
      </c>
      <c r="CB30" s="2084">
        <v>0</v>
      </c>
      <c r="CC30" s="1486"/>
    </row>
    <row r="31" spans="1:81" ht="12.75" customHeight="1" x14ac:dyDescent="0.2">
      <c r="A31" s="1528"/>
      <c r="B31" s="1528" t="s">
        <v>185</v>
      </c>
      <c r="C31" s="1533">
        <v>-1173</v>
      </c>
      <c r="D31" s="1035">
        <v>-1</v>
      </c>
      <c r="E31" s="2208"/>
      <c r="F31" s="1961">
        <v>0</v>
      </c>
      <c r="G31" s="2035">
        <v>0</v>
      </c>
      <c r="H31" s="1595">
        <v>0</v>
      </c>
      <c r="I31" s="1595">
        <v>0</v>
      </c>
      <c r="J31" s="1616">
        <v>1173</v>
      </c>
      <c r="K31" s="1009">
        <v>0</v>
      </c>
      <c r="L31" s="1009">
        <v>0</v>
      </c>
      <c r="M31" s="1417">
        <v>0</v>
      </c>
      <c r="N31" s="1616">
        <v>0</v>
      </c>
      <c r="O31" s="1009">
        <v>0</v>
      </c>
      <c r="P31" s="1009">
        <v>0</v>
      </c>
      <c r="Q31" s="1417">
        <v>0</v>
      </c>
      <c r="R31" s="1616">
        <v>0</v>
      </c>
      <c r="S31" s="1009">
        <v>0</v>
      </c>
      <c r="T31" s="1009">
        <v>0</v>
      </c>
      <c r="U31" s="1417">
        <v>0</v>
      </c>
      <c r="V31" s="1616">
        <v>0</v>
      </c>
      <c r="W31" s="1009">
        <v>0</v>
      </c>
      <c r="X31" s="1009">
        <v>0</v>
      </c>
      <c r="Y31" s="1417">
        <v>0</v>
      </c>
      <c r="Z31" s="1616">
        <v>0</v>
      </c>
      <c r="AA31" s="1009">
        <v>0</v>
      </c>
      <c r="AB31" s="1009">
        <v>0</v>
      </c>
      <c r="AC31" s="1417">
        <v>0</v>
      </c>
      <c r="AD31" s="1616">
        <v>0</v>
      </c>
      <c r="AE31" s="1417">
        <v>0</v>
      </c>
      <c r="AF31" s="1417">
        <v>0</v>
      </c>
      <c r="AG31" s="1417">
        <v>388</v>
      </c>
      <c r="AH31" s="1616">
        <v>0</v>
      </c>
      <c r="AI31" s="1417">
        <v>0</v>
      </c>
      <c r="AJ31" s="1417">
        <v>2290</v>
      </c>
      <c r="AK31" s="1615">
        <v>1443</v>
      </c>
      <c r="AL31" s="1616">
        <v>-23244</v>
      </c>
      <c r="AM31" s="1417">
        <v>0</v>
      </c>
      <c r="AN31" s="1417">
        <v>1750</v>
      </c>
      <c r="AO31" s="1615">
        <v>0</v>
      </c>
      <c r="AP31" s="1616">
        <v>10990</v>
      </c>
      <c r="AQ31" s="1595">
        <v>5000</v>
      </c>
      <c r="AR31" s="1615">
        <v>0</v>
      </c>
      <c r="AS31" s="1615">
        <v>0</v>
      </c>
      <c r="AT31" s="1616">
        <v>0</v>
      </c>
      <c r="AU31" s="1615">
        <v>0</v>
      </c>
      <c r="AV31" s="1615">
        <v>0</v>
      </c>
      <c r="AW31" s="1615">
        <v>0</v>
      </c>
      <c r="AX31" s="1592">
        <v>0</v>
      </c>
      <c r="AY31" s="1606"/>
      <c r="AZ31" s="1606">
        <v>0</v>
      </c>
      <c r="BA31" s="1606">
        <v>0</v>
      </c>
      <c r="BB31" s="1606">
        <v>0</v>
      </c>
      <c r="BC31" s="1607">
        <v>0</v>
      </c>
      <c r="BD31" s="1592">
        <v>0</v>
      </c>
      <c r="BE31" s="1592">
        <v>0</v>
      </c>
      <c r="BF31" s="1606">
        <v>0</v>
      </c>
      <c r="BG31" s="1617"/>
      <c r="BH31" s="1595">
        <v>1173</v>
      </c>
      <c r="BI31" s="1595">
        <v>0</v>
      </c>
      <c r="BJ31" s="1614">
        <v>1173</v>
      </c>
      <c r="BK31" s="1536" t="s">
        <v>41</v>
      </c>
      <c r="BL31" s="2461"/>
      <c r="BM31" s="1617">
        <v>1173</v>
      </c>
      <c r="BN31" s="2884">
        <v>0</v>
      </c>
      <c r="BO31" s="1917">
        <v>0</v>
      </c>
      <c r="BP31" s="1917">
        <v>0</v>
      </c>
      <c r="BQ31" s="1620">
        <v>0</v>
      </c>
      <c r="BR31" s="1620">
        <v>0</v>
      </c>
      <c r="BS31" s="1413">
        <v>388</v>
      </c>
      <c r="BT31" s="1413">
        <v>3733</v>
      </c>
      <c r="BU31" s="2015">
        <v>12740</v>
      </c>
      <c r="BV31" s="2015">
        <v>5000</v>
      </c>
      <c r="BW31" s="1503">
        <v>0</v>
      </c>
      <c r="BX31" s="2462">
        <v>0</v>
      </c>
      <c r="BY31" s="2462">
        <v>0</v>
      </c>
      <c r="BZ31" s="2091">
        <v>0</v>
      </c>
      <c r="CA31" s="2084"/>
      <c r="CB31" s="2084">
        <v>0</v>
      </c>
      <c r="CC31" s="1486"/>
    </row>
    <row r="32" spans="1:81" ht="19.5" hidden="1" customHeight="1" x14ac:dyDescent="0.2">
      <c r="A32" s="1528"/>
      <c r="B32" s="1539" t="s">
        <v>163</v>
      </c>
      <c r="C32" s="1533">
        <v>0</v>
      </c>
      <c r="D32" s="1035" t="e">
        <v>#DIV/0!</v>
      </c>
      <c r="E32" s="2208"/>
      <c r="F32" s="1961"/>
      <c r="G32" s="2972"/>
      <c r="H32" s="1595">
        <v>0</v>
      </c>
      <c r="I32" s="1595"/>
      <c r="J32" s="1623"/>
      <c r="K32" s="1548"/>
      <c r="L32" s="1548"/>
      <c r="M32" s="1622"/>
      <c r="N32" s="1623"/>
      <c r="O32" s="1548"/>
      <c r="P32" s="1548"/>
      <c r="Q32" s="1622"/>
      <c r="R32" s="1623"/>
      <c r="S32" s="1548"/>
      <c r="T32" s="1548"/>
      <c r="U32" s="1622"/>
      <c r="V32" s="1623"/>
      <c r="W32" s="1548"/>
      <c r="X32" s="1548"/>
      <c r="Y32" s="1622"/>
      <c r="Z32" s="1623"/>
      <c r="AA32" s="1548"/>
      <c r="AB32" s="1548"/>
      <c r="AC32" s="1622"/>
      <c r="AD32" s="1623"/>
      <c r="AE32" s="1622"/>
      <c r="AF32" s="1622"/>
      <c r="AG32" s="1622"/>
      <c r="AH32" s="1623"/>
      <c r="AI32" s="1622"/>
      <c r="AJ32" s="1622"/>
      <c r="AK32" s="1622"/>
      <c r="AL32" s="1623"/>
      <c r="AM32" s="1622"/>
      <c r="AN32" s="1622"/>
      <c r="AO32" s="1622"/>
      <c r="AP32" s="1623"/>
      <c r="AQ32" s="1622"/>
      <c r="AR32" s="1622"/>
      <c r="AS32" s="1622"/>
      <c r="AT32" s="1623"/>
      <c r="AU32" s="1622"/>
      <c r="AV32" s="1622"/>
      <c r="AW32" s="1622"/>
      <c r="AX32" s="1623"/>
      <c r="AY32" s="1624"/>
      <c r="AZ32" s="1622">
        <v>0</v>
      </c>
      <c r="BA32" s="1622">
        <v>0</v>
      </c>
      <c r="BB32" s="1622">
        <v>0</v>
      </c>
      <c r="BC32" s="1624">
        <v>0</v>
      </c>
      <c r="BD32" s="1623">
        <v>0</v>
      </c>
      <c r="BE32" s="1623">
        <v>0</v>
      </c>
      <c r="BF32" s="1622">
        <v>0</v>
      </c>
      <c r="BG32" s="1618"/>
      <c r="BH32" s="1595">
        <v>0</v>
      </c>
      <c r="BI32" s="1595">
        <v>0</v>
      </c>
      <c r="BJ32" s="2463">
        <v>0</v>
      </c>
      <c r="BK32" s="1536" t="s">
        <v>41</v>
      </c>
      <c r="BL32" s="2456"/>
      <c r="BM32" s="1617">
        <v>0</v>
      </c>
      <c r="BN32" s="2884">
        <v>0</v>
      </c>
      <c r="BO32" s="1597">
        <v>0</v>
      </c>
      <c r="BP32" s="1597">
        <v>0</v>
      </c>
      <c r="BQ32" s="1620"/>
      <c r="BR32" s="1620">
        <v>0</v>
      </c>
      <c r="BS32" s="1620"/>
      <c r="BT32" s="1620"/>
      <c r="BU32" s="2089"/>
      <c r="BV32" s="2089"/>
      <c r="BW32" s="2089"/>
      <c r="BX32" s="2139"/>
      <c r="BY32" s="2139"/>
      <c r="BZ32" s="2084"/>
      <c r="CA32" s="2084"/>
      <c r="CB32" s="2084">
        <v>0</v>
      </c>
      <c r="CC32" s="1486"/>
    </row>
    <row r="33" spans="1:81" ht="12.75" customHeight="1" x14ac:dyDescent="0.2">
      <c r="A33" s="1528"/>
      <c r="B33" s="1201" t="s">
        <v>621</v>
      </c>
      <c r="C33" s="1533">
        <v>0</v>
      </c>
      <c r="D33" s="1035">
        <v>0</v>
      </c>
      <c r="E33" s="2208"/>
      <c r="F33" s="1961">
        <v>0</v>
      </c>
      <c r="G33" s="2972">
        <v>0</v>
      </c>
      <c r="H33" s="1622">
        <v>0</v>
      </c>
      <c r="I33" s="1622">
        <v>0</v>
      </c>
      <c r="J33" s="1623">
        <v>0</v>
      </c>
      <c r="K33" s="1548">
        <v>11657</v>
      </c>
      <c r="L33" s="1548">
        <v>0</v>
      </c>
      <c r="M33" s="1622">
        <v>0</v>
      </c>
      <c r="N33" s="1623">
        <v>0</v>
      </c>
      <c r="O33" s="1009">
        <v>0</v>
      </c>
      <c r="P33" s="1009">
        <v>0</v>
      </c>
      <c r="Q33" s="1417">
        <v>0</v>
      </c>
      <c r="R33" s="1616">
        <v>0</v>
      </c>
      <c r="S33" s="1548"/>
      <c r="T33" s="1548"/>
      <c r="U33" s="1622"/>
      <c r="V33" s="1623"/>
      <c r="W33" s="1548"/>
      <c r="X33" s="1548"/>
      <c r="Y33" s="1622"/>
      <c r="Z33" s="1623"/>
      <c r="AA33" s="1548"/>
      <c r="AB33" s="1548"/>
      <c r="AC33" s="1622"/>
      <c r="AD33" s="1623"/>
      <c r="AE33" s="1622"/>
      <c r="AF33" s="1622"/>
      <c r="AG33" s="1622"/>
      <c r="AH33" s="1623"/>
      <c r="AI33" s="1622"/>
      <c r="AJ33" s="1622"/>
      <c r="AK33" s="1622"/>
      <c r="AL33" s="1623"/>
      <c r="AM33" s="1622"/>
      <c r="AN33" s="1622"/>
      <c r="AO33" s="1622"/>
      <c r="AP33" s="1623"/>
      <c r="AQ33" s="1622"/>
      <c r="AR33" s="1622"/>
      <c r="AS33" s="1622"/>
      <c r="AT33" s="1623"/>
      <c r="AU33" s="1622"/>
      <c r="AV33" s="1622"/>
      <c r="AW33" s="1622"/>
      <c r="AX33" s="1623"/>
      <c r="AY33" s="1624"/>
      <c r="AZ33" s="1622"/>
      <c r="BA33" s="1622"/>
      <c r="BB33" s="1622"/>
      <c r="BC33" s="1624"/>
      <c r="BD33" s="1623"/>
      <c r="BE33" s="1623"/>
      <c r="BF33" s="1622"/>
      <c r="BG33" s="1618"/>
      <c r="BH33" s="1595">
        <v>0</v>
      </c>
      <c r="BI33" s="1595">
        <v>11657</v>
      </c>
      <c r="BJ33" s="1614">
        <v>-11657</v>
      </c>
      <c r="BK33" s="1536">
        <v>0</v>
      </c>
      <c r="BL33" s="2456"/>
      <c r="BM33" s="1617">
        <v>0</v>
      </c>
      <c r="BN33" s="2884">
        <v>11657</v>
      </c>
      <c r="BO33" s="1917">
        <v>0</v>
      </c>
      <c r="BP33" s="1917">
        <v>0</v>
      </c>
      <c r="BQ33" s="1620">
        <v>0</v>
      </c>
      <c r="BR33" s="1620">
        <v>0</v>
      </c>
      <c r="BS33" s="1620"/>
      <c r="BT33" s="1620"/>
      <c r="BU33" s="2089"/>
      <c r="BV33" s="2089"/>
      <c r="BW33" s="2089"/>
      <c r="BX33" s="2139"/>
      <c r="BY33" s="2139"/>
      <c r="BZ33" s="2084"/>
      <c r="CA33" s="2084"/>
      <c r="CB33" s="2084"/>
      <c r="CC33" s="1486"/>
    </row>
    <row r="34" spans="1:81" ht="12.75" customHeight="1" x14ac:dyDescent="0.2">
      <c r="A34" s="1528"/>
      <c r="B34" s="1528" t="s">
        <v>380</v>
      </c>
      <c r="C34" s="1533">
        <v>0</v>
      </c>
      <c r="D34" s="1035">
        <v>0</v>
      </c>
      <c r="E34" s="2208"/>
      <c r="F34" s="1506">
        <v>0</v>
      </c>
      <c r="G34" s="2973">
        <v>0</v>
      </c>
      <c r="H34" s="1622">
        <v>0</v>
      </c>
      <c r="I34" s="1622">
        <v>0</v>
      </c>
      <c r="J34" s="1623">
        <v>0</v>
      </c>
      <c r="K34" s="1548">
        <v>0</v>
      </c>
      <c r="L34" s="1548">
        <v>0</v>
      </c>
      <c r="M34" s="1622">
        <v>0</v>
      </c>
      <c r="N34" s="1623">
        <v>0</v>
      </c>
      <c r="O34" s="1548">
        <v>0</v>
      </c>
      <c r="P34" s="1548">
        <v>0</v>
      </c>
      <c r="Q34" s="1622">
        <v>0</v>
      </c>
      <c r="R34" s="1623">
        <v>0</v>
      </c>
      <c r="S34" s="1548">
        <v>0</v>
      </c>
      <c r="T34" s="1548">
        <v>150000</v>
      </c>
      <c r="U34" s="1622">
        <v>0</v>
      </c>
      <c r="V34" s="1623">
        <v>0</v>
      </c>
      <c r="W34" s="1548">
        <v>0</v>
      </c>
      <c r="X34" s="1548">
        <v>0</v>
      </c>
      <c r="Y34" s="1622">
        <v>0</v>
      </c>
      <c r="Z34" s="1623">
        <v>0</v>
      </c>
      <c r="AA34" s="1548">
        <v>0</v>
      </c>
      <c r="AB34" s="1548">
        <v>0</v>
      </c>
      <c r="AC34" s="1622"/>
      <c r="AD34" s="1623"/>
      <c r="AE34" s="1622"/>
      <c r="AF34" s="1622"/>
      <c r="AG34" s="1622"/>
      <c r="AH34" s="1623"/>
      <c r="AI34" s="1622"/>
      <c r="AJ34" s="1622">
        <v>0</v>
      </c>
      <c r="AK34" s="1622">
        <v>0</v>
      </c>
      <c r="AL34" s="1623" t="e">
        <v>#REF!</v>
      </c>
      <c r="AM34" s="1622"/>
      <c r="AN34" s="1622"/>
      <c r="AO34" s="1622"/>
      <c r="AP34" s="1623"/>
      <c r="AQ34" s="1622"/>
      <c r="AR34" s="1622">
        <v>0</v>
      </c>
      <c r="AS34" s="1622">
        <v>0</v>
      </c>
      <c r="AT34" s="1623">
        <v>0</v>
      </c>
      <c r="AU34" s="1622">
        <v>0</v>
      </c>
      <c r="AV34" s="1622">
        <v>0</v>
      </c>
      <c r="AW34" s="1622">
        <v>0</v>
      </c>
      <c r="AX34" s="1623">
        <v>0</v>
      </c>
      <c r="AY34" s="1624">
        <v>0</v>
      </c>
      <c r="AZ34" s="1622">
        <v>0</v>
      </c>
      <c r="BA34" s="1622">
        <v>0</v>
      </c>
      <c r="BB34" s="1622">
        <v>0</v>
      </c>
      <c r="BC34" s="1624">
        <v>0</v>
      </c>
      <c r="BD34" s="1623">
        <v>0</v>
      </c>
      <c r="BE34" s="1623"/>
      <c r="BF34" s="1622"/>
      <c r="BG34" s="1618"/>
      <c r="BH34" s="1595">
        <v>0</v>
      </c>
      <c r="BI34" s="1622">
        <v>0</v>
      </c>
      <c r="BJ34" s="1614">
        <v>0</v>
      </c>
      <c r="BK34" s="1536">
        <v>0</v>
      </c>
      <c r="BL34" s="2456"/>
      <c r="BM34" s="1617">
        <v>0</v>
      </c>
      <c r="BN34" s="2884">
        <v>0</v>
      </c>
      <c r="BO34" s="1917">
        <v>0</v>
      </c>
      <c r="BP34" s="1917">
        <v>0</v>
      </c>
      <c r="BQ34" s="1620">
        <v>0</v>
      </c>
      <c r="BR34" s="1620">
        <v>0</v>
      </c>
      <c r="BS34" s="1620">
        <v>0</v>
      </c>
      <c r="BT34" s="1620">
        <v>0</v>
      </c>
      <c r="BU34" s="2089">
        <v>0</v>
      </c>
      <c r="BV34" s="2089"/>
      <c r="BW34" s="2089">
        <v>3958</v>
      </c>
      <c r="BX34" s="2139">
        <v>0</v>
      </c>
      <c r="BY34" s="2139">
        <v>0</v>
      </c>
      <c r="BZ34" s="2139">
        <v>0</v>
      </c>
      <c r="CA34" s="2139">
        <v>0</v>
      </c>
      <c r="CB34" s="2139">
        <v>0</v>
      </c>
      <c r="CC34" s="1486"/>
    </row>
    <row r="35" spans="1:81" ht="12.75" customHeight="1" x14ac:dyDescent="0.2">
      <c r="A35" s="1532"/>
      <c r="B35" s="1528"/>
      <c r="C35" s="1534">
        <v>13960</v>
      </c>
      <c r="D35" s="1190">
        <v>0.38409684963543816</v>
      </c>
      <c r="E35" s="2208"/>
      <c r="F35" s="1501">
        <v>50305</v>
      </c>
      <c r="G35" s="1600">
        <v>44287</v>
      </c>
      <c r="H35" s="1599">
        <v>58140</v>
      </c>
      <c r="I35" s="1599">
        <v>50087</v>
      </c>
      <c r="J35" s="1605">
        <v>36345</v>
      </c>
      <c r="K35" s="1599">
        <v>66572</v>
      </c>
      <c r="L35" s="1599">
        <v>51974</v>
      </c>
      <c r="M35" s="1599">
        <v>30434</v>
      </c>
      <c r="N35" s="1605">
        <v>28954</v>
      </c>
      <c r="O35" s="1599">
        <v>33101</v>
      </c>
      <c r="P35" s="1599">
        <v>26462</v>
      </c>
      <c r="Q35" s="1599">
        <v>27250</v>
      </c>
      <c r="R35" s="1605">
        <v>34318</v>
      </c>
      <c r="S35" s="1599">
        <v>39255</v>
      </c>
      <c r="T35" s="1599">
        <v>178083</v>
      </c>
      <c r="U35" s="1599">
        <v>21859</v>
      </c>
      <c r="V35" s="1605">
        <v>26841</v>
      </c>
      <c r="W35" s="1599">
        <v>40994</v>
      </c>
      <c r="X35" s="1599">
        <v>27845</v>
      </c>
      <c r="Y35" s="1599">
        <v>46253</v>
      </c>
      <c r="Z35" s="1605">
        <v>42850</v>
      </c>
      <c r="AA35" s="1599">
        <v>33465</v>
      </c>
      <c r="AB35" s="1599">
        <v>33465</v>
      </c>
      <c r="AC35" s="1599">
        <v>33106</v>
      </c>
      <c r="AD35" s="1605">
        <v>26171</v>
      </c>
      <c r="AE35" s="1599">
        <v>40427</v>
      </c>
      <c r="AF35" s="1599">
        <v>49904</v>
      </c>
      <c r="AG35" s="1599">
        <v>35842</v>
      </c>
      <c r="AH35" s="1605">
        <v>31620</v>
      </c>
      <c r="AI35" s="1599">
        <v>58961</v>
      </c>
      <c r="AJ35" s="1599">
        <v>43143</v>
      </c>
      <c r="AK35" s="1599">
        <v>37095</v>
      </c>
      <c r="AL35" s="1605" t="e">
        <v>#REF!</v>
      </c>
      <c r="AM35" s="1627">
        <v>50271</v>
      </c>
      <c r="AN35" s="1627">
        <v>61943</v>
      </c>
      <c r="AO35" s="1599">
        <v>34417</v>
      </c>
      <c r="AP35" s="1605">
        <v>44140</v>
      </c>
      <c r="AQ35" s="1599">
        <v>27693</v>
      </c>
      <c r="AR35" s="1627">
        <v>37922</v>
      </c>
      <c r="AS35" s="1599">
        <v>19480</v>
      </c>
      <c r="AT35" s="1605">
        <v>22187</v>
      </c>
      <c r="AU35" s="1627">
        <v>15783</v>
      </c>
      <c r="AV35" s="1627">
        <v>21597</v>
      </c>
      <c r="AW35" s="1627">
        <v>20639</v>
      </c>
      <c r="AX35" s="1605">
        <v>27571</v>
      </c>
      <c r="AY35" s="1627">
        <v>24147</v>
      </c>
      <c r="AZ35" s="1627">
        <v>87449</v>
      </c>
      <c r="BA35" s="1598">
        <v>74128</v>
      </c>
      <c r="BB35" s="1627">
        <v>106349</v>
      </c>
      <c r="BC35" s="1628">
        <v>100905</v>
      </c>
      <c r="BD35" s="1605">
        <v>75317</v>
      </c>
      <c r="BE35" s="1605">
        <v>70703</v>
      </c>
      <c r="BF35" s="1627">
        <v>91522</v>
      </c>
      <c r="BG35" s="1629"/>
      <c r="BH35" s="1599">
        <v>188859</v>
      </c>
      <c r="BI35" s="1599">
        <v>177934</v>
      </c>
      <c r="BJ35" s="1630">
        <v>10925</v>
      </c>
      <c r="BK35" s="1631">
        <v>6.1399170478941632E-2</v>
      </c>
      <c r="BL35" s="1528"/>
      <c r="BM35" s="1932">
        <v>188859</v>
      </c>
      <c r="BN35" s="1598">
        <v>177934</v>
      </c>
      <c r="BO35" s="1932">
        <v>121131</v>
      </c>
      <c r="BP35" s="1932">
        <v>266038</v>
      </c>
      <c r="BQ35" s="1632">
        <v>157942</v>
      </c>
      <c r="BR35" s="1632">
        <v>126207</v>
      </c>
      <c r="BS35" s="1632">
        <v>157791</v>
      </c>
      <c r="BT35" s="1632">
        <v>180808</v>
      </c>
      <c r="BU35" s="2094">
        <v>219154</v>
      </c>
      <c r="BV35" s="2094">
        <v>129651</v>
      </c>
      <c r="BW35" s="2094">
        <v>111254</v>
      </c>
      <c r="BX35" s="2094">
        <v>120138</v>
      </c>
      <c r="BY35" s="2094">
        <v>125171</v>
      </c>
      <c r="BZ35" s="2095">
        <v>105485</v>
      </c>
      <c r="CA35" s="2095">
        <v>67435</v>
      </c>
      <c r="CB35" s="2082">
        <v>154490</v>
      </c>
      <c r="CC35" s="1486"/>
    </row>
    <row r="36" spans="1:81" s="2304" customFormat="1" ht="24.95" customHeight="1" thickBot="1" x14ac:dyDescent="0.25">
      <c r="A36" s="3157" t="s">
        <v>183</v>
      </c>
      <c r="B36" s="3151"/>
      <c r="C36" s="1534">
        <v>4533</v>
      </c>
      <c r="D36" s="1190">
        <v>0.47610545110807689</v>
      </c>
      <c r="E36" s="2208"/>
      <c r="F36" s="1508">
        <v>14054</v>
      </c>
      <c r="G36" s="2196">
        <v>10199</v>
      </c>
      <c r="H36" s="1633">
        <v>25201</v>
      </c>
      <c r="I36" s="1633">
        <v>26885</v>
      </c>
      <c r="J36" s="1634">
        <v>9521</v>
      </c>
      <c r="K36" s="1633">
        <v>11042</v>
      </c>
      <c r="L36" s="1633">
        <v>23304</v>
      </c>
      <c r="M36" s="1633">
        <v>-1604</v>
      </c>
      <c r="N36" s="1634">
        <v>5430</v>
      </c>
      <c r="O36" s="1633">
        <v>13142</v>
      </c>
      <c r="P36" s="1633">
        <v>5533</v>
      </c>
      <c r="Q36" s="1633">
        <v>1031</v>
      </c>
      <c r="R36" s="1634">
        <v>14574</v>
      </c>
      <c r="S36" s="1633">
        <v>-149</v>
      </c>
      <c r="T36" s="1633">
        <v>-144884</v>
      </c>
      <c r="U36" s="1633">
        <v>2899</v>
      </c>
      <c r="V36" s="1634">
        <v>7495</v>
      </c>
      <c r="W36" s="1633">
        <v>7298</v>
      </c>
      <c r="X36" s="1633">
        <v>1347</v>
      </c>
      <c r="Y36" s="1633">
        <v>22660</v>
      </c>
      <c r="Z36" s="1634">
        <v>15338</v>
      </c>
      <c r="AA36" s="1633">
        <v>9592</v>
      </c>
      <c r="AB36" s="1633">
        <v>7818</v>
      </c>
      <c r="AC36" s="1633">
        <v>-1842</v>
      </c>
      <c r="AD36" s="1634">
        <v>6739</v>
      </c>
      <c r="AE36" s="1633">
        <v>16387</v>
      </c>
      <c r="AF36" s="1633">
        <v>26551</v>
      </c>
      <c r="AG36" s="1633">
        <v>-396</v>
      </c>
      <c r="AH36" s="1634">
        <v>4004</v>
      </c>
      <c r="AI36" s="1633">
        <v>12045</v>
      </c>
      <c r="AJ36" s="1633">
        <v>13799</v>
      </c>
      <c r="AK36" s="1633">
        <v>5396</v>
      </c>
      <c r="AL36" s="1634" t="e">
        <v>#REF!</v>
      </c>
      <c r="AM36" s="1633">
        <v>38361</v>
      </c>
      <c r="AN36" s="1633">
        <v>47461</v>
      </c>
      <c r="AO36" s="1615">
        <v>15492</v>
      </c>
      <c r="AP36" s="1634">
        <v>8917</v>
      </c>
      <c r="AQ36" s="1615">
        <v>5113</v>
      </c>
      <c r="AR36" s="1633">
        <v>20118</v>
      </c>
      <c r="AS36" s="1615">
        <v>7834</v>
      </c>
      <c r="AT36" s="1634">
        <v>7867</v>
      </c>
      <c r="AU36" s="1633">
        <v>9250</v>
      </c>
      <c r="AV36" s="1633">
        <v>-8958</v>
      </c>
      <c r="AW36" s="1633">
        <v>2822</v>
      </c>
      <c r="AX36" s="1634">
        <v>6781</v>
      </c>
      <c r="AY36" s="1633">
        <v>7797</v>
      </c>
      <c r="AZ36" s="1599">
        <v>22134</v>
      </c>
      <c r="BA36" s="1598">
        <v>14943</v>
      </c>
      <c r="BB36" s="1599">
        <v>48674</v>
      </c>
      <c r="BC36" s="1599">
        <v>29246</v>
      </c>
      <c r="BD36" s="1599">
        <v>26110</v>
      </c>
      <c r="BE36" s="1599">
        <v>22330</v>
      </c>
      <c r="BF36" s="1599">
        <v>33584</v>
      </c>
      <c r="BG36" s="1629"/>
      <c r="BH36" s="1633">
        <v>71806</v>
      </c>
      <c r="BI36" s="1633">
        <v>38172</v>
      </c>
      <c r="BJ36" s="1395">
        <v>33634</v>
      </c>
      <c r="BK36" s="1535">
        <v>0.88111704914597089</v>
      </c>
      <c r="BL36" s="1528"/>
      <c r="BM36" s="1617">
        <v>71806</v>
      </c>
      <c r="BN36" s="1634">
        <v>38172</v>
      </c>
      <c r="BO36" s="1933">
        <v>34280</v>
      </c>
      <c r="BP36" s="1933">
        <v>-134639</v>
      </c>
      <c r="BQ36" s="1602">
        <v>46643</v>
      </c>
      <c r="BR36" s="1602">
        <v>22307</v>
      </c>
      <c r="BS36" s="1602">
        <v>46546</v>
      </c>
      <c r="BT36" s="1602">
        <v>51498</v>
      </c>
      <c r="BU36" s="2081">
        <v>119366</v>
      </c>
      <c r="BV36" s="2081">
        <v>47930</v>
      </c>
      <c r="BW36" s="2081">
        <v>11596</v>
      </c>
      <c r="BX36" s="2096">
        <v>56517</v>
      </c>
      <c r="BY36" s="2096">
        <v>62391</v>
      </c>
      <c r="BZ36" s="2082">
        <v>44985</v>
      </c>
      <c r="CA36" s="2082">
        <v>28124</v>
      </c>
      <c r="CB36" s="2097">
        <v>57268</v>
      </c>
      <c r="CC36" s="2426"/>
    </row>
    <row r="37" spans="1:81" s="2304" customFormat="1" ht="12.75" customHeight="1" thickTop="1" x14ac:dyDescent="0.2">
      <c r="A37" s="2992"/>
      <c r="B37" s="2232" t="s">
        <v>336</v>
      </c>
      <c r="C37" s="1534">
        <v>772</v>
      </c>
      <c r="D37" s="1190">
        <v>0.28403237674760856</v>
      </c>
      <c r="E37" s="2208"/>
      <c r="F37" s="1507">
        <v>3490</v>
      </c>
      <c r="G37" s="2974">
        <v>4176</v>
      </c>
      <c r="H37" s="1626">
        <v>3040</v>
      </c>
      <c r="I37" s="1626">
        <v>2524</v>
      </c>
      <c r="J37" s="1616">
        <v>2718</v>
      </c>
      <c r="K37" s="1626">
        <v>2582</v>
      </c>
      <c r="L37" s="1626">
        <v>2357</v>
      </c>
      <c r="M37" s="1626">
        <v>2397</v>
      </c>
      <c r="N37" s="1616">
        <v>2823</v>
      </c>
      <c r="O37" s="1626">
        <v>3664</v>
      </c>
      <c r="P37" s="1626">
        <v>3534</v>
      </c>
      <c r="Q37" s="1626">
        <v>2933</v>
      </c>
      <c r="R37" s="1616">
        <v>2140</v>
      </c>
      <c r="S37" s="1626">
        <v>3603</v>
      </c>
      <c r="T37" s="1626">
        <v>2740</v>
      </c>
      <c r="U37" s="1626">
        <v>2948</v>
      </c>
      <c r="V37" s="1616">
        <v>2783</v>
      </c>
      <c r="W37" s="1626">
        <v>2514</v>
      </c>
      <c r="X37" s="1626">
        <v>1983</v>
      </c>
      <c r="Y37" s="1626">
        <v>2845</v>
      </c>
      <c r="Z37" s="1616">
        <v>2166</v>
      </c>
      <c r="AA37" s="1626">
        <v>3030</v>
      </c>
      <c r="AB37" s="1626">
        <v>2756</v>
      </c>
      <c r="AC37" s="1626">
        <v>1772</v>
      </c>
      <c r="AD37" s="1616">
        <v>2361</v>
      </c>
      <c r="AE37" s="1626">
        <v>2279</v>
      </c>
      <c r="AF37" s="1626">
        <v>2591</v>
      </c>
      <c r="AG37" s="1626">
        <v>2518</v>
      </c>
      <c r="AH37" s="1616">
        <v>2914</v>
      </c>
      <c r="AI37" s="1615">
        <v>3107</v>
      </c>
      <c r="AJ37" s="1615">
        <v>2615</v>
      </c>
      <c r="AK37" s="1626">
        <v>3104</v>
      </c>
      <c r="AL37" s="1616">
        <v>0</v>
      </c>
      <c r="AM37" s="1633">
        <v>1560</v>
      </c>
      <c r="AN37" s="1615">
        <v>1796</v>
      </c>
      <c r="AO37" s="1633">
        <v>1873</v>
      </c>
      <c r="AP37" s="1616">
        <v>1741</v>
      </c>
      <c r="AQ37" s="1633">
        <v>1757</v>
      </c>
      <c r="AR37" s="1615">
        <v>1483</v>
      </c>
      <c r="AS37" s="1633">
        <v>1374</v>
      </c>
      <c r="AT37" s="1616">
        <v>1459</v>
      </c>
      <c r="AU37" s="1615">
        <v>2224</v>
      </c>
      <c r="AV37" s="1615">
        <v>671</v>
      </c>
      <c r="AW37" s="1615">
        <v>2365</v>
      </c>
      <c r="AX37" s="1616">
        <v>1384</v>
      </c>
      <c r="AY37" s="1615">
        <v>889</v>
      </c>
      <c r="AZ37" s="1635" t="s">
        <v>181</v>
      </c>
      <c r="BA37" s="1636" t="s">
        <v>181</v>
      </c>
      <c r="BB37" s="1635"/>
      <c r="BC37" s="1635"/>
      <c r="BD37" s="1635"/>
      <c r="BE37" s="1635"/>
      <c r="BF37" s="1635"/>
      <c r="BG37" s="1637"/>
      <c r="BH37" s="1595">
        <v>12458</v>
      </c>
      <c r="BI37" s="1633">
        <v>10159</v>
      </c>
      <c r="BJ37" s="1205">
        <v>2299</v>
      </c>
      <c r="BK37" s="2911">
        <v>0.22630180135840142</v>
      </c>
      <c r="BL37" s="1656"/>
      <c r="BM37" s="1932">
        <v>12458</v>
      </c>
      <c r="BN37" s="1634">
        <v>10159</v>
      </c>
      <c r="BO37" s="1597">
        <v>12271</v>
      </c>
      <c r="BP37" s="1597">
        <v>12074</v>
      </c>
      <c r="BQ37" s="1639">
        <v>9508</v>
      </c>
      <c r="BR37" s="1609">
        <v>9919</v>
      </c>
      <c r="BS37" s="1597">
        <v>10302</v>
      </c>
      <c r="BT37" s="1597">
        <v>11867</v>
      </c>
      <c r="BU37" s="2079">
        <v>10903</v>
      </c>
      <c r="BV37" s="2079">
        <v>9573</v>
      </c>
      <c r="BW37" s="2098" t="s">
        <v>181</v>
      </c>
      <c r="BX37" s="2086">
        <v>2661</v>
      </c>
      <c r="BY37" s="2086">
        <v>2823</v>
      </c>
      <c r="BZ37" s="2099">
        <v>2501</v>
      </c>
      <c r="CA37" s="2084">
        <v>3033</v>
      </c>
      <c r="CB37" s="1504"/>
      <c r="CC37" s="2426"/>
    </row>
    <row r="38" spans="1:81" s="2304" customFormat="1" ht="13.5" thickBot="1" x14ac:dyDescent="0.25">
      <c r="A38" s="3157" t="s">
        <v>72</v>
      </c>
      <c r="B38" s="3191"/>
      <c r="C38" s="1537">
        <v>3761</v>
      </c>
      <c r="D38" s="1192">
        <v>0.5528443333823313</v>
      </c>
      <c r="E38" s="2208"/>
      <c r="F38" s="1512">
        <v>10564</v>
      </c>
      <c r="G38" s="2975">
        <v>6023</v>
      </c>
      <c r="H38" s="1641">
        <v>22161</v>
      </c>
      <c r="I38" s="1641">
        <v>24361</v>
      </c>
      <c r="J38" s="1642">
        <v>6803</v>
      </c>
      <c r="K38" s="1641">
        <v>8460</v>
      </c>
      <c r="L38" s="1641">
        <v>20947</v>
      </c>
      <c r="M38" s="1641">
        <v>-4001</v>
      </c>
      <c r="N38" s="1642">
        <v>2607</v>
      </c>
      <c r="O38" s="1641">
        <v>9478</v>
      </c>
      <c r="P38" s="1641">
        <v>1999</v>
      </c>
      <c r="Q38" s="1641">
        <v>-1902</v>
      </c>
      <c r="R38" s="1642">
        <v>12434</v>
      </c>
      <c r="S38" s="1641">
        <v>-3752</v>
      </c>
      <c r="T38" s="1641">
        <v>-147624</v>
      </c>
      <c r="U38" s="1641">
        <v>-49</v>
      </c>
      <c r="V38" s="1642">
        <v>4712</v>
      </c>
      <c r="W38" s="1641">
        <v>4784</v>
      </c>
      <c r="X38" s="1641">
        <v>-636</v>
      </c>
      <c r="Y38" s="1641">
        <v>19815</v>
      </c>
      <c r="Z38" s="1642">
        <v>13172</v>
      </c>
      <c r="AA38" s="1641">
        <v>6562</v>
      </c>
      <c r="AB38" s="1641">
        <v>5062</v>
      </c>
      <c r="AC38" s="1641">
        <v>-3614</v>
      </c>
      <c r="AD38" s="1642">
        <v>4378</v>
      </c>
      <c r="AE38" s="1641">
        <v>14108</v>
      </c>
      <c r="AF38" s="1641">
        <v>23960</v>
      </c>
      <c r="AG38" s="1641">
        <v>-2914</v>
      </c>
      <c r="AH38" s="1642">
        <v>1090</v>
      </c>
      <c r="AI38" s="1641">
        <v>8938</v>
      </c>
      <c r="AJ38" s="1641">
        <v>11184</v>
      </c>
      <c r="AK38" s="1641">
        <v>2292</v>
      </c>
      <c r="AL38" s="1642" t="e">
        <v>#REF!</v>
      </c>
      <c r="AM38" s="1641">
        <v>36801</v>
      </c>
      <c r="AN38" s="1641">
        <v>45665</v>
      </c>
      <c r="AO38" s="1641">
        <v>13619</v>
      </c>
      <c r="AP38" s="1642">
        <v>7176</v>
      </c>
      <c r="AQ38" s="1641">
        <v>3356</v>
      </c>
      <c r="AR38" s="1641">
        <v>18635</v>
      </c>
      <c r="AS38" s="1641">
        <v>6460</v>
      </c>
      <c r="AT38" s="1642">
        <v>6408</v>
      </c>
      <c r="AU38" s="1641">
        <v>7026</v>
      </c>
      <c r="AV38" s="1641">
        <v>-9629</v>
      </c>
      <c r="AW38" s="1641">
        <v>457</v>
      </c>
      <c r="AX38" s="1642">
        <v>5397</v>
      </c>
      <c r="AY38" s="1641">
        <v>6908</v>
      </c>
      <c r="AZ38" s="1643" t="s">
        <v>181</v>
      </c>
      <c r="BA38" s="1644" t="s">
        <v>181</v>
      </c>
      <c r="BB38" s="1643"/>
      <c r="BC38" s="1643"/>
      <c r="BD38" s="1643"/>
      <c r="BE38" s="1643"/>
      <c r="BF38" s="1643"/>
      <c r="BG38" s="1637"/>
      <c r="BH38" s="1641">
        <v>59348</v>
      </c>
      <c r="BI38" s="1641">
        <v>28013</v>
      </c>
      <c r="BJ38" s="1435">
        <v>31335</v>
      </c>
      <c r="BK38" s="1542">
        <v>1.1185877985221147</v>
      </c>
      <c r="BL38" s="1656"/>
      <c r="BM38" s="2887">
        <v>59348</v>
      </c>
      <c r="BN38" s="1642">
        <v>28013</v>
      </c>
      <c r="BO38" s="1934">
        <v>22009</v>
      </c>
      <c r="BP38" s="1934">
        <v>-146713</v>
      </c>
      <c r="BQ38" s="1645">
        <v>37135</v>
      </c>
      <c r="BR38" s="1645">
        <v>12388</v>
      </c>
      <c r="BS38" s="1645">
        <v>36244</v>
      </c>
      <c r="BT38" s="1645">
        <v>39631</v>
      </c>
      <c r="BU38" s="2100">
        <v>108463</v>
      </c>
      <c r="BV38" s="2100">
        <v>38357</v>
      </c>
      <c r="BW38" s="2100">
        <v>11596</v>
      </c>
      <c r="BX38" s="2101">
        <v>53856</v>
      </c>
      <c r="BY38" s="2101">
        <v>59568</v>
      </c>
      <c r="BZ38" s="2102">
        <v>42484</v>
      </c>
      <c r="CA38" s="2082">
        <v>25091</v>
      </c>
      <c r="CB38" s="1504"/>
      <c r="CC38" s="2426"/>
    </row>
    <row r="39" spans="1:81" ht="12.75" customHeight="1" thickTop="1" x14ac:dyDescent="0.2">
      <c r="A39" s="1539"/>
      <c r="B39" s="1539"/>
      <c r="C39" s="1543"/>
      <c r="D39" s="1544"/>
      <c r="E39" s="1513"/>
      <c r="F39" s="1513"/>
      <c r="G39" s="1513"/>
      <c r="H39" s="1647"/>
      <c r="I39" s="1647"/>
      <c r="J39" s="1528"/>
      <c r="K39" s="1544"/>
      <c r="L39" s="1647"/>
      <c r="M39" s="1647"/>
      <c r="N39" s="1528"/>
      <c r="O39" s="1544"/>
      <c r="P39" s="1647"/>
      <c r="Q39" s="1647"/>
      <c r="R39" s="1528"/>
      <c r="S39" s="1544"/>
      <c r="T39" s="1647"/>
      <c r="U39" s="1647"/>
      <c r="V39" s="1528"/>
      <c r="W39" s="1544"/>
      <c r="X39" s="1647"/>
      <c r="Y39" s="1647"/>
      <c r="Z39" s="1528"/>
      <c r="AA39" s="1544"/>
      <c r="AB39" s="1647"/>
      <c r="AC39" s="1647"/>
      <c r="AD39" s="1528"/>
      <c r="AE39" s="1544"/>
      <c r="AF39" s="1647"/>
      <c r="AG39" s="1647"/>
      <c r="AH39" s="1528"/>
      <c r="AI39" s="1544"/>
      <c r="AJ39" s="1544"/>
      <c r="AK39" s="1647"/>
      <c r="AL39" s="1528"/>
      <c r="AM39" s="1544"/>
      <c r="AN39" s="1544"/>
      <c r="AO39" s="1544"/>
      <c r="AP39" s="1528"/>
      <c r="AQ39" s="1544"/>
      <c r="AR39" s="1544"/>
      <c r="AS39" s="1544"/>
      <c r="AT39" s="1528"/>
      <c r="AU39" s="1544"/>
      <c r="AV39" s="1544"/>
      <c r="AW39" s="1544"/>
      <c r="AX39" s="1528"/>
      <c r="AY39" s="1539"/>
      <c r="AZ39" s="1539"/>
      <c r="BA39" s="1539"/>
      <c r="BB39" s="1539"/>
      <c r="BC39" s="1648"/>
      <c r="BD39" s="1648"/>
      <c r="BE39" s="1648"/>
      <c r="BF39" s="1648"/>
      <c r="BG39" s="1528"/>
      <c r="BH39" s="1528"/>
      <c r="BI39" s="1528"/>
      <c r="BJ39" s="2773"/>
      <c r="BK39" s="1544"/>
      <c r="BL39" s="1528"/>
      <c r="BM39" s="1528"/>
      <c r="BN39" s="1528"/>
      <c r="BO39" s="1528"/>
      <c r="BP39" s="1528"/>
      <c r="BQ39" s="1528"/>
      <c r="BR39" s="1528"/>
      <c r="BS39" s="1528"/>
      <c r="BT39" s="1528"/>
      <c r="BU39" s="1487"/>
      <c r="BV39" s="1487"/>
      <c r="BW39" s="1487"/>
      <c r="BX39" s="1504"/>
      <c r="BY39" s="1504"/>
      <c r="BZ39" s="1504"/>
      <c r="CA39" s="1504"/>
      <c r="CB39" s="1504"/>
      <c r="CC39" s="1486"/>
    </row>
    <row r="40" spans="1:81" ht="12.75" customHeight="1" x14ac:dyDescent="0.2">
      <c r="A40" s="1204" t="s">
        <v>623</v>
      </c>
      <c r="B40" s="1547"/>
      <c r="C40" s="1545">
        <v>-2.7361614050771257</v>
      </c>
      <c r="D40" s="1544"/>
      <c r="E40" s="1513"/>
      <c r="F40" s="1514">
        <v>0.49764601687409687</v>
      </c>
      <c r="G40" s="1514">
        <v>0.57177990676504054</v>
      </c>
      <c r="H40" s="1559">
        <v>0.50817724769321226</v>
      </c>
      <c r="I40" s="1559">
        <v>0.48038247674479029</v>
      </c>
      <c r="J40" s="1559">
        <v>0.52500763092486813</v>
      </c>
      <c r="K40" s="1559">
        <v>0.51906872471461329</v>
      </c>
      <c r="L40" s="1559">
        <v>0.53495045033077393</v>
      </c>
      <c r="M40" s="1559">
        <v>0.6262226847034339</v>
      </c>
      <c r="N40" s="1559">
        <v>0.56494299674267101</v>
      </c>
      <c r="O40" s="1559">
        <v>0.54395259823108366</v>
      </c>
      <c r="P40" s="1559">
        <v>0.54355368026254103</v>
      </c>
      <c r="Q40" s="1559">
        <v>0.62734698207276973</v>
      </c>
      <c r="R40" s="1559">
        <v>0.51384684610979303</v>
      </c>
      <c r="S40" s="1559">
        <v>0.67104792103513522</v>
      </c>
      <c r="T40" s="1559">
        <v>0.56233621494623331</v>
      </c>
      <c r="U40" s="1559">
        <v>0.51732773245011709</v>
      </c>
      <c r="V40" s="1559">
        <v>0.48284599254426841</v>
      </c>
      <c r="W40" s="1559">
        <v>0.53120599685248071</v>
      </c>
      <c r="X40" s="1559">
        <v>0.50301452452726769</v>
      </c>
      <c r="Y40" s="1559">
        <v>0.4911331171186859</v>
      </c>
      <c r="Z40" s="1559">
        <v>0.52320065992988241</v>
      </c>
      <c r="AA40" s="1559">
        <v>0.53280535104628746</v>
      </c>
      <c r="AB40" s="1559">
        <v>0.52144950706101789</v>
      </c>
      <c r="AC40" s="1559">
        <v>0.54234902763561921</v>
      </c>
      <c r="AD40" s="1559">
        <v>0.46906715284108175</v>
      </c>
      <c r="AE40" s="1559">
        <v>0.52481782659203713</v>
      </c>
      <c r="AF40" s="1559">
        <v>0.49151123551416537</v>
      </c>
      <c r="AG40" s="1559">
        <v>0.61201862039779942</v>
      </c>
      <c r="AH40" s="1559">
        <v>0.52815517628565012</v>
      </c>
      <c r="AI40" s="1559">
        <v>0.5337577106160043</v>
      </c>
      <c r="AJ40" s="1559">
        <v>0.4920094130870008</v>
      </c>
      <c r="AK40" s="1559">
        <v>0.49499894095220165</v>
      </c>
      <c r="AL40" s="1559">
        <v>0.44765383807199316</v>
      </c>
      <c r="AM40" s="1559">
        <v>0.45171044318079251</v>
      </c>
      <c r="AN40" s="1559">
        <v>0.44890497605206392</v>
      </c>
      <c r="AO40" s="1559">
        <v>0.47221943937967098</v>
      </c>
      <c r="AP40" s="1559">
        <v>0.44572817912810753</v>
      </c>
      <c r="AQ40" s="1559">
        <v>0.53972862294480772</v>
      </c>
      <c r="AR40" s="1559">
        <v>0.55773363383825147</v>
      </c>
      <c r="AS40" s="1559">
        <v>0.58128301886792455</v>
      </c>
      <c r="AT40" s="1559">
        <v>0.58840753310707394</v>
      </c>
      <c r="AU40" s="1559">
        <v>0.51472056884911921</v>
      </c>
      <c r="AV40" s="1559">
        <v>0.85655510720784878</v>
      </c>
      <c r="AW40" s="1559">
        <v>0.59400707557222621</v>
      </c>
      <c r="AX40" s="1559">
        <v>0.58284816022356778</v>
      </c>
      <c r="AY40" s="1559">
        <v>0.53471700475832706</v>
      </c>
      <c r="AZ40" s="1650">
        <v>0.55900000000000005</v>
      </c>
      <c r="BA40" s="1650">
        <v>0.51</v>
      </c>
      <c r="BB40" s="1650">
        <v>0.51700000000000002</v>
      </c>
      <c r="BC40" s="1650">
        <v>0.56399999999999995</v>
      </c>
      <c r="BD40" s="1650">
        <v>0.53900000000000003</v>
      </c>
      <c r="BE40" s="1650">
        <v>0.51100000000000001</v>
      </c>
      <c r="BF40" s="1650">
        <v>0.55300000000000005</v>
      </c>
      <c r="BG40" s="1528"/>
      <c r="BH40" s="1559">
        <v>0.51622580707037768</v>
      </c>
      <c r="BI40" s="1559">
        <v>0.54619492286192883</v>
      </c>
      <c r="BJ40" s="1545">
        <v>-2.9969115791551149</v>
      </c>
      <c r="BK40" s="1544"/>
      <c r="BL40" s="1528"/>
      <c r="BM40" s="1559">
        <v>0.51622580707037768</v>
      </c>
      <c r="BN40" s="1559">
        <v>0.54619492286192883</v>
      </c>
      <c r="BO40" s="1559">
        <v>0.54957499790877096</v>
      </c>
      <c r="BP40" s="1559">
        <v>0.56543809313617299</v>
      </c>
      <c r="BQ40" s="1559">
        <v>0.51123982696678638</v>
      </c>
      <c r="BR40" s="1559">
        <v>0.51753370052654968</v>
      </c>
      <c r="BS40" s="1559">
        <v>0.52805903972359391</v>
      </c>
      <c r="BT40" s="1559">
        <v>0.49350425731578179</v>
      </c>
      <c r="BU40" s="1514">
        <v>0.44817145220371024</v>
      </c>
      <c r="BV40" s="1514">
        <v>0.54969281623597122</v>
      </c>
      <c r="BW40" s="2106">
        <v>0.58048026048026047</v>
      </c>
      <c r="BX40" s="2106">
        <v>0.51592086269848014</v>
      </c>
      <c r="BY40" s="2106">
        <v>0.53576417397980403</v>
      </c>
      <c r="BZ40" s="2107">
        <v>0.56272346647172189</v>
      </c>
      <c r="CA40" s="2107">
        <v>0.56988875982377385</v>
      </c>
      <c r="CB40" s="2107">
        <v>0.627</v>
      </c>
      <c r="CC40" s="1486"/>
    </row>
    <row r="41" spans="1:81" ht="12.75" customHeight="1" x14ac:dyDescent="0.2">
      <c r="A41" s="1547" t="s">
        <v>75</v>
      </c>
      <c r="B41" s="1547"/>
      <c r="C41" s="1545">
        <v>0.9537093188069945</v>
      </c>
      <c r="D41" s="1544"/>
      <c r="E41" s="1513"/>
      <c r="F41" s="1514">
        <v>0.27694650320856445</v>
      </c>
      <c r="G41" s="1514">
        <v>0.24103439415629704</v>
      </c>
      <c r="H41" s="1559">
        <v>0.18943857165140807</v>
      </c>
      <c r="I41" s="1559">
        <v>0.17033466715169152</v>
      </c>
      <c r="J41" s="1559">
        <v>0.26740941002049451</v>
      </c>
      <c r="K41" s="1559">
        <v>0.33866312778622415</v>
      </c>
      <c r="L41" s="1559">
        <v>0.15547703180212014</v>
      </c>
      <c r="M41" s="1559">
        <v>0.42941380506416926</v>
      </c>
      <c r="N41" s="1559">
        <v>0.27713471382038157</v>
      </c>
      <c r="O41" s="1559">
        <v>0.17185303721644357</v>
      </c>
      <c r="P41" s="1559">
        <v>0.28351304891389278</v>
      </c>
      <c r="Q41" s="1559">
        <v>0.33619744704925569</v>
      </c>
      <c r="R41" s="1559">
        <v>0.18806757751779432</v>
      </c>
      <c r="S41" s="1559">
        <v>0.33276223597401933</v>
      </c>
      <c r="T41" s="1559">
        <v>4.8017711376848702</v>
      </c>
      <c r="U41" s="1559">
        <v>0.36557880281121252</v>
      </c>
      <c r="V41" s="1559">
        <v>0.29886999068033548</v>
      </c>
      <c r="W41" s="1559">
        <v>0.31767166404373393</v>
      </c>
      <c r="X41" s="1559">
        <v>0.4508426966292135</v>
      </c>
      <c r="Y41" s="1559">
        <v>0.18054648614920263</v>
      </c>
      <c r="Z41" s="1559">
        <v>0.21320547191860864</v>
      </c>
      <c r="AA41" s="1559">
        <v>0.24442018719371994</v>
      </c>
      <c r="AB41" s="1559">
        <v>0.2891747208293971</v>
      </c>
      <c r="AC41" s="1559">
        <v>0.5165685772773797</v>
      </c>
      <c r="AD41" s="1559">
        <v>0.32616226071103011</v>
      </c>
      <c r="AE41" s="1559">
        <v>0.18674974478121589</v>
      </c>
      <c r="AF41" s="1559">
        <v>0.16122112642896383</v>
      </c>
      <c r="AG41" s="1559">
        <v>0.39915361828184509</v>
      </c>
      <c r="AH41" s="1559">
        <v>0.35944868627891308</v>
      </c>
      <c r="AI41" s="1559">
        <v>0.29660873728980647</v>
      </c>
      <c r="AJ41" s="1559">
        <v>0.26565628183063467</v>
      </c>
      <c r="AK41" s="1559">
        <v>0.37800946082699866</v>
      </c>
      <c r="AL41" s="1559" t="e">
        <v>#REF!</v>
      </c>
      <c r="AM41" s="1559">
        <v>0.11547747991696002</v>
      </c>
      <c r="AN41" s="1559">
        <v>0.11728090380607656</v>
      </c>
      <c r="AO41" s="1559">
        <v>0.21737562363501572</v>
      </c>
      <c r="AP41" s="1559">
        <v>0.38620728650319469</v>
      </c>
      <c r="AQ41" s="1559">
        <v>0.30658272721716279</v>
      </c>
      <c r="AR41" s="1559">
        <v>0.10480982581197477</v>
      </c>
      <c r="AS41" s="1559">
        <v>0.15381132075471698</v>
      </c>
      <c r="AT41" s="1559">
        <v>0.14983030545018966</v>
      </c>
      <c r="AU41" s="1559">
        <v>0.11576718731274717</v>
      </c>
      <c r="AV41" s="1559">
        <v>0.8522034971121133</v>
      </c>
      <c r="AW41" s="1559">
        <v>0.28570819658156088</v>
      </c>
      <c r="AX41" s="1559">
        <v>0.21975430833721471</v>
      </c>
      <c r="AY41" s="1559">
        <v>0.22119959929877286</v>
      </c>
      <c r="AZ41" s="1650">
        <v>0.23899999999999999</v>
      </c>
      <c r="BA41" s="1650">
        <v>0.32199999999999995</v>
      </c>
      <c r="BB41" s="1650">
        <v>0.16900000000000004</v>
      </c>
      <c r="BC41" s="1650">
        <v>0.21100000000000008</v>
      </c>
      <c r="BD41" s="1650">
        <v>0.20399999999999996</v>
      </c>
      <c r="BE41" s="1650">
        <v>0.249</v>
      </c>
      <c r="BF41" s="1650">
        <v>0.17899999999999994</v>
      </c>
      <c r="BG41" s="1528"/>
      <c r="BH41" s="1559">
        <v>0.20830184336216984</v>
      </c>
      <c r="BI41" s="1559">
        <v>0.27716953717157322</v>
      </c>
      <c r="BJ41" s="1545">
        <v>-6.8867693809403381</v>
      </c>
      <c r="BK41" s="1544"/>
      <c r="BL41" s="1528"/>
      <c r="BM41" s="1559">
        <v>0.20830184336216984</v>
      </c>
      <c r="BN41" s="1559">
        <v>0.27716953717157322</v>
      </c>
      <c r="BO41" s="1559">
        <v>0.22984859501579682</v>
      </c>
      <c r="BP41" s="1559">
        <v>1.459219628764298</v>
      </c>
      <c r="BQ41" s="1559">
        <v>0.26077180633966324</v>
      </c>
      <c r="BR41" s="1559">
        <v>0.33226497165250413</v>
      </c>
      <c r="BS41" s="1559">
        <v>0.24415059436127573</v>
      </c>
      <c r="BT41" s="1559">
        <v>0.28481399533374085</v>
      </c>
      <c r="BU41" s="1514">
        <v>0.19921718066879357</v>
      </c>
      <c r="BV41" s="1514">
        <v>0.18040218266593835</v>
      </c>
      <c r="BW41" s="2106">
        <v>0.32512820512820512</v>
      </c>
      <c r="BX41" s="2106">
        <v>0.1641504627664091</v>
      </c>
      <c r="BY41" s="2106">
        <v>0.13159381964363784</v>
      </c>
      <c r="BZ41" s="2107">
        <v>0.13831328504020735</v>
      </c>
      <c r="CA41" s="2107">
        <v>0.13580091880408962</v>
      </c>
      <c r="CB41" s="2107">
        <v>0.10299999999999998</v>
      </c>
      <c r="CC41" s="1486"/>
    </row>
    <row r="42" spans="1:81" ht="12.75" customHeight="1" x14ac:dyDescent="0.2">
      <c r="A42" s="1547" t="s">
        <v>76</v>
      </c>
      <c r="B42" s="1547"/>
      <c r="C42" s="1545">
        <v>-1.0785878248614655</v>
      </c>
      <c r="D42" s="1544"/>
      <c r="E42" s="1513"/>
      <c r="F42" s="1514">
        <v>0.78163116269674793</v>
      </c>
      <c r="G42" s="1514">
        <v>0.81281430092133755</v>
      </c>
      <c r="H42" s="1559">
        <v>0.69761581934462025</v>
      </c>
      <c r="I42" s="1559">
        <v>0.65071714389648183</v>
      </c>
      <c r="J42" s="1559">
        <v>0.79241704094536258</v>
      </c>
      <c r="K42" s="1559">
        <v>0.8577318525008375</v>
      </c>
      <c r="L42" s="1559">
        <v>0.69042748213289407</v>
      </c>
      <c r="M42" s="1559">
        <v>1.0556364897676032</v>
      </c>
      <c r="N42" s="1559">
        <v>0.84207771056305258</v>
      </c>
      <c r="O42" s="1559">
        <v>0.71580563544752718</v>
      </c>
      <c r="P42" s="1559">
        <v>0.82706672917643387</v>
      </c>
      <c r="Q42" s="1559">
        <v>0.96354442912202543</v>
      </c>
      <c r="R42" s="1559">
        <v>0.70191442362758738</v>
      </c>
      <c r="S42" s="1559">
        <v>1.0038101570091547</v>
      </c>
      <c r="T42" s="1559">
        <v>5.3641073526311036</v>
      </c>
      <c r="U42" s="1559">
        <v>0.88290653526132967</v>
      </c>
      <c r="V42" s="1559">
        <v>0.78171598322460389</v>
      </c>
      <c r="W42" s="1559">
        <v>0.84887766089621475</v>
      </c>
      <c r="X42" s="1559">
        <v>0.95385722115648119</v>
      </c>
      <c r="Y42" s="1559">
        <v>0.6711796032678885</v>
      </c>
      <c r="Z42" s="1559">
        <v>0.73640613184849113</v>
      </c>
      <c r="AA42" s="1559">
        <v>0.7772255382400074</v>
      </c>
      <c r="AB42" s="1559">
        <v>0.81062422789041499</v>
      </c>
      <c r="AC42" s="1559">
        <v>1.0589176049129989</v>
      </c>
      <c r="AD42" s="1559">
        <v>0.79522941355211185</v>
      </c>
      <c r="AE42" s="1559">
        <v>0.7115675713732531</v>
      </c>
      <c r="AF42" s="1559">
        <v>0.65273236194312922</v>
      </c>
      <c r="AG42" s="1559">
        <v>1.0111722386796445</v>
      </c>
      <c r="AH42" s="1559">
        <v>0.88760386256456325</v>
      </c>
      <c r="AI42" s="1559">
        <v>0.83036644790581082</v>
      </c>
      <c r="AJ42" s="1559">
        <v>0.75766569491763547</v>
      </c>
      <c r="AK42" s="1559">
        <v>0.87300840177920025</v>
      </c>
      <c r="AL42" s="1559" t="e">
        <v>#REF!</v>
      </c>
      <c r="AM42" s="1559">
        <v>0.56718792309775246</v>
      </c>
      <c r="AN42" s="1559">
        <v>0.56618587985814051</v>
      </c>
      <c r="AO42" s="1559">
        <v>0.68959506301468676</v>
      </c>
      <c r="AP42" s="1559">
        <v>0.83193546563130216</v>
      </c>
      <c r="AQ42" s="1559">
        <v>0.84631135016197057</v>
      </c>
      <c r="AR42" s="1559">
        <v>0.66254345965022621</v>
      </c>
      <c r="AS42" s="1559">
        <v>0.73509433962264148</v>
      </c>
      <c r="AT42" s="1559">
        <v>0.73823783855726355</v>
      </c>
      <c r="AU42" s="1559">
        <v>0.63048775616186636</v>
      </c>
      <c r="AV42" s="1559">
        <v>1.7087586043199621</v>
      </c>
      <c r="AW42" s="1559">
        <v>0.87971527215378709</v>
      </c>
      <c r="AX42" s="1559">
        <v>0.80260246856078243</v>
      </c>
      <c r="AY42" s="1559">
        <v>0.75591660405709993</v>
      </c>
      <c r="AZ42" s="1650">
        <v>0.79800000000000004</v>
      </c>
      <c r="BA42" s="1650">
        <v>0.83199999999999996</v>
      </c>
      <c r="BB42" s="1650">
        <v>0.68600000000000005</v>
      </c>
      <c r="BC42" s="1650">
        <v>0.77500000000000002</v>
      </c>
      <c r="BD42" s="1650">
        <v>0.74299999999999999</v>
      </c>
      <c r="BE42" s="1650">
        <v>0.76</v>
      </c>
      <c r="BF42" s="1650">
        <v>0.73199999999999998</v>
      </c>
      <c r="BG42" s="1528"/>
      <c r="BH42" s="1559">
        <v>0.72452765043254752</v>
      </c>
      <c r="BI42" s="1559">
        <v>0.82336446003350205</v>
      </c>
      <c r="BJ42" s="1545">
        <v>-9.8836809600954538</v>
      </c>
      <c r="BK42" s="1544"/>
      <c r="BL42" s="1528"/>
      <c r="BM42" s="1559">
        <v>0.72452765043254752</v>
      </c>
      <c r="BN42" s="1559">
        <v>0.82336446003350205</v>
      </c>
      <c r="BO42" s="1559">
        <v>0.77942359292456775</v>
      </c>
      <c r="BP42" s="1559">
        <v>2.0246577219004709</v>
      </c>
      <c r="BQ42" s="1559">
        <v>0.77201163330644962</v>
      </c>
      <c r="BR42" s="1559">
        <v>0.8497986721790538</v>
      </c>
      <c r="BS42" s="1559">
        <v>0.77220963408486964</v>
      </c>
      <c r="BT42" s="1559">
        <v>0.77831825264952259</v>
      </c>
      <c r="BU42" s="1514">
        <v>0.64738863287250381</v>
      </c>
      <c r="BV42" s="1514">
        <v>0.73009499890190954</v>
      </c>
      <c r="BW42" s="2106">
        <v>0.90560846560846564</v>
      </c>
      <c r="BX42" s="2106">
        <v>0.68007132546488924</v>
      </c>
      <c r="BY42" s="2106">
        <v>0.66735799362344184</v>
      </c>
      <c r="BZ42" s="2107">
        <v>0.70103675151192923</v>
      </c>
      <c r="CA42" s="2107">
        <v>0.70568967862786336</v>
      </c>
      <c r="CB42" s="2107">
        <v>0.73</v>
      </c>
      <c r="CC42" s="1486"/>
    </row>
    <row r="43" spans="1:81" ht="12.75" customHeight="1" x14ac:dyDescent="0.2">
      <c r="A43" s="1547" t="s">
        <v>182</v>
      </c>
      <c r="B43" s="1547"/>
      <c r="C43" s="1545">
        <v>1.0785878248614655</v>
      </c>
      <c r="D43" s="1544"/>
      <c r="E43" s="1513"/>
      <c r="F43" s="1514">
        <v>0.21836883730325207</v>
      </c>
      <c r="G43" s="1514">
        <v>0.18718569907866242</v>
      </c>
      <c r="H43" s="1559">
        <v>0.3023841806553797</v>
      </c>
      <c r="I43" s="1559">
        <v>0.34928285610351817</v>
      </c>
      <c r="J43" s="1559">
        <v>0.20758295905463742</v>
      </c>
      <c r="K43" s="1559">
        <v>0.14226814749916253</v>
      </c>
      <c r="L43" s="1559">
        <v>0.30957251786710593</v>
      </c>
      <c r="M43" s="1559">
        <v>-5.5636489767603194E-2</v>
      </c>
      <c r="N43" s="1559">
        <v>0.15792228943694742</v>
      </c>
      <c r="O43" s="1559">
        <v>0.28419436455247282</v>
      </c>
      <c r="P43" s="1559">
        <v>0.17293327082356619</v>
      </c>
      <c r="Q43" s="1559">
        <v>3.6455570877974609E-2</v>
      </c>
      <c r="R43" s="1559">
        <v>0.29808557637241268</v>
      </c>
      <c r="S43" s="1559">
        <v>-3.8101570091546052E-3</v>
      </c>
      <c r="T43" s="1559">
        <v>-4.3641073526311036</v>
      </c>
      <c r="U43" s="1559">
        <v>0.11709346473867033</v>
      </c>
      <c r="V43" s="1559">
        <v>0.21828401677539608</v>
      </c>
      <c r="W43" s="1559">
        <v>0.15112233910378531</v>
      </c>
      <c r="X43" s="1559">
        <v>4.6142778843518771E-2</v>
      </c>
      <c r="Y43" s="1559">
        <v>0.3288203967321115</v>
      </c>
      <c r="Z43" s="1559">
        <v>0.26359386815150893</v>
      </c>
      <c r="AA43" s="1559">
        <v>0.22277446175999258</v>
      </c>
      <c r="AB43" s="1559">
        <v>0.18937577210958506</v>
      </c>
      <c r="AC43" s="1559">
        <v>-5.8917604912998973E-2</v>
      </c>
      <c r="AD43" s="1559">
        <v>0.20477058644788818</v>
      </c>
      <c r="AE43" s="1559">
        <v>0.28843242862674695</v>
      </c>
      <c r="AF43" s="1559">
        <v>0.34728071781724956</v>
      </c>
      <c r="AG43" s="1559">
        <v>-1.117223867964452E-2</v>
      </c>
      <c r="AH43" s="1559">
        <v>0.11239613743543679</v>
      </c>
      <c r="AI43" s="1559">
        <v>0.16963355209418923</v>
      </c>
      <c r="AJ43" s="1559">
        <v>0.2423343050823645</v>
      </c>
      <c r="AK43" s="1559">
        <v>0.1269915982207997</v>
      </c>
      <c r="AL43" s="1559" t="e">
        <v>#REF!</v>
      </c>
      <c r="AM43" s="1559">
        <v>0.43281207690224749</v>
      </c>
      <c r="AN43" s="1559">
        <v>0.43381412014185955</v>
      </c>
      <c r="AO43" s="1559">
        <v>0.3104049369853133</v>
      </c>
      <c r="AP43" s="1559">
        <v>0.16806453436869781</v>
      </c>
      <c r="AQ43" s="1559">
        <v>0.15368864983802946</v>
      </c>
      <c r="AR43" s="1559">
        <v>0.33745654034977374</v>
      </c>
      <c r="AS43" s="1559">
        <v>0.26490566037735847</v>
      </c>
      <c r="AT43" s="1559">
        <v>0.2617621614427364</v>
      </c>
      <c r="AU43" s="1559">
        <v>0.36951224383813364</v>
      </c>
      <c r="AV43" s="1559">
        <v>-0.70875860431996207</v>
      </c>
      <c r="AW43" s="1559">
        <v>0.12028472784621286</v>
      </c>
      <c r="AX43" s="1559">
        <v>0.19739753143921751</v>
      </c>
      <c r="AY43" s="1559">
        <v>0.24408339594290007</v>
      </c>
      <c r="AZ43" s="1650">
        <v>0.20199999999999996</v>
      </c>
      <c r="BA43" s="1650">
        <v>0.16800000000000004</v>
      </c>
      <c r="BB43" s="1650">
        <v>0.31399999999999995</v>
      </c>
      <c r="BC43" s="1650">
        <v>0.22500000000000001</v>
      </c>
      <c r="BD43" s="1650">
        <v>0.25700000000000001</v>
      </c>
      <c r="BE43" s="1650">
        <v>0.24</v>
      </c>
      <c r="BF43" s="1650">
        <v>0.26800000000000002</v>
      </c>
      <c r="BG43" s="1528"/>
      <c r="BH43" s="1559">
        <v>0.27547234956745248</v>
      </c>
      <c r="BI43" s="1559">
        <v>0.17663553996649792</v>
      </c>
      <c r="BJ43" s="1545">
        <v>9.8836809600954556</v>
      </c>
      <c r="BK43" s="1544"/>
      <c r="BL43" s="1528"/>
      <c r="BM43" s="1559">
        <v>0.27547234956745248</v>
      </c>
      <c r="BN43" s="1559">
        <v>0.17663553996649792</v>
      </c>
      <c r="BO43" s="1559">
        <v>0.22057640707543225</v>
      </c>
      <c r="BP43" s="1559">
        <v>-1.0246577219004711</v>
      </c>
      <c r="BQ43" s="1559">
        <v>0.22798836669355035</v>
      </c>
      <c r="BR43" s="1559">
        <v>0.15020132782094617</v>
      </c>
      <c r="BS43" s="1559">
        <v>0.22779036591513041</v>
      </c>
      <c r="BT43" s="1559">
        <v>0.22168174735047738</v>
      </c>
      <c r="BU43" s="1514">
        <v>0.35261136712749613</v>
      </c>
      <c r="BV43" s="1514">
        <v>0.26990500109809046</v>
      </c>
      <c r="BW43" s="2106">
        <v>9.4391534391534387E-2</v>
      </c>
      <c r="BX43" s="2106">
        <v>0.31992867453511081</v>
      </c>
      <c r="BY43" s="2106">
        <v>0.33264200637655816</v>
      </c>
      <c r="BZ43" s="2107">
        <v>0.29896324848807071</v>
      </c>
      <c r="CA43" s="2107">
        <v>0.29431032137213659</v>
      </c>
      <c r="CB43" s="2107">
        <v>0.27</v>
      </c>
      <c r="CC43" s="1486"/>
    </row>
    <row r="44" spans="1:81" ht="12.75" customHeight="1" x14ac:dyDescent="0.2">
      <c r="A44" s="1547" t="s">
        <v>77</v>
      </c>
      <c r="B44" s="1547"/>
      <c r="C44" s="1545">
        <v>1.581839048092895</v>
      </c>
      <c r="D44" s="1544"/>
      <c r="E44" s="1513"/>
      <c r="F44" s="1514">
        <v>0.1641417672741963</v>
      </c>
      <c r="G44" s="1514">
        <v>0.1105421576184708</v>
      </c>
      <c r="H44" s="1559">
        <v>0.2659075365066414</v>
      </c>
      <c r="I44" s="1559">
        <v>0.31649171127163123</v>
      </c>
      <c r="J44" s="1559">
        <v>0.14832337679326735</v>
      </c>
      <c r="K44" s="1559">
        <v>0.10900095343623573</v>
      </c>
      <c r="L44" s="1559">
        <v>0.27826190918993599</v>
      </c>
      <c r="M44" s="1559">
        <v>-0.13877904960110996</v>
      </c>
      <c r="N44" s="1559">
        <v>7.5820148906468127E-2</v>
      </c>
      <c r="O44" s="1559">
        <v>0.20496075081633977</v>
      </c>
      <c r="P44" s="1559">
        <v>6.2478512267541801E-2</v>
      </c>
      <c r="Q44" s="1559">
        <v>-6.7253633181287784E-2</v>
      </c>
      <c r="R44" s="1559">
        <v>0.25431563445962529</v>
      </c>
      <c r="S44" s="1559">
        <v>-9.5944356364752209E-2</v>
      </c>
      <c r="T44" s="1559">
        <v>-4.4466399590349104</v>
      </c>
      <c r="U44" s="1559">
        <v>-1.9791582518781806E-3</v>
      </c>
      <c r="V44" s="1559">
        <v>0.13723205964585275</v>
      </c>
      <c r="W44" s="1559">
        <v>9.9064027168060967E-2</v>
      </c>
      <c r="X44" s="1559">
        <v>-2.1786790901616882E-2</v>
      </c>
      <c r="Y44" s="1559">
        <v>0.2875364590135388</v>
      </c>
      <c r="Z44" s="1559">
        <v>0.22636969821956418</v>
      </c>
      <c r="AA44" s="1559">
        <v>0.15240262907308916</v>
      </c>
      <c r="AB44" s="1559">
        <v>0.12261705786885643</v>
      </c>
      <c r="AC44" s="1559">
        <v>-0.11559621289662231</v>
      </c>
      <c r="AD44" s="1559">
        <v>0.13302947432391371</v>
      </c>
      <c r="AE44" s="1559">
        <v>0.24831907628401451</v>
      </c>
      <c r="AF44" s="1559">
        <v>0.31339105867580508</v>
      </c>
      <c r="AG44" s="1559">
        <v>-8.2211877556778112E-2</v>
      </c>
      <c r="AH44" s="1559">
        <v>3.0597350101055468E-2</v>
      </c>
      <c r="AI44" s="1559">
        <v>0.1258766864771991</v>
      </c>
      <c r="AJ44" s="1559">
        <v>0.19641038249446804</v>
      </c>
      <c r="AK44" s="1559">
        <v>5.3940834529665103E-2</v>
      </c>
      <c r="AL44" s="1559" t="e">
        <v>#REF!</v>
      </c>
      <c r="AM44" s="1559">
        <v>0.41521121039805037</v>
      </c>
      <c r="AN44" s="1559">
        <v>0.41739790135644034</v>
      </c>
      <c r="AO44" s="1559">
        <v>0.27287663547656738</v>
      </c>
      <c r="AP44" s="1559">
        <v>0.13525076804191719</v>
      </c>
      <c r="AQ44" s="1559">
        <v>9.9993887904162332E-2</v>
      </c>
      <c r="AR44" s="1559">
        <v>0.31154672676765027</v>
      </c>
      <c r="AS44" s="1559">
        <v>0.2130566037735849</v>
      </c>
      <c r="AT44" s="1559">
        <v>0.21321621082052306</v>
      </c>
      <c r="AU44" s="1559">
        <v>0.28066951623856512</v>
      </c>
      <c r="AV44" s="1559">
        <v>-0.76184824748793423</v>
      </c>
      <c r="AW44" s="1559">
        <v>1.9479135586718384E-2</v>
      </c>
      <c r="AX44" s="1559">
        <v>0.15710875640428504</v>
      </c>
      <c r="AY44" s="1559">
        <v>0.21625344352617079</v>
      </c>
      <c r="AZ44" s="1651" t="s">
        <v>181</v>
      </c>
      <c r="BA44" s="1651" t="s">
        <v>181</v>
      </c>
      <c r="BB44" s="1544"/>
      <c r="BC44" s="1544"/>
      <c r="BD44" s="1544"/>
      <c r="BE44" s="1544"/>
      <c r="BF44" s="1544"/>
      <c r="BG44" s="1652"/>
      <c r="BH44" s="1559">
        <v>0.22767920511000711</v>
      </c>
      <c r="BI44" s="1559">
        <v>0.12962620195644731</v>
      </c>
      <c r="BJ44" s="1545">
        <v>9.8053003153559803</v>
      </c>
      <c r="BK44" s="1544"/>
      <c r="BL44" s="1652"/>
      <c r="BM44" s="1559">
        <v>0.22767920511000711</v>
      </c>
      <c r="BN44" s="1559">
        <v>0.12962620195644731</v>
      </c>
      <c r="BO44" s="1559">
        <v>0.14161803218562394</v>
      </c>
      <c r="BP44" s="1559">
        <v>-1.1165457880196958</v>
      </c>
      <c r="BQ44" s="1559">
        <v>0.18151379622161937</v>
      </c>
      <c r="BR44" s="1559">
        <v>8.3413011567932988E-2</v>
      </c>
      <c r="BS44" s="1559">
        <v>0.17737365234881591</v>
      </c>
      <c r="BT44" s="1559">
        <v>0.17059826263635033</v>
      </c>
      <c r="BU44" s="1514">
        <v>0.32040352120997284</v>
      </c>
      <c r="BV44" s="1514">
        <v>0.21599720690839674</v>
      </c>
      <c r="BW44" s="2106">
        <v>9.4391534391534387E-2</v>
      </c>
      <c r="BX44" s="2106">
        <v>0.3048654156406555</v>
      </c>
      <c r="BY44" s="2106">
        <v>0.31759098324820595</v>
      </c>
      <c r="BZ44" s="2107">
        <v>0.28234199508207614</v>
      </c>
      <c r="CA44" s="2107">
        <v>0.26257076779790495</v>
      </c>
      <c r="CB44" s="2107"/>
      <c r="CC44" s="1486"/>
    </row>
    <row r="45" spans="1:81" ht="12.75" customHeight="1" x14ac:dyDescent="0.2">
      <c r="A45" s="1547"/>
      <c r="B45" s="1547"/>
      <c r="C45" s="1545"/>
      <c r="D45" s="1544"/>
      <c r="E45" s="1513"/>
      <c r="F45" s="1513"/>
      <c r="G45" s="1513"/>
      <c r="H45" s="1544"/>
      <c r="I45" s="1544"/>
      <c r="J45" s="1544"/>
      <c r="K45" s="1544"/>
      <c r="L45" s="1544"/>
      <c r="M45" s="1544"/>
      <c r="N45" s="1544"/>
      <c r="O45" s="1544"/>
      <c r="P45" s="1544"/>
      <c r="Q45" s="1544"/>
      <c r="R45" s="1544"/>
      <c r="S45" s="1544"/>
      <c r="T45" s="1544"/>
      <c r="U45" s="1544"/>
      <c r="V45" s="1544"/>
      <c r="W45" s="1205"/>
      <c r="X45" s="1544"/>
      <c r="Y45" s="1544"/>
      <c r="Z45" s="1544"/>
      <c r="AA45" s="1205"/>
      <c r="AB45" s="1544"/>
      <c r="AC45" s="1544"/>
      <c r="AD45" s="1544"/>
      <c r="AE45" s="1544"/>
      <c r="AF45" s="1544"/>
      <c r="AG45" s="1544"/>
      <c r="AH45" s="1544"/>
      <c r="AI45" s="1544"/>
      <c r="AJ45" s="1544"/>
      <c r="AK45" s="1544"/>
      <c r="AL45" s="1544"/>
      <c r="AM45" s="1544"/>
      <c r="AN45" s="1544"/>
      <c r="AO45" s="1544"/>
      <c r="AP45" s="1544"/>
      <c r="AQ45" s="1544"/>
      <c r="AR45" s="1544"/>
      <c r="AS45" s="1544"/>
      <c r="AT45" s="1544"/>
      <c r="AU45" s="1544"/>
      <c r="AV45" s="1544"/>
      <c r="AW45" s="1544"/>
      <c r="AX45" s="1559"/>
      <c r="AY45" s="1559"/>
      <c r="AZ45" s="1539"/>
      <c r="BA45" s="1539"/>
      <c r="BB45" s="1539"/>
      <c r="BC45" s="1559"/>
      <c r="BD45" s="1559"/>
      <c r="BE45" s="1559"/>
      <c r="BF45" s="1559"/>
      <c r="BG45" s="1528"/>
      <c r="BH45" s="1528"/>
      <c r="BI45" s="1528"/>
      <c r="BJ45" s="1596"/>
      <c r="BK45" s="1544"/>
      <c r="BL45" s="1528"/>
      <c r="BM45" s="1528"/>
      <c r="BN45" s="1528"/>
      <c r="BO45" s="1528"/>
      <c r="BP45" s="1528"/>
      <c r="BQ45" s="1650"/>
      <c r="BR45" s="1650"/>
      <c r="BS45" s="1650"/>
      <c r="BT45" s="1650"/>
      <c r="BU45" s="2106"/>
      <c r="BV45" s="2106"/>
      <c r="BW45" s="2106"/>
      <c r="BX45" s="2106"/>
      <c r="BY45" s="1514"/>
      <c r="BZ45" s="2108"/>
      <c r="CA45" s="2108"/>
      <c r="CB45" s="2108"/>
      <c r="CC45" s="1486"/>
    </row>
    <row r="46" spans="1:81" ht="12.75" customHeight="1" x14ac:dyDescent="0.2">
      <c r="A46" s="1547" t="s">
        <v>723</v>
      </c>
      <c r="B46" s="1547"/>
      <c r="C46" s="1548">
        <v>13</v>
      </c>
      <c r="D46" s="952">
        <v>5.3278688524590161E-2</v>
      </c>
      <c r="E46" s="1513"/>
      <c r="F46" s="1159">
        <v>257</v>
      </c>
      <c r="G46" s="1159">
        <v>255</v>
      </c>
      <c r="H46" s="1205">
        <v>248</v>
      </c>
      <c r="I46" s="1205">
        <v>248</v>
      </c>
      <c r="J46" s="1205">
        <v>244</v>
      </c>
      <c r="K46" s="1205">
        <v>189</v>
      </c>
      <c r="L46" s="1205">
        <v>189</v>
      </c>
      <c r="M46" s="1205">
        <v>194</v>
      </c>
      <c r="N46" s="1205">
        <v>190</v>
      </c>
      <c r="O46" s="1205">
        <v>178</v>
      </c>
      <c r="P46" s="1205">
        <v>184</v>
      </c>
      <c r="Q46" s="1205">
        <v>178</v>
      </c>
      <c r="R46" s="1205">
        <v>177</v>
      </c>
      <c r="S46" s="1205">
        <v>180</v>
      </c>
      <c r="T46" s="1205">
        <v>188</v>
      </c>
      <c r="U46" s="1205">
        <v>190</v>
      </c>
      <c r="V46" s="1205">
        <v>193</v>
      </c>
      <c r="W46" s="1205">
        <v>201</v>
      </c>
      <c r="X46" s="1205">
        <v>206</v>
      </c>
      <c r="Y46" s="1205">
        <v>208</v>
      </c>
      <c r="Z46" s="1205">
        <v>215</v>
      </c>
      <c r="AA46" s="1205">
        <v>215</v>
      </c>
      <c r="AB46" s="1205">
        <v>214</v>
      </c>
      <c r="AC46" s="1205">
        <v>215</v>
      </c>
      <c r="AD46" s="1205">
        <v>221</v>
      </c>
      <c r="AE46" s="1205">
        <v>222</v>
      </c>
      <c r="AF46" s="1205">
        <v>224</v>
      </c>
      <c r="AG46" s="1205">
        <v>225</v>
      </c>
      <c r="AH46" s="1205">
        <v>239</v>
      </c>
      <c r="AI46" s="1205">
        <v>247</v>
      </c>
      <c r="AJ46" s="1205">
        <v>262</v>
      </c>
      <c r="AK46" s="1205">
        <v>266</v>
      </c>
      <c r="AL46" s="1205"/>
      <c r="AM46" s="1205"/>
      <c r="AN46" s="1205"/>
      <c r="AO46" s="1205"/>
      <c r="AP46" s="1205"/>
      <c r="AQ46" s="1205"/>
      <c r="AR46" s="1205"/>
      <c r="AS46" s="1205"/>
      <c r="AT46" s="1205"/>
      <c r="AU46" s="1205"/>
      <c r="AV46" s="1205"/>
      <c r="AW46" s="1205"/>
      <c r="AX46" s="1269"/>
      <c r="AY46" s="1269"/>
      <c r="AZ46" s="1271"/>
      <c r="BA46" s="1271"/>
      <c r="BB46" s="1271"/>
      <c r="BC46" s="1269"/>
      <c r="BD46" s="1269"/>
      <c r="BE46" s="1269"/>
      <c r="BF46" s="1269"/>
      <c r="BG46" s="1528"/>
      <c r="BH46" s="1269">
        <v>255</v>
      </c>
      <c r="BI46" s="1269">
        <v>189</v>
      </c>
      <c r="BJ46" s="1596">
        <v>66</v>
      </c>
      <c r="BK46" s="1544">
        <v>0.34920634920634919</v>
      </c>
      <c r="BL46" s="1528"/>
      <c r="BM46" s="1269">
        <v>255</v>
      </c>
      <c r="BN46" s="1269">
        <v>189</v>
      </c>
      <c r="BO46" s="1269">
        <v>178</v>
      </c>
      <c r="BP46" s="1269">
        <v>180</v>
      </c>
      <c r="BQ46" s="1269">
        <v>201</v>
      </c>
      <c r="BR46" s="1269">
        <v>215</v>
      </c>
      <c r="BS46" s="1269">
        <v>222</v>
      </c>
      <c r="BT46" s="1269">
        <v>247</v>
      </c>
      <c r="BU46" s="1169">
        <v>268</v>
      </c>
      <c r="BV46" s="1169">
        <v>203</v>
      </c>
      <c r="BW46" s="1169">
        <v>209</v>
      </c>
      <c r="BX46" s="2106"/>
      <c r="BY46" s="1514"/>
      <c r="BZ46" s="2108"/>
      <c r="CA46" s="2108"/>
      <c r="CB46" s="2108"/>
      <c r="CC46" s="1486"/>
    </row>
    <row r="47" spans="1:81" x14ac:dyDescent="0.2">
      <c r="A47" s="1528"/>
      <c r="B47" s="1528"/>
      <c r="C47" s="1528"/>
      <c r="D47" s="1528"/>
      <c r="E47" s="1487"/>
      <c r="F47" s="1487"/>
      <c r="G47" s="1487"/>
      <c r="H47" s="1528"/>
      <c r="I47" s="1528"/>
      <c r="J47" s="1528"/>
      <c r="K47" s="1528"/>
      <c r="L47" s="1528"/>
      <c r="M47" s="1528"/>
      <c r="N47" s="1528"/>
      <c r="O47" s="1528"/>
      <c r="P47" s="1528"/>
      <c r="Q47" s="1528"/>
      <c r="R47" s="1528"/>
      <c r="S47" s="1528"/>
      <c r="T47" s="1528"/>
      <c r="U47" s="1528"/>
      <c r="V47" s="1528"/>
      <c r="W47" s="1528"/>
      <c r="X47" s="1528"/>
      <c r="Y47" s="1528"/>
      <c r="Z47" s="1528"/>
      <c r="AA47" s="1528"/>
      <c r="AB47" s="1528"/>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2228"/>
      <c r="BK47" s="2228"/>
      <c r="BL47" s="1528"/>
      <c r="BM47" s="1528"/>
      <c r="BN47" s="1528"/>
      <c r="BO47" s="1528"/>
      <c r="BP47" s="1528"/>
      <c r="BQ47" s="1528"/>
      <c r="BR47" s="1528"/>
      <c r="BS47" s="1528"/>
      <c r="BT47" s="1528"/>
      <c r="BU47" s="2465"/>
      <c r="BV47" s="1487"/>
      <c r="BW47" s="1487"/>
      <c r="BX47" s="1487"/>
      <c r="BY47" s="1487"/>
      <c r="BZ47" s="2109"/>
      <c r="CA47" s="2109"/>
      <c r="CB47" s="2109"/>
      <c r="CC47" s="1486"/>
    </row>
    <row r="48" spans="1:81" ht="15" x14ac:dyDescent="0.2">
      <c r="A48" s="2466" t="s">
        <v>619</v>
      </c>
      <c r="B48" s="1528"/>
      <c r="C48" s="1539"/>
      <c r="D48" s="1539"/>
      <c r="E48" s="1487"/>
      <c r="F48" s="1487"/>
      <c r="G48" s="1487"/>
      <c r="H48" s="1528"/>
      <c r="I48" s="1528"/>
      <c r="J48" s="1528"/>
      <c r="K48" s="1528"/>
      <c r="L48" s="1528"/>
      <c r="M48" s="1528"/>
      <c r="N48" s="1528"/>
      <c r="O48" s="1528"/>
      <c r="P48" s="1528"/>
      <c r="Q48" s="1528"/>
      <c r="R48" s="1528"/>
      <c r="S48" s="2455"/>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39"/>
      <c r="BB48" s="1539"/>
      <c r="BC48" s="1539"/>
      <c r="BD48" s="1539"/>
      <c r="BE48" s="1539"/>
      <c r="BF48" s="1539"/>
      <c r="BG48" s="1539"/>
      <c r="BH48" s="1539"/>
      <c r="BI48" s="1539"/>
      <c r="BJ48" s="2228"/>
      <c r="BK48" s="2228"/>
      <c r="BL48" s="1539"/>
      <c r="BM48" s="1539"/>
      <c r="BN48" s="1539"/>
      <c r="BO48" s="1539"/>
      <c r="BP48" s="1539"/>
      <c r="BQ48" s="1539"/>
      <c r="BR48" s="1539"/>
      <c r="BS48" s="1539"/>
      <c r="BT48" s="1539"/>
      <c r="BU48" s="2092"/>
      <c r="BV48" s="2092"/>
      <c r="BW48" s="2467"/>
      <c r="BX48" s="2092"/>
      <c r="BY48" s="2092"/>
      <c r="BZ48" s="2110"/>
      <c r="CA48" s="2110"/>
      <c r="CB48" s="2110"/>
      <c r="CC48" s="1486"/>
    </row>
    <row r="49" spans="1:81" x14ac:dyDescent="0.2">
      <c r="A49" s="2468"/>
      <c r="B49" s="1528"/>
      <c r="C49" s="1539"/>
      <c r="D49" s="1539"/>
      <c r="E49" s="1487"/>
      <c r="F49" s="1487"/>
      <c r="G49" s="1487"/>
      <c r="H49" s="1779"/>
      <c r="I49" s="1779"/>
      <c r="J49" s="1528"/>
      <c r="K49" s="1528"/>
      <c r="L49" s="1779"/>
      <c r="M49" s="1779"/>
      <c r="N49" s="1528"/>
      <c r="O49" s="1528"/>
      <c r="P49" s="1779"/>
      <c r="Q49" s="1779"/>
      <c r="R49" s="1528"/>
      <c r="S49" s="1528"/>
      <c r="T49" s="1779"/>
      <c r="U49" s="1779"/>
      <c r="V49" s="1528"/>
      <c r="W49" s="1528"/>
      <c r="X49" s="1779"/>
      <c r="Y49" s="1779"/>
      <c r="Z49" s="1528"/>
      <c r="AA49" s="1528"/>
      <c r="AB49" s="1779"/>
      <c r="AC49" s="1779"/>
      <c r="AD49" s="1528"/>
      <c r="AE49" s="1528"/>
      <c r="AF49" s="1779"/>
      <c r="AG49" s="1779"/>
      <c r="AH49" s="1528"/>
      <c r="AI49" s="1528"/>
      <c r="AJ49" s="1528"/>
      <c r="AK49" s="1779"/>
      <c r="AL49" s="1528"/>
      <c r="AM49" s="1779"/>
      <c r="AN49" s="1528"/>
      <c r="AO49" s="1779"/>
      <c r="AP49" s="1528"/>
      <c r="AQ49" s="1779"/>
      <c r="AR49" s="1528"/>
      <c r="AS49" s="1779"/>
      <c r="AT49" s="1528"/>
      <c r="AU49" s="1779"/>
      <c r="AV49" s="1528"/>
      <c r="AW49" s="1528"/>
      <c r="AX49" s="1528"/>
      <c r="AY49" s="1528"/>
      <c r="AZ49" s="1528"/>
      <c r="BA49" s="1539"/>
      <c r="BB49" s="1539"/>
      <c r="BC49" s="1539"/>
      <c r="BD49" s="1539"/>
      <c r="BE49" s="1539"/>
      <c r="BF49" s="1539"/>
      <c r="BG49" s="1539"/>
      <c r="BH49" s="1539"/>
      <c r="BI49" s="1539"/>
      <c r="BJ49" s="2228"/>
      <c r="BK49" s="2228"/>
      <c r="BL49" s="1539"/>
      <c r="BM49" s="1539"/>
      <c r="BN49" s="1539"/>
      <c r="BO49" s="1539"/>
      <c r="BP49" s="1539"/>
      <c r="BQ49" s="1539"/>
      <c r="BR49" s="1539"/>
      <c r="BS49" s="1539"/>
      <c r="BT49" s="1539"/>
      <c r="BU49" s="2092"/>
      <c r="BV49" s="2092"/>
      <c r="BW49" s="2092"/>
      <c r="BX49" s="2092"/>
      <c r="BY49" s="2092"/>
      <c r="BZ49" s="2110"/>
      <c r="CA49" s="2110"/>
      <c r="CB49" s="2110"/>
      <c r="CC49" s="1486"/>
    </row>
    <row r="50" spans="1:81" ht="12.75" customHeight="1" x14ac:dyDescent="0.2">
      <c r="A50" s="1527"/>
      <c r="B50" s="1528"/>
      <c r="C50" s="3188" t="s">
        <v>671</v>
      </c>
      <c r="D50" s="3189"/>
      <c r="E50" s="1488"/>
      <c r="F50" s="2427"/>
      <c r="G50" s="2445"/>
      <c r="H50" s="1526"/>
      <c r="I50" s="1526"/>
      <c r="J50" s="2442"/>
      <c r="K50" s="2443"/>
      <c r="L50" s="2443"/>
      <c r="M50" s="1526"/>
      <c r="N50" s="2442"/>
      <c r="O50" s="2443"/>
      <c r="P50" s="2443"/>
      <c r="Q50" s="1526"/>
      <c r="R50" s="2442"/>
      <c r="S50" s="2443"/>
      <c r="T50" s="2443"/>
      <c r="U50" s="1526"/>
      <c r="V50" s="2442"/>
      <c r="W50" s="2443"/>
      <c r="X50" s="2443"/>
      <c r="Y50" s="1526"/>
      <c r="Z50" s="2442"/>
      <c r="AA50" s="2443"/>
      <c r="AB50" s="2443"/>
      <c r="AC50" s="1526"/>
      <c r="AD50" s="2442"/>
      <c r="AE50" s="2443"/>
      <c r="AF50" s="2443"/>
      <c r="AG50" s="1526"/>
      <c r="AH50" s="2442"/>
      <c r="AI50" s="2443"/>
      <c r="AJ50" s="2443"/>
      <c r="AK50" s="1526"/>
      <c r="AL50" s="2442"/>
      <c r="AM50" s="2443"/>
      <c r="AN50" s="2443"/>
      <c r="AO50" s="1526"/>
      <c r="AP50" s="2442"/>
      <c r="AQ50" s="2443"/>
      <c r="AR50" s="2443"/>
      <c r="AS50" s="1526"/>
      <c r="AT50" s="2442"/>
      <c r="AU50" s="1526"/>
      <c r="AV50" s="2443"/>
      <c r="AW50" s="2443"/>
      <c r="AX50" s="2442"/>
      <c r="AY50" s="2443"/>
      <c r="AZ50" s="2443"/>
      <c r="BA50" s="2443"/>
      <c r="BB50" s="2443"/>
      <c r="BC50" s="2444"/>
      <c r="BD50" s="2442"/>
      <c r="BE50" s="2442"/>
      <c r="BF50" s="2442"/>
      <c r="BG50" s="1569"/>
      <c r="BH50" s="3188" t="s">
        <v>660</v>
      </c>
      <c r="BI50" s="3190"/>
      <c r="BJ50" s="988" t="s">
        <v>563</v>
      </c>
      <c r="BK50" s="989"/>
      <c r="BL50" s="1570"/>
      <c r="BM50" s="1571"/>
      <c r="BN50" s="1571"/>
      <c r="BO50" s="1571"/>
      <c r="BP50" s="1571"/>
      <c r="BQ50" s="1571"/>
      <c r="BR50" s="1571"/>
      <c r="BS50" s="1571"/>
      <c r="BT50" s="1571"/>
      <c r="BU50" s="2062"/>
      <c r="BV50" s="2062"/>
      <c r="BW50" s="2062"/>
      <c r="BX50" s="2469"/>
      <c r="BY50" s="2470"/>
      <c r="BZ50" s="2062"/>
      <c r="CA50" s="2062"/>
      <c r="CB50" s="2062"/>
      <c r="CC50" s="2155"/>
    </row>
    <row r="51" spans="1:81" ht="12.75" customHeight="1" x14ac:dyDescent="0.2">
      <c r="A51" s="1527" t="s">
        <v>2</v>
      </c>
      <c r="B51" s="1528"/>
      <c r="C51" s="3186" t="s">
        <v>38</v>
      </c>
      <c r="D51" s="3187"/>
      <c r="E51" s="1491"/>
      <c r="F51" s="907" t="s">
        <v>670</v>
      </c>
      <c r="G51" s="1948" t="s">
        <v>558</v>
      </c>
      <c r="H51" s="992" t="s">
        <v>559</v>
      </c>
      <c r="I51" s="992" t="s">
        <v>560</v>
      </c>
      <c r="J51" s="993" t="s">
        <v>561</v>
      </c>
      <c r="K51" s="992" t="s">
        <v>508</v>
      </c>
      <c r="L51" s="992" t="s">
        <v>507</v>
      </c>
      <c r="M51" s="992" t="s">
        <v>506</v>
      </c>
      <c r="N51" s="993" t="s">
        <v>505</v>
      </c>
      <c r="O51" s="992" t="s">
        <v>382</v>
      </c>
      <c r="P51" s="992" t="s">
        <v>383</v>
      </c>
      <c r="Q51" s="992" t="s">
        <v>384</v>
      </c>
      <c r="R51" s="993" t="s">
        <v>385</v>
      </c>
      <c r="S51" s="992" t="s">
        <v>368</v>
      </c>
      <c r="T51" s="992" t="s">
        <v>367</v>
      </c>
      <c r="U51" s="992" t="s">
        <v>366</v>
      </c>
      <c r="V51" s="993" t="s">
        <v>364</v>
      </c>
      <c r="W51" s="992" t="s">
        <v>348</v>
      </c>
      <c r="X51" s="992" t="s">
        <v>349</v>
      </c>
      <c r="Y51" s="992" t="s">
        <v>350</v>
      </c>
      <c r="Z51" s="993" t="s">
        <v>351</v>
      </c>
      <c r="AA51" s="1572" t="s">
        <v>315</v>
      </c>
      <c r="AB51" s="1572" t="s">
        <v>314</v>
      </c>
      <c r="AC51" s="1572" t="s">
        <v>313</v>
      </c>
      <c r="AD51" s="1573" t="s">
        <v>311</v>
      </c>
      <c r="AE51" s="1572" t="s">
        <v>270</v>
      </c>
      <c r="AF51" s="1572" t="s">
        <v>271</v>
      </c>
      <c r="AG51" s="1572" t="s">
        <v>272</v>
      </c>
      <c r="AH51" s="1573" t="s">
        <v>273</v>
      </c>
      <c r="AI51" s="1572" t="s">
        <v>223</v>
      </c>
      <c r="AJ51" s="1572" t="s">
        <v>224</v>
      </c>
      <c r="AK51" s="1572" t="s">
        <v>225</v>
      </c>
      <c r="AL51" s="1573" t="s">
        <v>222</v>
      </c>
      <c r="AM51" s="1572" t="s">
        <v>189</v>
      </c>
      <c r="AN51" s="1572" t="s">
        <v>190</v>
      </c>
      <c r="AO51" s="1572" t="s">
        <v>191</v>
      </c>
      <c r="AP51" s="1573" t="s">
        <v>192</v>
      </c>
      <c r="AQ51" s="1572" t="s">
        <v>121</v>
      </c>
      <c r="AR51" s="1572" t="s">
        <v>120</v>
      </c>
      <c r="AS51" s="1572" t="s">
        <v>119</v>
      </c>
      <c r="AT51" s="1573" t="s">
        <v>118</v>
      </c>
      <c r="AU51" s="1572" t="s">
        <v>81</v>
      </c>
      <c r="AV51" s="1572" t="s">
        <v>82</v>
      </c>
      <c r="AW51" s="1572" t="s">
        <v>83</v>
      </c>
      <c r="AX51" s="1573" t="s">
        <v>29</v>
      </c>
      <c r="AY51" s="1572" t="s">
        <v>30</v>
      </c>
      <c r="AZ51" s="1572" t="s">
        <v>31</v>
      </c>
      <c r="BA51" s="1572" t="s">
        <v>32</v>
      </c>
      <c r="BB51" s="1572" t="s">
        <v>33</v>
      </c>
      <c r="BC51" s="1574" t="s">
        <v>34</v>
      </c>
      <c r="BD51" s="1573" t="s">
        <v>35</v>
      </c>
      <c r="BE51" s="1573" t="s">
        <v>36</v>
      </c>
      <c r="BF51" s="1573" t="s">
        <v>37</v>
      </c>
      <c r="BG51" s="1637"/>
      <c r="BH51" s="1808" t="s">
        <v>558</v>
      </c>
      <c r="BI51" s="990" t="s">
        <v>508</v>
      </c>
      <c r="BJ51" s="3071" t="s">
        <v>38</v>
      </c>
      <c r="BK51" s="3072"/>
      <c r="BL51" s="1656"/>
      <c r="BM51" s="996" t="s">
        <v>562</v>
      </c>
      <c r="BN51" s="995" t="s">
        <v>509</v>
      </c>
      <c r="BO51" s="994" t="s">
        <v>502</v>
      </c>
      <c r="BP51" s="994" t="s">
        <v>379</v>
      </c>
      <c r="BQ51" s="994" t="s">
        <v>360</v>
      </c>
      <c r="BR51" s="994" t="s">
        <v>317</v>
      </c>
      <c r="BS51" s="1574" t="s">
        <v>275</v>
      </c>
      <c r="BT51" s="1574" t="s">
        <v>227</v>
      </c>
      <c r="BU51" s="2066" t="s">
        <v>123</v>
      </c>
      <c r="BV51" s="2066" t="s">
        <v>122</v>
      </c>
      <c r="BW51" s="2066" t="s">
        <v>42</v>
      </c>
      <c r="BX51" s="2066" t="s">
        <v>39</v>
      </c>
      <c r="BY51" s="2067" t="s">
        <v>40</v>
      </c>
      <c r="BZ51" s="2067" t="s">
        <v>142</v>
      </c>
      <c r="CA51" s="2067" t="s">
        <v>143</v>
      </c>
      <c r="CB51" s="2067" t="s">
        <v>144</v>
      </c>
      <c r="CC51" s="2155"/>
    </row>
    <row r="52" spans="1:81" ht="12.75" customHeight="1" x14ac:dyDescent="0.2">
      <c r="A52" s="2471"/>
      <c r="B52" s="1528" t="s">
        <v>4</v>
      </c>
      <c r="C52" s="1804">
        <v>18493</v>
      </c>
      <c r="D52" s="1210">
        <v>0.40319626738760739</v>
      </c>
      <c r="E52" s="2452"/>
      <c r="F52" s="1169">
        <v>64359</v>
      </c>
      <c r="G52" s="2318">
        <v>54486</v>
      </c>
      <c r="H52" s="1657">
        <v>83341</v>
      </c>
      <c r="I52" s="1657">
        <v>76972</v>
      </c>
      <c r="J52" s="1678">
        <v>45866</v>
      </c>
      <c r="K52" s="1269">
        <v>77614</v>
      </c>
      <c r="L52" s="1269">
        <v>75278</v>
      </c>
      <c r="M52" s="1657">
        <v>28830</v>
      </c>
      <c r="N52" s="1678">
        <v>34384</v>
      </c>
      <c r="O52" s="1269">
        <v>46243</v>
      </c>
      <c r="P52" s="1269">
        <v>31995</v>
      </c>
      <c r="Q52" s="1657">
        <v>28281</v>
      </c>
      <c r="R52" s="1678">
        <v>48892</v>
      </c>
      <c r="S52" s="1657">
        <v>39106</v>
      </c>
      <c r="T52" s="1657">
        <v>33199</v>
      </c>
      <c r="U52" s="1657">
        <v>24758</v>
      </c>
      <c r="V52" s="1678">
        <v>34336</v>
      </c>
      <c r="W52" s="1657">
        <v>48292</v>
      </c>
      <c r="X52" s="1657">
        <v>29192</v>
      </c>
      <c r="Y52" s="1657">
        <v>68913</v>
      </c>
      <c r="Z52" s="1678">
        <v>58188</v>
      </c>
      <c r="AA52" s="1657">
        <v>43057</v>
      </c>
      <c r="AB52" s="1657">
        <v>41283</v>
      </c>
      <c r="AC52" s="1657">
        <v>31264</v>
      </c>
      <c r="AD52" s="1678">
        <v>32910</v>
      </c>
      <c r="AE52" s="1657">
        <v>56814</v>
      </c>
      <c r="AF52" s="1657">
        <v>76454</v>
      </c>
      <c r="AG52" s="1657">
        <v>35445</v>
      </c>
      <c r="AH52" s="1678">
        <v>35624</v>
      </c>
      <c r="AI52" s="1657">
        <v>71006</v>
      </c>
      <c r="AJ52" s="1657">
        <v>56942</v>
      </c>
      <c r="AK52" s="1657">
        <v>42491</v>
      </c>
      <c r="AL52" s="1657">
        <v>61867</v>
      </c>
      <c r="AM52" s="1657">
        <v>88632</v>
      </c>
      <c r="AN52" s="1659">
        <v>109404</v>
      </c>
      <c r="AO52" s="1657">
        <v>49909</v>
      </c>
      <c r="AP52" s="1678">
        <v>53057</v>
      </c>
      <c r="AQ52" s="1657">
        <v>32806</v>
      </c>
      <c r="AR52" s="1659">
        <v>58040</v>
      </c>
      <c r="AS52" s="1657">
        <v>27314</v>
      </c>
      <c r="AT52" s="1678">
        <v>30054</v>
      </c>
      <c r="AU52" s="1659">
        <v>25033</v>
      </c>
      <c r="AV52" s="1659">
        <v>12639</v>
      </c>
      <c r="AW52" s="1657">
        <v>23461</v>
      </c>
      <c r="AX52" s="1678">
        <v>34352</v>
      </c>
      <c r="AY52" s="1660">
        <v>31944</v>
      </c>
      <c r="AZ52" s="1660">
        <v>42952</v>
      </c>
      <c r="BA52" s="1660">
        <v>39210</v>
      </c>
      <c r="BB52" s="1660">
        <v>62549</v>
      </c>
      <c r="BC52" s="1661">
        <v>57382</v>
      </c>
      <c r="BD52" s="1662">
        <v>48897</v>
      </c>
      <c r="BE52" s="1662">
        <v>38533</v>
      </c>
      <c r="BF52" s="1663">
        <v>42750</v>
      </c>
      <c r="BG52" s="2450"/>
      <c r="BH52" s="2780">
        <v>260665</v>
      </c>
      <c r="BI52" s="1723">
        <v>216106</v>
      </c>
      <c r="BJ52" s="2893">
        <v>44559</v>
      </c>
      <c r="BK52" s="1664">
        <v>0.20619048059748457</v>
      </c>
      <c r="BL52" s="1539"/>
      <c r="BM52" s="2888">
        <v>260665</v>
      </c>
      <c r="BN52" s="1937">
        <v>216106</v>
      </c>
      <c r="BO52" s="1597">
        <v>155411</v>
      </c>
      <c r="BP52" s="1597">
        <v>131399</v>
      </c>
      <c r="BQ52" s="1684">
        <v>204585</v>
      </c>
      <c r="BR52" s="1684">
        <v>148514</v>
      </c>
      <c r="BS52" s="1684">
        <v>204337</v>
      </c>
      <c r="BT52" s="1684">
        <v>232306</v>
      </c>
      <c r="BU52" s="2124">
        <v>338520</v>
      </c>
      <c r="BV52" s="2124">
        <v>177581</v>
      </c>
      <c r="BW52" s="2124">
        <v>122850</v>
      </c>
      <c r="BX52" s="2113">
        <v>176655</v>
      </c>
      <c r="BY52" s="2115">
        <v>187562</v>
      </c>
      <c r="BZ52" s="2095">
        <v>150470</v>
      </c>
      <c r="CA52" s="2095">
        <v>95559</v>
      </c>
      <c r="CB52" s="2095">
        <v>211758</v>
      </c>
      <c r="CC52" s="2155"/>
    </row>
    <row r="53" spans="1:81" ht="12.75" customHeight="1" x14ac:dyDescent="0.2">
      <c r="A53" s="1539"/>
      <c r="B53" s="1528" t="s">
        <v>80</v>
      </c>
      <c r="C53" s="1533">
        <v>15073</v>
      </c>
      <c r="D53" s="1035">
        <v>0.43571139503960227</v>
      </c>
      <c r="E53" s="1517"/>
      <c r="F53" s="1169">
        <v>49667</v>
      </c>
      <c r="G53" s="2318">
        <v>43649</v>
      </c>
      <c r="H53" s="1657">
        <v>57502</v>
      </c>
      <c r="I53" s="1657">
        <v>49449</v>
      </c>
      <c r="J53" s="1678">
        <v>34594</v>
      </c>
      <c r="K53" s="1269">
        <v>54337</v>
      </c>
      <c r="L53" s="1269">
        <v>51396</v>
      </c>
      <c r="M53" s="1657">
        <v>27490</v>
      </c>
      <c r="N53" s="1678">
        <v>28376</v>
      </c>
      <c r="O53" s="1269">
        <v>32523</v>
      </c>
      <c r="P53" s="1269">
        <v>25884</v>
      </c>
      <c r="Q53" s="1657">
        <v>26672</v>
      </c>
      <c r="R53" s="1678">
        <v>33739</v>
      </c>
      <c r="S53" s="1657">
        <v>34092</v>
      </c>
      <c r="T53" s="1657">
        <v>27504</v>
      </c>
      <c r="U53" s="1657">
        <v>21280</v>
      </c>
      <c r="V53" s="1678">
        <v>26176</v>
      </c>
      <c r="W53" s="1657">
        <v>36058</v>
      </c>
      <c r="X53" s="1657">
        <v>26915</v>
      </c>
      <c r="Y53" s="1657">
        <v>45323</v>
      </c>
      <c r="Z53" s="1678">
        <v>41920</v>
      </c>
      <c r="AA53" s="1657">
        <v>32534</v>
      </c>
      <c r="AB53" s="1657">
        <v>32534</v>
      </c>
      <c r="AC53" s="1657">
        <v>27997</v>
      </c>
      <c r="AD53" s="1678">
        <v>25241</v>
      </c>
      <c r="AE53" s="1657">
        <v>39497</v>
      </c>
      <c r="AF53" s="1657">
        <v>48973</v>
      </c>
      <c r="AG53" s="1657">
        <v>33948</v>
      </c>
      <c r="AH53" s="1678">
        <v>30690</v>
      </c>
      <c r="AI53" s="1657">
        <v>51052</v>
      </c>
      <c r="AJ53" s="1657">
        <v>39039</v>
      </c>
      <c r="AK53" s="1657">
        <v>34722</v>
      </c>
      <c r="AL53" s="1678" t="e">
        <v>#REF!</v>
      </c>
      <c r="AM53" s="1657">
        <v>49341</v>
      </c>
      <c r="AN53" s="1657">
        <v>61013</v>
      </c>
      <c r="AO53" s="1657">
        <v>32590</v>
      </c>
      <c r="AP53" s="1678">
        <v>31711</v>
      </c>
      <c r="AQ53" s="1657">
        <v>22693</v>
      </c>
      <c r="AR53" s="1657">
        <v>37922</v>
      </c>
      <c r="AS53" s="1657">
        <v>19480</v>
      </c>
      <c r="AT53" s="1678">
        <v>22187</v>
      </c>
      <c r="AU53" s="1657">
        <v>15783</v>
      </c>
      <c r="AV53" s="1657">
        <v>21597</v>
      </c>
      <c r="AW53" s="1657">
        <v>20639</v>
      </c>
      <c r="AX53" s="1678">
        <v>27571</v>
      </c>
      <c r="AY53" s="1660">
        <v>24147</v>
      </c>
      <c r="AZ53" s="1660">
        <v>86348</v>
      </c>
      <c r="BA53" s="1660">
        <v>72982</v>
      </c>
      <c r="BB53" s="1660">
        <v>106349</v>
      </c>
      <c r="BC53" s="1666">
        <v>100905</v>
      </c>
      <c r="BD53" s="1662">
        <v>75317</v>
      </c>
      <c r="BE53" s="1662">
        <v>70703</v>
      </c>
      <c r="BF53" s="1662">
        <v>91522</v>
      </c>
      <c r="BG53" s="2450"/>
      <c r="BH53" s="2199">
        <v>185194</v>
      </c>
      <c r="BI53" s="1603">
        <v>161599</v>
      </c>
      <c r="BJ53" s="2231">
        <v>23595</v>
      </c>
      <c r="BK53" s="1669">
        <v>0.14600956689088423</v>
      </c>
      <c r="BL53" s="1539"/>
      <c r="BM53" s="1937">
        <v>185194</v>
      </c>
      <c r="BN53" s="2519">
        <v>161599</v>
      </c>
      <c r="BO53" s="1597">
        <v>118818</v>
      </c>
      <c r="BP53" s="1597">
        <v>109052</v>
      </c>
      <c r="BQ53" s="1684">
        <v>150216</v>
      </c>
      <c r="BR53" s="1684">
        <v>118306</v>
      </c>
      <c r="BS53" s="1684">
        <v>153108</v>
      </c>
      <c r="BT53" s="1684">
        <v>165492</v>
      </c>
      <c r="BU53" s="2124">
        <v>201288</v>
      </c>
      <c r="BV53" s="2124">
        <v>102282</v>
      </c>
      <c r="BW53" s="2124">
        <v>102599</v>
      </c>
      <c r="BX53" s="2116">
        <v>120138</v>
      </c>
      <c r="BY53" s="2117">
        <v>125171</v>
      </c>
      <c r="BZ53" s="2084">
        <v>105485</v>
      </c>
      <c r="CA53" s="2084">
        <v>67435</v>
      </c>
      <c r="CB53" s="2084">
        <v>154490</v>
      </c>
      <c r="CC53" s="2155"/>
    </row>
    <row r="54" spans="1:81" ht="12.75" customHeight="1" x14ac:dyDescent="0.2">
      <c r="A54" s="1539"/>
      <c r="B54" s="2232" t="s">
        <v>336</v>
      </c>
      <c r="C54" s="1533">
        <v>772</v>
      </c>
      <c r="D54" s="1035">
        <v>0.28403237674760856</v>
      </c>
      <c r="E54" s="1517"/>
      <c r="F54" s="1169">
        <v>3490</v>
      </c>
      <c r="G54" s="2318">
        <v>4176</v>
      </c>
      <c r="H54" s="1657">
        <v>3040</v>
      </c>
      <c r="I54" s="1657">
        <v>2524</v>
      </c>
      <c r="J54" s="1678">
        <v>2718</v>
      </c>
      <c r="K54" s="1269">
        <v>2582</v>
      </c>
      <c r="L54" s="1269">
        <v>2357</v>
      </c>
      <c r="M54" s="1657">
        <v>2397</v>
      </c>
      <c r="N54" s="1678">
        <v>2823</v>
      </c>
      <c r="O54" s="1269">
        <v>3664</v>
      </c>
      <c r="P54" s="1269">
        <v>3534</v>
      </c>
      <c r="Q54" s="1657">
        <v>2933</v>
      </c>
      <c r="R54" s="1678">
        <v>2140</v>
      </c>
      <c r="S54" s="1657">
        <v>3603</v>
      </c>
      <c r="T54" s="1657">
        <v>2740</v>
      </c>
      <c r="U54" s="1657">
        <v>2948</v>
      </c>
      <c r="V54" s="1678">
        <v>2783</v>
      </c>
      <c r="W54" s="1657">
        <v>2514</v>
      </c>
      <c r="X54" s="1657">
        <v>1983</v>
      </c>
      <c r="Y54" s="1657"/>
      <c r="Z54" s="1678"/>
      <c r="AA54" s="1657"/>
      <c r="AB54" s="1657"/>
      <c r="AC54" s="1657"/>
      <c r="AD54" s="1678"/>
      <c r="AE54" s="1657"/>
      <c r="AF54" s="1657"/>
      <c r="AG54" s="1657"/>
      <c r="AH54" s="1678"/>
      <c r="AI54" s="1657"/>
      <c r="AJ54" s="1657"/>
      <c r="AK54" s="1657"/>
      <c r="AL54" s="1678"/>
      <c r="AM54" s="1657"/>
      <c r="AN54" s="1657"/>
      <c r="AO54" s="1657"/>
      <c r="AP54" s="1678"/>
      <c r="AQ54" s="1657"/>
      <c r="AR54" s="1657"/>
      <c r="AS54" s="1657"/>
      <c r="AT54" s="1678"/>
      <c r="AU54" s="1657"/>
      <c r="AV54" s="1657"/>
      <c r="AW54" s="1657"/>
      <c r="AX54" s="1678"/>
      <c r="AY54" s="1660"/>
      <c r="AZ54" s="1660"/>
      <c r="BA54" s="1660"/>
      <c r="BB54" s="1660"/>
      <c r="BC54" s="1666"/>
      <c r="BD54" s="1662"/>
      <c r="BE54" s="1662"/>
      <c r="BF54" s="1662"/>
      <c r="BG54" s="2450"/>
      <c r="BH54" s="2199">
        <v>12458</v>
      </c>
      <c r="BI54" s="1603">
        <v>10159</v>
      </c>
      <c r="BJ54" s="2231">
        <v>2299</v>
      </c>
      <c r="BK54" s="1669">
        <v>0.22630180135840142</v>
      </c>
      <c r="BL54" s="1539"/>
      <c r="BM54" s="1937">
        <v>12458</v>
      </c>
      <c r="BN54" s="2519">
        <v>10159</v>
      </c>
      <c r="BO54" s="1597">
        <v>12271</v>
      </c>
      <c r="BP54" s="1597">
        <v>12074</v>
      </c>
      <c r="BQ54" s="1684">
        <v>9508</v>
      </c>
      <c r="BR54" s="1684">
        <v>9919</v>
      </c>
      <c r="BS54" s="1684">
        <v>10302</v>
      </c>
      <c r="BT54" s="1684">
        <v>11867</v>
      </c>
      <c r="BU54" s="2124"/>
      <c r="BV54" s="2124"/>
      <c r="BW54" s="2124"/>
      <c r="BX54" s="2116"/>
      <c r="BY54" s="2117"/>
      <c r="BZ54" s="2084"/>
      <c r="CA54" s="2084"/>
      <c r="CB54" s="2084"/>
      <c r="CC54" s="2155"/>
    </row>
    <row r="55" spans="1:81" ht="24.75" customHeight="1" x14ac:dyDescent="0.2">
      <c r="A55" s="1539"/>
      <c r="B55" s="2232" t="s">
        <v>72</v>
      </c>
      <c r="C55" s="1537">
        <v>2648</v>
      </c>
      <c r="D55" s="1192">
        <v>0.30956277764788404</v>
      </c>
      <c r="E55" s="1517"/>
      <c r="F55" s="1181">
        <v>11202</v>
      </c>
      <c r="G55" s="2210">
        <v>6661</v>
      </c>
      <c r="H55" s="1304">
        <v>22799</v>
      </c>
      <c r="I55" s="1304">
        <v>24999</v>
      </c>
      <c r="J55" s="1693">
        <v>8554</v>
      </c>
      <c r="K55" s="1304">
        <v>20695</v>
      </c>
      <c r="L55" s="1304">
        <v>21525</v>
      </c>
      <c r="M55" s="1304">
        <v>-1057</v>
      </c>
      <c r="N55" s="1693">
        <v>3185</v>
      </c>
      <c r="O55" s="1304">
        <v>10056</v>
      </c>
      <c r="P55" s="1304">
        <v>2577</v>
      </c>
      <c r="Q55" s="1304">
        <v>-1324</v>
      </c>
      <c r="R55" s="1693">
        <v>13013</v>
      </c>
      <c r="S55" s="1304">
        <v>1411</v>
      </c>
      <c r="T55" s="1672">
        <v>2955</v>
      </c>
      <c r="U55" s="1672">
        <v>530</v>
      </c>
      <c r="V55" s="1693">
        <v>5377</v>
      </c>
      <c r="W55" s="1672">
        <v>9720</v>
      </c>
      <c r="X55" s="1672">
        <v>294</v>
      </c>
      <c r="Y55" s="1672">
        <v>20745</v>
      </c>
      <c r="Z55" s="1693">
        <v>14102</v>
      </c>
      <c r="AA55" s="1672">
        <v>7493</v>
      </c>
      <c r="AB55" s="1672">
        <v>5993</v>
      </c>
      <c r="AC55" s="1672" t="e">
        <v>#REF!</v>
      </c>
      <c r="AD55" s="1693">
        <v>5308</v>
      </c>
      <c r="AE55" s="1672">
        <v>15038</v>
      </c>
      <c r="AF55" s="1672">
        <v>24890</v>
      </c>
      <c r="AG55" s="1304">
        <v>-1021</v>
      </c>
      <c r="AH55" s="1693">
        <v>2020</v>
      </c>
      <c r="AI55" s="1672">
        <v>16847</v>
      </c>
      <c r="AJ55" s="1672">
        <v>15288</v>
      </c>
      <c r="AK55" s="1672">
        <v>4665</v>
      </c>
      <c r="AL55" s="1693" t="e">
        <v>#REF!</v>
      </c>
      <c r="AM55" s="1672" t="e">
        <v>#REF!</v>
      </c>
      <c r="AN55" s="1672" t="e">
        <v>#REF!</v>
      </c>
      <c r="AO55" s="1672"/>
      <c r="AP55" s="1693"/>
      <c r="AQ55" s="1672"/>
      <c r="AR55" s="1672"/>
      <c r="AS55" s="1672"/>
      <c r="AT55" s="1693"/>
      <c r="AU55" s="1672"/>
      <c r="AV55" s="1672"/>
      <c r="AW55" s="1672"/>
      <c r="AX55" s="1693"/>
      <c r="AY55" s="1593"/>
      <c r="AZ55" s="1593"/>
      <c r="BA55" s="1593"/>
      <c r="BB55" s="1593"/>
      <c r="BC55" s="1670"/>
      <c r="BD55" s="1674"/>
      <c r="BE55" s="1674"/>
      <c r="BF55" s="1674"/>
      <c r="BG55" s="2450"/>
      <c r="BH55" s="2200">
        <v>63013</v>
      </c>
      <c r="BI55" s="1612">
        <v>44348</v>
      </c>
      <c r="BJ55" s="2894">
        <v>18665</v>
      </c>
      <c r="BK55" s="1557">
        <v>0.42087580048705692</v>
      </c>
      <c r="BL55" s="1539"/>
      <c r="BM55" s="2889">
        <v>63013</v>
      </c>
      <c r="BN55" s="2520">
        <v>44348</v>
      </c>
      <c r="BO55" s="1694">
        <v>24322</v>
      </c>
      <c r="BP55" s="1694">
        <v>10273</v>
      </c>
      <c r="BQ55" s="1694">
        <v>44861</v>
      </c>
      <c r="BR55" s="1694">
        <v>20289</v>
      </c>
      <c r="BS55" s="1694">
        <v>40927</v>
      </c>
      <c r="BT55" s="1694">
        <v>54947</v>
      </c>
      <c r="BU55" s="2121">
        <v>126329</v>
      </c>
      <c r="BV55" s="2121">
        <v>65726</v>
      </c>
      <c r="BW55" s="2121">
        <v>20251</v>
      </c>
      <c r="BX55" s="1516"/>
      <c r="BY55" s="1516"/>
      <c r="BZ55" s="1504"/>
      <c r="CA55" s="1504"/>
      <c r="CB55" s="1504"/>
      <c r="CC55" s="1486"/>
    </row>
    <row r="56" spans="1:81" ht="12.75" customHeight="1" x14ac:dyDescent="0.2">
      <c r="A56" s="1539"/>
      <c r="B56" s="1528"/>
      <c r="C56" s="1558"/>
      <c r="D56" s="1559"/>
      <c r="E56" s="1514"/>
      <c r="F56" s="1487"/>
      <c r="G56" s="1487"/>
      <c r="H56" s="1528"/>
      <c r="I56" s="1528"/>
      <c r="J56" s="1528"/>
      <c r="K56" s="1528"/>
      <c r="L56" s="1077"/>
      <c r="M56" s="1528"/>
      <c r="N56" s="1528"/>
      <c r="O56" s="1528"/>
      <c r="P56" s="1077"/>
      <c r="Q56" s="1528"/>
      <c r="R56" s="1528"/>
      <c r="S56" s="1528"/>
      <c r="T56" s="1528"/>
      <c r="U56" s="1528"/>
      <c r="V56" s="1528"/>
      <c r="W56" s="1559"/>
      <c r="X56" s="1528"/>
      <c r="Y56" s="1528"/>
      <c r="Z56" s="1528"/>
      <c r="AA56" s="1559"/>
      <c r="AB56" s="1528"/>
      <c r="AC56" s="1528"/>
      <c r="AD56" s="1528"/>
      <c r="AE56" s="1559"/>
      <c r="AF56" s="1528"/>
      <c r="AG56" s="1528"/>
      <c r="AH56" s="1528"/>
      <c r="AI56" s="1559"/>
      <c r="AJ56" s="1559"/>
      <c r="AK56" s="1528"/>
      <c r="AL56" s="1528"/>
      <c r="AM56" s="1559"/>
      <c r="AN56" s="1559"/>
      <c r="AO56" s="1559"/>
      <c r="AP56" s="1528"/>
      <c r="AQ56" s="1559"/>
      <c r="AR56" s="1559"/>
      <c r="AS56" s="1559"/>
      <c r="AT56" s="1528"/>
      <c r="AU56" s="1559"/>
      <c r="AV56" s="1559"/>
      <c r="AW56" s="1559"/>
      <c r="AX56" s="1528"/>
      <c r="AY56" s="1539"/>
      <c r="AZ56" s="1539"/>
      <c r="BA56" s="1539"/>
      <c r="BB56" s="1539"/>
      <c r="BC56" s="1539"/>
      <c r="BD56" s="1539"/>
      <c r="BE56" s="1539"/>
      <c r="BF56" s="1539"/>
      <c r="BG56" s="1528"/>
      <c r="BH56" s="1559"/>
      <c r="BI56" s="1559"/>
      <c r="BJ56" s="1676"/>
      <c r="BK56" s="1677"/>
      <c r="BL56" s="1528"/>
      <c r="BM56" s="1559"/>
      <c r="BN56" s="1559"/>
      <c r="BO56" s="1528"/>
      <c r="BP56" s="1528"/>
      <c r="BQ56" s="1528"/>
      <c r="BR56" s="1528"/>
      <c r="BS56" s="1528"/>
      <c r="BT56" s="1528"/>
      <c r="BU56" s="1487"/>
      <c r="BV56" s="1487"/>
      <c r="BW56" s="1487"/>
      <c r="BX56" s="2092"/>
      <c r="BY56" s="2092"/>
      <c r="BZ56" s="1504"/>
      <c r="CA56" s="1504"/>
      <c r="CB56" s="1504"/>
      <c r="CC56" s="1486"/>
    </row>
    <row r="57" spans="1:81" ht="12.75" customHeight="1" x14ac:dyDescent="0.2">
      <c r="A57" s="1539"/>
      <c r="B57" s="1203" t="s">
        <v>623</v>
      </c>
      <c r="C57" s="1545">
        <v>-2.7361614050771257</v>
      </c>
      <c r="D57" s="1559"/>
      <c r="E57" s="1514"/>
      <c r="F57" s="1514">
        <v>0.49764601687409687</v>
      </c>
      <c r="G57" s="1514">
        <v>0.57177990676504054</v>
      </c>
      <c r="H57" s="1559">
        <v>0.50817724769321226</v>
      </c>
      <c r="I57" s="1559">
        <v>0.48038247674479029</v>
      </c>
      <c r="J57" s="1559">
        <v>0.52500763092486813</v>
      </c>
      <c r="K57" s="1559">
        <v>0.51906872471461329</v>
      </c>
      <c r="L57" s="1559">
        <v>0.53495045033077393</v>
      </c>
      <c r="M57" s="1559">
        <v>0.6262226847034339</v>
      </c>
      <c r="N57" s="1559">
        <v>0.56494299674267101</v>
      </c>
      <c r="O57" s="1559">
        <v>0.54395259823108366</v>
      </c>
      <c r="P57" s="1559">
        <v>0.54355368026254103</v>
      </c>
      <c r="Q57" s="1559">
        <v>0.62734698207276973</v>
      </c>
      <c r="R57" s="1559">
        <v>0.51384684610979303</v>
      </c>
      <c r="S57" s="1559">
        <v>0.67104792103513522</v>
      </c>
      <c r="T57" s="1528"/>
      <c r="U57" s="1528"/>
      <c r="V57" s="1528"/>
      <c r="W57" s="1559"/>
      <c r="X57" s="1528"/>
      <c r="Y57" s="1528"/>
      <c r="Z57" s="1528"/>
      <c r="AA57" s="1559"/>
      <c r="AB57" s="1528"/>
      <c r="AC57" s="1528"/>
      <c r="AD57" s="1528"/>
      <c r="AE57" s="1559"/>
      <c r="AF57" s="1528"/>
      <c r="AG57" s="1528"/>
      <c r="AH57" s="1528"/>
      <c r="AI57" s="1559"/>
      <c r="AJ57" s="1559"/>
      <c r="AK57" s="1528"/>
      <c r="AL57" s="1528"/>
      <c r="AM57" s="1559"/>
      <c r="AN57" s="1559"/>
      <c r="AO57" s="1559"/>
      <c r="AP57" s="1528"/>
      <c r="AQ57" s="1559"/>
      <c r="AR57" s="1559"/>
      <c r="AS57" s="1559"/>
      <c r="AT57" s="1528"/>
      <c r="AU57" s="1559"/>
      <c r="AV57" s="1559"/>
      <c r="AW57" s="1559"/>
      <c r="AX57" s="1528"/>
      <c r="AY57" s="1539"/>
      <c r="AZ57" s="1539"/>
      <c r="BA57" s="1539"/>
      <c r="BB57" s="1539"/>
      <c r="BC57" s="1539"/>
      <c r="BD57" s="1539"/>
      <c r="BE57" s="1539"/>
      <c r="BF57" s="1539"/>
      <c r="BG57" s="1528"/>
      <c r="BH57" s="1559">
        <v>0.51622580707037768</v>
      </c>
      <c r="BI57" s="1559">
        <v>0.54619492286192883</v>
      </c>
      <c r="BJ57" s="1545">
        <v>-2.9969115791551149</v>
      </c>
      <c r="BK57" s="1677"/>
      <c r="BL57" s="1528"/>
      <c r="BM57" s="1080">
        <v>0.51622580707037768</v>
      </c>
      <c r="BN57" s="1559">
        <v>0.54619492286192883</v>
      </c>
      <c r="BO57" s="1559">
        <v>0.54957499790877096</v>
      </c>
      <c r="BP57" s="1559">
        <v>0.56543809313617299</v>
      </c>
      <c r="BQ57" s="1559">
        <v>0.51123982696678638</v>
      </c>
      <c r="BR57" s="1559">
        <v>0.51753370052654968</v>
      </c>
      <c r="BS57" s="1528"/>
      <c r="BT57" s="1528"/>
      <c r="BU57" s="1487"/>
      <c r="BV57" s="1487"/>
      <c r="BW57" s="1487"/>
      <c r="BX57" s="2092"/>
      <c r="BY57" s="2092"/>
      <c r="BZ57" s="1504"/>
      <c r="CA57" s="1504"/>
      <c r="CB57" s="1504"/>
      <c r="CC57" s="1486"/>
    </row>
    <row r="58" spans="1:81" ht="12.75" customHeight="1" x14ac:dyDescent="0.2">
      <c r="A58" s="1539"/>
      <c r="B58" s="1547" t="s">
        <v>75</v>
      </c>
      <c r="C58" s="1545">
        <v>4.4839019324207889</v>
      </c>
      <c r="D58" s="1559"/>
      <c r="E58" s="1514"/>
      <c r="F58" s="1514">
        <v>0.27407200236175205</v>
      </c>
      <c r="G58" s="1514">
        <v>0.22932496421098997</v>
      </c>
      <c r="H58" s="1559">
        <v>0.18178327593861365</v>
      </c>
      <c r="I58" s="1559">
        <v>0.16204593878293405</v>
      </c>
      <c r="J58" s="1559">
        <v>0.22923298303754416</v>
      </c>
      <c r="K58" s="1559">
        <v>0.18102404205426856</v>
      </c>
      <c r="L58" s="1559">
        <v>0.14779882568612343</v>
      </c>
      <c r="M58" s="1559">
        <v>0.32729795352063823</v>
      </c>
      <c r="N58" s="1559">
        <v>0.26032456956724059</v>
      </c>
      <c r="O58" s="1559">
        <v>0.15935384814999026</v>
      </c>
      <c r="P58" s="1559">
        <v>0.2654477262072199</v>
      </c>
      <c r="Q58" s="1559">
        <v>0.31575969732329123</v>
      </c>
      <c r="R58" s="1559">
        <v>0.17622514930868036</v>
      </c>
      <c r="S58" s="1559">
        <v>0.20073645987827954</v>
      </c>
      <c r="T58" s="1559">
        <v>0.26612247356848096</v>
      </c>
      <c r="U58" s="1559">
        <v>0.34219242265126426</v>
      </c>
      <c r="V58" s="1559">
        <v>0.27950256290773534</v>
      </c>
      <c r="W58" s="1559">
        <v>0.21546011761782491</v>
      </c>
      <c r="X58" s="1559">
        <v>0.41898465332967938</v>
      </c>
      <c r="Y58" s="1559">
        <v>0.16705120949603122</v>
      </c>
      <c r="Z58" s="1559">
        <v>0.19722279507802296</v>
      </c>
      <c r="AA58" s="1559">
        <v>0.22279768678728198</v>
      </c>
      <c r="AB58" s="1559">
        <v>0.26662306518421625</v>
      </c>
      <c r="AC58" s="1559">
        <v>0.35315378710337769</v>
      </c>
      <c r="AD58" s="1559">
        <v>0.29790337283500457</v>
      </c>
      <c r="AE58" s="1559">
        <v>0.17038054000774458</v>
      </c>
      <c r="AF58" s="1559">
        <v>0.14904386951631046</v>
      </c>
      <c r="AG58" s="1559">
        <v>0.3457469318662717</v>
      </c>
      <c r="AH58" s="1559">
        <v>0.33334269032113184</v>
      </c>
      <c r="AI58" s="1559">
        <v>0.18522378390558544</v>
      </c>
      <c r="AJ58" s="1559">
        <v>0.19358294404832987</v>
      </c>
      <c r="AK58" s="1559">
        <v>0.32216234026029039</v>
      </c>
      <c r="AL58" s="1559" t="e">
        <v>#REF!</v>
      </c>
      <c r="AM58" s="1559">
        <v>0.1049846556548425</v>
      </c>
      <c r="AN58" s="1559">
        <v>0.10878030053745749</v>
      </c>
      <c r="AO58" s="1559">
        <v>0.1807689995792342</v>
      </c>
      <c r="AP58" s="1559">
        <v>0.15194978984865334</v>
      </c>
      <c r="AQ58" s="1559">
        <v>0.1537803312755944</v>
      </c>
      <c r="AR58" s="1559">
        <v>0.10480982581197477</v>
      </c>
      <c r="AS58" s="1559">
        <v>0.15381132075471698</v>
      </c>
      <c r="AT58" s="1559">
        <v>0.14983030545018966</v>
      </c>
      <c r="AU58" s="1559">
        <v>0.11488834738145648</v>
      </c>
      <c r="AV58" s="1559">
        <v>0.45581137748239575</v>
      </c>
      <c r="AW58" s="1559">
        <v>0.28570819658156088</v>
      </c>
      <c r="AX58" s="1559">
        <v>0.21975430833721471</v>
      </c>
      <c r="AY58" s="1559">
        <v>0.22119959929877286</v>
      </c>
      <c r="AZ58" s="1650">
        <v>0.22941514650995137</v>
      </c>
      <c r="BA58" s="1650">
        <v>0.30967430476810637</v>
      </c>
      <c r="BB58" s="1650">
        <v>0.16900000000000004</v>
      </c>
      <c r="BC58" s="1650">
        <v>0.21100000000000008</v>
      </c>
      <c r="BD58" s="1650">
        <v>0.20399999999999996</v>
      </c>
      <c r="BE58" s="1650">
        <v>0.249</v>
      </c>
      <c r="BF58" s="1650">
        <v>0.17899999999999994</v>
      </c>
      <c r="BG58" s="1528"/>
      <c r="BH58" s="1559">
        <v>0.19424165116145245</v>
      </c>
      <c r="BI58" s="1559">
        <v>0.20158163123652281</v>
      </c>
      <c r="BJ58" s="1545">
        <v>-0.73399800750703625</v>
      </c>
      <c r="BK58" s="1677"/>
      <c r="BL58" s="1528"/>
      <c r="BM58" s="1080">
        <v>0.19424165116145245</v>
      </c>
      <c r="BN58" s="1559">
        <v>0.20158163123652281</v>
      </c>
      <c r="BO58" s="1559">
        <v>0.21496547863407353</v>
      </c>
      <c r="BP58" s="1559">
        <v>0.26449211942252226</v>
      </c>
      <c r="BQ58" s="1559">
        <v>0.22300755187330448</v>
      </c>
      <c r="BR58" s="1559">
        <v>0.27906459997037314</v>
      </c>
      <c r="BS58" s="1559">
        <v>0.22123257168305299</v>
      </c>
      <c r="BT58" s="1559">
        <v>0.21888371372241786</v>
      </c>
      <c r="BU58" s="1514">
        <v>0.14644038756941982</v>
      </c>
      <c r="BV58" s="1514">
        <v>2.628096474284974E-2</v>
      </c>
      <c r="BW58" s="2106">
        <v>0.25467643467643469</v>
      </c>
      <c r="BX58" s="2106">
        <v>0.1641504627664091</v>
      </c>
      <c r="BY58" s="2106">
        <v>0.13159381964363784</v>
      </c>
      <c r="BZ58" s="2105">
        <v>0.13831328504020735</v>
      </c>
      <c r="CA58" s="2105">
        <v>0.13580091880408962</v>
      </c>
      <c r="CB58" s="2105">
        <v>0.10299999999999998</v>
      </c>
      <c r="CC58" s="1486"/>
    </row>
    <row r="59" spans="1:81" ht="12.75" customHeight="1" x14ac:dyDescent="0.2">
      <c r="A59" s="1539"/>
      <c r="B59" s="1547" t="s">
        <v>76</v>
      </c>
      <c r="C59" s="1545">
        <v>1.7477405273436664</v>
      </c>
      <c r="D59" s="1559"/>
      <c r="E59" s="1514"/>
      <c r="F59" s="1514">
        <v>0.77171801923584893</v>
      </c>
      <c r="G59" s="1514">
        <v>0.80110487097603056</v>
      </c>
      <c r="H59" s="1559">
        <v>0.68996052363182592</v>
      </c>
      <c r="I59" s="1559">
        <v>0.64242841552772434</v>
      </c>
      <c r="J59" s="1559">
        <v>0.75424061396241227</v>
      </c>
      <c r="K59" s="1559">
        <v>0.70009276676888188</v>
      </c>
      <c r="L59" s="1559">
        <v>0.68274927601689739</v>
      </c>
      <c r="M59" s="1559">
        <v>0.95352063822407218</v>
      </c>
      <c r="N59" s="1559">
        <v>0.8252675663099116</v>
      </c>
      <c r="O59" s="1559">
        <v>0.70330644638107387</v>
      </c>
      <c r="P59" s="1559">
        <v>0.80900140646976093</v>
      </c>
      <c r="Q59" s="1559">
        <v>0.94310667939606097</v>
      </c>
      <c r="R59" s="1559">
        <v>0.69007199541847342</v>
      </c>
      <c r="S59" s="1559">
        <v>0.87178438091341481</v>
      </c>
      <c r="T59" s="1559">
        <v>0.82845868851471427</v>
      </c>
      <c r="U59" s="1559">
        <v>0.85952015510138136</v>
      </c>
      <c r="V59" s="1559">
        <v>0.76234855545200375</v>
      </c>
      <c r="W59" s="1559">
        <v>0.74666611447030562</v>
      </c>
      <c r="X59" s="1559">
        <v>0.92199917785694707</v>
      </c>
      <c r="Y59" s="1559">
        <v>0.6576843266147171</v>
      </c>
      <c r="Z59" s="1559">
        <v>0.72042345500790539</v>
      </c>
      <c r="AA59" s="1559">
        <v>0.75560303783356941</v>
      </c>
      <c r="AB59" s="1559">
        <v>0.78807257224523408</v>
      </c>
      <c r="AC59" s="1559">
        <v>0.89550281473899696</v>
      </c>
      <c r="AD59" s="1559">
        <v>0.76697052567608626</v>
      </c>
      <c r="AE59" s="1559">
        <v>0.69519836659978174</v>
      </c>
      <c r="AF59" s="1559">
        <v>0.64055510503047586</v>
      </c>
      <c r="AG59" s="1559">
        <v>0.95776555226407112</v>
      </c>
      <c r="AH59" s="1559">
        <v>0.86149786660678196</v>
      </c>
      <c r="AI59" s="1559">
        <v>0.71898149452158977</v>
      </c>
      <c r="AJ59" s="1559">
        <v>0.68559235713533073</v>
      </c>
      <c r="AK59" s="1559">
        <v>0.8171612812124921</v>
      </c>
      <c r="AL59" s="1559" t="e">
        <v>#REF!</v>
      </c>
      <c r="AM59" s="1559">
        <v>0.55669509883563495</v>
      </c>
      <c r="AN59" s="1559">
        <v>0.55768527658952138</v>
      </c>
      <c r="AO59" s="1559">
        <v>0.65298843895890524</v>
      </c>
      <c r="AP59" s="1559">
        <v>0.59767796897676084</v>
      </c>
      <c r="AQ59" s="1559">
        <v>0.69350895422040215</v>
      </c>
      <c r="AR59" s="1559">
        <v>0.66254345965022621</v>
      </c>
      <c r="AS59" s="1559">
        <v>0.73509433962264148</v>
      </c>
      <c r="AT59" s="1559">
        <v>0.73823783855726355</v>
      </c>
      <c r="AU59" s="1559">
        <v>0.63048775616186636</v>
      </c>
      <c r="AV59" s="1559">
        <v>1.7087586043199621</v>
      </c>
      <c r="AW59" s="1559">
        <v>0.87971527215378709</v>
      </c>
      <c r="AX59" s="1559">
        <v>0.80260246856078243</v>
      </c>
      <c r="AY59" s="1559">
        <v>0.75591660405709993</v>
      </c>
      <c r="AZ59" s="1650">
        <v>0.78796893678764046</v>
      </c>
      <c r="BA59" s="1650">
        <v>0.81936881813384832</v>
      </c>
      <c r="BB59" s="1650">
        <v>0.68600000000000005</v>
      </c>
      <c r="BC59" s="1650">
        <v>0.77500000000000002</v>
      </c>
      <c r="BD59" s="1650">
        <v>0.74299999999999999</v>
      </c>
      <c r="BE59" s="1650">
        <v>0.76</v>
      </c>
      <c r="BF59" s="1650">
        <v>0.73199999999999998</v>
      </c>
      <c r="BG59" s="1528"/>
      <c r="BH59" s="1559">
        <v>0.71046745823183011</v>
      </c>
      <c r="BI59" s="1559">
        <v>0.74777655409845167</v>
      </c>
      <c r="BJ59" s="1545">
        <v>-3.7309095866621567</v>
      </c>
      <c r="BK59" s="1677"/>
      <c r="BL59" s="1528"/>
      <c r="BM59" s="1080">
        <v>0.71046745823183011</v>
      </c>
      <c r="BN59" s="1559">
        <v>0.74777655409845167</v>
      </c>
      <c r="BO59" s="1559">
        <v>0.7645404765428444</v>
      </c>
      <c r="BP59" s="1559">
        <v>0.82993021255869526</v>
      </c>
      <c r="BQ59" s="1559">
        <v>0.73424737884009095</v>
      </c>
      <c r="BR59" s="1559">
        <v>0.79659830049692282</v>
      </c>
      <c r="BS59" s="1559">
        <v>0.74929161140664691</v>
      </c>
      <c r="BT59" s="1559">
        <v>0.71238797103819962</v>
      </c>
      <c r="BU59" s="1514">
        <v>0.59461183977313015</v>
      </c>
      <c r="BV59" s="1514">
        <v>0.5759737809788209</v>
      </c>
      <c r="BW59" s="2106">
        <v>0.83515669515669511</v>
      </c>
      <c r="BX59" s="2106">
        <v>0.68007132546488924</v>
      </c>
      <c r="BY59" s="2106">
        <v>0.66735799362344184</v>
      </c>
      <c r="BZ59" s="2105">
        <v>0.70103675151192923</v>
      </c>
      <c r="CA59" s="2105">
        <v>0.70568967862786336</v>
      </c>
      <c r="CB59" s="2105">
        <v>0.73</v>
      </c>
      <c r="CC59" s="1486"/>
    </row>
    <row r="60" spans="1:81" ht="12.75" customHeight="1" x14ac:dyDescent="0.2">
      <c r="A60" s="1539"/>
      <c r="B60" s="1547" t="s">
        <v>77</v>
      </c>
      <c r="C60" s="1545">
        <v>-1.244489304112234</v>
      </c>
      <c r="D60" s="1559"/>
      <c r="E60" s="1514"/>
      <c r="F60" s="1514">
        <v>0.17405491073509533</v>
      </c>
      <c r="G60" s="1514">
        <v>0.12225158756377785</v>
      </c>
      <c r="H60" s="1559">
        <v>0.27356283221943584</v>
      </c>
      <c r="I60" s="1559">
        <v>0.32478043964038872</v>
      </c>
      <c r="J60" s="1559">
        <v>0.18649980377621767</v>
      </c>
      <c r="K60" s="1559">
        <v>0.26664003916819129</v>
      </c>
      <c r="L60" s="1559">
        <v>0.28594011530593266</v>
      </c>
      <c r="M60" s="1559">
        <v>-3.6663198057578908E-2</v>
      </c>
      <c r="N60" s="1559">
        <v>9.263029315960912E-2</v>
      </c>
      <c r="O60" s="1559">
        <v>0.21745993988279308</v>
      </c>
      <c r="P60" s="1559">
        <v>8.0543834974214717E-2</v>
      </c>
      <c r="Q60" s="1559">
        <v>-4.6815883455323365E-2</v>
      </c>
      <c r="R60" s="1559">
        <v>0.26615806266873926</v>
      </c>
      <c r="S60" s="1559">
        <v>3.6081419730987573E-2</v>
      </c>
      <c r="T60" s="1559">
        <v>8.9008705081478359E-2</v>
      </c>
      <c r="U60" s="1559">
        <v>2.140722190807012E-2</v>
      </c>
      <c r="V60" s="1559">
        <v>0.15659948741845295</v>
      </c>
      <c r="W60" s="1559">
        <v>0.20127557359397003</v>
      </c>
      <c r="X60" s="1559">
        <v>1.0071252397917238E-2</v>
      </c>
      <c r="Y60" s="1559">
        <v>0.3423156733852829</v>
      </c>
      <c r="Z60" s="1559">
        <v>0.27957654499209461</v>
      </c>
      <c r="AA60" s="1559">
        <v>0.24439696216643056</v>
      </c>
      <c r="AB60" s="1559">
        <v>0.21192742775476589</v>
      </c>
      <c r="AC60" s="1559" t="e">
        <v>#REF!</v>
      </c>
      <c r="AD60" s="1559" t="e">
        <v>#REF!</v>
      </c>
      <c r="AE60" s="1559" t="e">
        <v>#REF!</v>
      </c>
      <c r="AF60" s="1559" t="e">
        <v>#REF!</v>
      </c>
      <c r="AG60" s="1559">
        <v>4.2234447735928903E-2</v>
      </c>
      <c r="AH60" s="1559">
        <v>0.13850213339321807</v>
      </c>
      <c r="AI60" s="1559">
        <v>0.28101850547841029</v>
      </c>
      <c r="AJ60" s="1559">
        <v>0.31440764286466932</v>
      </c>
      <c r="AK60" s="1559">
        <v>0.18283871878750793</v>
      </c>
      <c r="AL60" s="1559" t="e">
        <v>#REF!</v>
      </c>
      <c r="AM60" s="1559" t="e">
        <v>#REF!</v>
      </c>
      <c r="AN60" s="1559" t="e">
        <v>#REF!</v>
      </c>
      <c r="AO60" s="1559" t="e">
        <v>#REF!</v>
      </c>
      <c r="AP60" s="1559" t="e">
        <v>#REF!</v>
      </c>
      <c r="AQ60" s="1559">
        <v>0.30649104577959785</v>
      </c>
      <c r="AR60" s="1559">
        <v>0.33745654034977374</v>
      </c>
      <c r="AS60" s="1559">
        <v>0.26490566037735847</v>
      </c>
      <c r="AT60" s="1559">
        <v>0.2617621614427364</v>
      </c>
      <c r="AU60" s="1559" t="e">
        <v>#REF!</v>
      </c>
      <c r="AV60" s="1559" t="e">
        <v>#REF!</v>
      </c>
      <c r="AW60" s="1559" t="e">
        <v>#REF!</v>
      </c>
      <c r="AX60" s="1559" t="e">
        <v>#REF!</v>
      </c>
      <c r="AY60" s="1559" t="e">
        <v>#REF!</v>
      </c>
      <c r="AZ60" s="1650">
        <v>0.21203106321235959</v>
      </c>
      <c r="BA60" s="1650">
        <v>0.18063118186615174</v>
      </c>
      <c r="BB60" s="1650">
        <v>0.31399999999999995</v>
      </c>
      <c r="BC60" s="1650">
        <v>0.22500000000000001</v>
      </c>
      <c r="BD60" s="1650">
        <v>0.25700000000000001</v>
      </c>
      <c r="BE60" s="1650">
        <v>0.24</v>
      </c>
      <c r="BF60" s="1650">
        <v>0.26800000000000002</v>
      </c>
      <c r="BG60" s="1528"/>
      <c r="BH60" s="1559">
        <v>0.2417393973107245</v>
      </c>
      <c r="BI60" s="1559">
        <v>0.20521410789149769</v>
      </c>
      <c r="BJ60" s="1545">
        <v>3.652528941922681</v>
      </c>
      <c r="BK60" s="1677"/>
      <c r="BL60" s="1528"/>
      <c r="BM60" s="1080">
        <v>0.2417393973107245</v>
      </c>
      <c r="BN60" s="1559">
        <v>0.20521410789149769</v>
      </c>
      <c r="BO60" s="1559">
        <v>0.15650114856734723</v>
      </c>
      <c r="BP60" s="1559">
        <v>7.8181721322080081E-2</v>
      </c>
      <c r="BQ60" s="1559">
        <v>0.21927805068797809</v>
      </c>
      <c r="BR60" s="1559">
        <v>0.13661338325006397</v>
      </c>
      <c r="BS60" s="1559">
        <v>0.20029167502703868</v>
      </c>
      <c r="BT60" s="1559">
        <v>0.23652854424767333</v>
      </c>
      <c r="BU60" s="1514">
        <v>0.40538816022686991</v>
      </c>
      <c r="BV60" s="1514" t="e">
        <v>#REF!</v>
      </c>
      <c r="BW60" s="2106">
        <v>0.16484330484330484</v>
      </c>
      <c r="BX60" s="2106" t="e">
        <v>#REF!</v>
      </c>
      <c r="BY60" s="2106" t="e">
        <v>#REF!</v>
      </c>
      <c r="BZ60" s="2105" t="e">
        <v>#REF!</v>
      </c>
      <c r="CA60" s="2105" t="e">
        <v>#REF!</v>
      </c>
      <c r="CB60" s="2105">
        <v>0.27</v>
      </c>
      <c r="CC60" s="2061"/>
    </row>
    <row r="61" spans="1:81" ht="12.75" customHeight="1" x14ac:dyDescent="0.2">
      <c r="A61" s="1539"/>
      <c r="B61" s="1547"/>
      <c r="C61" s="2472"/>
      <c r="D61" s="1559"/>
      <c r="E61" s="1514"/>
      <c r="F61" s="1514"/>
      <c r="G61" s="1514"/>
      <c r="H61" s="1559"/>
      <c r="I61" s="1559"/>
      <c r="J61" s="1559"/>
      <c r="K61" s="1559"/>
      <c r="L61" s="1559"/>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c r="AN61" s="1559"/>
      <c r="AO61" s="1559"/>
      <c r="AP61" s="1559"/>
      <c r="AQ61" s="1559"/>
      <c r="AR61" s="1559"/>
      <c r="AS61" s="1559"/>
      <c r="AT61" s="1559"/>
      <c r="AU61" s="1559"/>
      <c r="AV61" s="1559"/>
      <c r="AW61" s="1559"/>
      <c r="AX61" s="1559"/>
      <c r="AY61" s="1559"/>
      <c r="AZ61" s="1650"/>
      <c r="BA61" s="1650"/>
      <c r="BB61" s="1650"/>
      <c r="BC61" s="1650"/>
      <c r="BD61" s="1650"/>
      <c r="BE61" s="1650"/>
      <c r="BF61" s="1650"/>
      <c r="BG61" s="1528"/>
      <c r="BH61" s="1559"/>
      <c r="BI61" s="1559"/>
      <c r="BJ61" s="1545"/>
      <c r="BK61" s="1677"/>
      <c r="BL61" s="1528"/>
      <c r="BM61" s="1559"/>
      <c r="BN61" s="1559"/>
      <c r="BO61" s="1650"/>
      <c r="BP61" s="1650"/>
      <c r="BQ61" s="1650"/>
      <c r="BR61" s="1650"/>
      <c r="BS61" s="1650"/>
      <c r="BT61" s="1650"/>
      <c r="BU61" s="2106"/>
      <c r="BV61" s="2106"/>
      <c r="BW61" s="2106"/>
      <c r="BX61" s="2106"/>
      <c r="BY61" s="2106"/>
      <c r="BZ61" s="2105"/>
      <c r="CA61" s="2105"/>
      <c r="CB61" s="2105"/>
      <c r="CC61" s="2061"/>
    </row>
    <row r="62" spans="1:81" ht="12.75" customHeight="1" x14ac:dyDescent="0.2">
      <c r="A62" s="2473" t="s">
        <v>194</v>
      </c>
      <c r="B62" s="1547"/>
      <c r="C62" s="1528"/>
      <c r="D62" s="1528"/>
      <c r="E62" s="1487"/>
      <c r="F62" s="1487"/>
      <c r="G62" s="1487"/>
      <c r="H62" s="1528"/>
      <c r="I62" s="1528"/>
      <c r="J62" s="1528"/>
      <c r="K62" s="1528"/>
      <c r="L62" s="1528"/>
      <c r="M62" s="1528"/>
      <c r="N62" s="1528"/>
      <c r="O62" s="1528"/>
      <c r="P62" s="1528"/>
      <c r="Q62" s="1528"/>
      <c r="R62" s="1528"/>
      <c r="S62" s="1528"/>
      <c r="T62" s="1528"/>
      <c r="U62" s="1528"/>
      <c r="V62" s="1528"/>
      <c r="W62" s="1528"/>
      <c r="X62" s="1528"/>
      <c r="Y62" s="1528"/>
      <c r="Z62" s="1528"/>
      <c r="AA62" s="1528"/>
      <c r="AB62" s="1528"/>
      <c r="AC62" s="1528"/>
      <c r="AD62" s="1528"/>
      <c r="AE62" s="1528"/>
      <c r="AF62" s="1528"/>
      <c r="AG62" s="1528"/>
      <c r="AH62" s="1528"/>
      <c r="AI62" s="1528"/>
      <c r="AJ62" s="1528"/>
      <c r="AK62" s="1528"/>
      <c r="AL62" s="1528"/>
      <c r="AM62" s="1528"/>
      <c r="AN62" s="1528"/>
      <c r="AO62" s="1528"/>
      <c r="AP62" s="1528"/>
      <c r="AQ62" s="1528"/>
      <c r="AR62" s="1528"/>
      <c r="AS62" s="1528"/>
      <c r="AT62" s="1528"/>
      <c r="AU62" s="1528"/>
      <c r="AV62" s="1528"/>
      <c r="AW62" s="1528"/>
      <c r="AX62" s="1528"/>
      <c r="AY62" s="1528"/>
      <c r="AZ62" s="1528"/>
      <c r="BA62" s="1528"/>
      <c r="BB62" s="1528"/>
      <c r="BC62" s="1528"/>
      <c r="BD62" s="1528"/>
      <c r="BE62" s="1528"/>
      <c r="BF62" s="1528"/>
      <c r="BG62" s="1528"/>
      <c r="BH62" s="1528"/>
      <c r="BI62" s="1528"/>
      <c r="BJ62" s="2228"/>
      <c r="BK62" s="2228"/>
      <c r="BL62" s="1528"/>
      <c r="BM62" s="1528"/>
      <c r="BN62" s="1528"/>
      <c r="BO62" s="1528"/>
      <c r="BP62" s="1528"/>
      <c r="BQ62" s="1528"/>
      <c r="BR62" s="1528"/>
      <c r="BS62" s="1528"/>
      <c r="BT62" s="1528"/>
      <c r="BU62" s="1487"/>
      <c r="BV62" s="1487"/>
      <c r="BW62" s="1487"/>
      <c r="BX62" s="1487"/>
      <c r="BY62" s="1487"/>
      <c r="BZ62" s="1504"/>
      <c r="CA62" s="2105"/>
      <c r="CB62" s="2105"/>
      <c r="CC62" s="2061"/>
    </row>
    <row r="63" spans="1:81" ht="12.75" customHeight="1" x14ac:dyDescent="0.2">
      <c r="A63" s="1778"/>
      <c r="B63" s="1778"/>
      <c r="C63" s="3188" t="s">
        <v>671</v>
      </c>
      <c r="D63" s="3189"/>
      <c r="E63" s="1488"/>
      <c r="F63" s="2445"/>
      <c r="G63" s="2445"/>
      <c r="H63" s="2443"/>
      <c r="I63" s="2443"/>
      <c r="J63" s="2442"/>
      <c r="K63" s="2444"/>
      <c r="L63" s="2443"/>
      <c r="M63" s="2443"/>
      <c r="N63" s="2442"/>
      <c r="O63" s="2444"/>
      <c r="P63" s="2443"/>
      <c r="Q63" s="2443"/>
      <c r="R63" s="2442"/>
      <c r="S63" s="2444"/>
      <c r="T63" s="2443"/>
      <c r="U63" s="2443"/>
      <c r="V63" s="2442"/>
      <c r="W63" s="2444"/>
      <c r="X63" s="2443"/>
      <c r="Y63" s="2443"/>
      <c r="Z63" s="2442"/>
      <c r="AA63" s="2444"/>
      <c r="AB63" s="2443"/>
      <c r="AC63" s="2443"/>
      <c r="AD63" s="2442"/>
      <c r="AE63" s="2444"/>
      <c r="AF63" s="2443"/>
      <c r="AG63" s="2443"/>
      <c r="AH63" s="2442"/>
      <c r="AI63" s="2443"/>
      <c r="AJ63" s="2443"/>
      <c r="AK63" s="2443"/>
      <c r="AL63" s="2442"/>
      <c r="AM63" s="2443"/>
      <c r="AN63" s="2442"/>
      <c r="AO63" s="1526"/>
      <c r="AP63" s="2442"/>
      <c r="AQ63" s="2443"/>
      <c r="AR63" s="2443"/>
      <c r="AS63" s="1526"/>
      <c r="AT63" s="2442"/>
      <c r="AU63" s="1526"/>
      <c r="AV63" s="2443"/>
      <c r="AW63" s="2443"/>
      <c r="AX63" s="2442"/>
      <c r="AY63" s="2443"/>
      <c r="AZ63" s="2443"/>
      <c r="BA63" s="2443"/>
      <c r="BB63" s="2443"/>
      <c r="BC63" s="2444"/>
      <c r="BD63" s="2442"/>
      <c r="BE63" s="2442"/>
      <c r="BF63" s="2443"/>
      <c r="BG63" s="1629"/>
      <c r="BH63" s="3188" t="s">
        <v>660</v>
      </c>
      <c r="BI63" s="3190"/>
      <c r="BJ63" s="988" t="s">
        <v>563</v>
      </c>
      <c r="BK63" s="989"/>
      <c r="BL63" s="1528"/>
      <c r="BM63" s="2521"/>
      <c r="BN63" s="2521"/>
      <c r="BO63" s="1571"/>
      <c r="BP63" s="1571"/>
      <c r="BQ63" s="1571"/>
      <c r="BR63" s="1571"/>
      <c r="BS63" s="1571"/>
      <c r="BT63" s="1571"/>
      <c r="BU63" s="2062"/>
      <c r="BV63" s="2062"/>
      <c r="BW63" s="2062"/>
      <c r="BX63" s="2469"/>
      <c r="BY63" s="2470"/>
      <c r="BZ63" s="2062"/>
      <c r="CA63" s="2105"/>
      <c r="CB63" s="2105"/>
      <c r="CC63" s="2155"/>
    </row>
    <row r="64" spans="1:81" ht="12.75" customHeight="1" x14ac:dyDescent="0.2">
      <c r="A64" s="1778"/>
      <c r="B64" s="1778"/>
      <c r="C64" s="3186" t="s">
        <v>38</v>
      </c>
      <c r="D64" s="3187"/>
      <c r="E64" s="1491"/>
      <c r="F64" s="907" t="s">
        <v>670</v>
      </c>
      <c r="G64" s="1948" t="s">
        <v>558</v>
      </c>
      <c r="H64" s="992" t="s">
        <v>559</v>
      </c>
      <c r="I64" s="992" t="s">
        <v>560</v>
      </c>
      <c r="J64" s="993" t="s">
        <v>561</v>
      </c>
      <c r="K64" s="992" t="s">
        <v>508</v>
      </c>
      <c r="L64" s="992" t="s">
        <v>507</v>
      </c>
      <c r="M64" s="992" t="s">
        <v>506</v>
      </c>
      <c r="N64" s="993" t="s">
        <v>505</v>
      </c>
      <c r="O64" s="992" t="s">
        <v>382</v>
      </c>
      <c r="P64" s="992" t="s">
        <v>383</v>
      </c>
      <c r="Q64" s="992" t="s">
        <v>384</v>
      </c>
      <c r="R64" s="993" t="s">
        <v>385</v>
      </c>
      <c r="S64" s="992" t="s">
        <v>368</v>
      </c>
      <c r="T64" s="992" t="s">
        <v>367</v>
      </c>
      <c r="U64" s="992" t="s">
        <v>366</v>
      </c>
      <c r="V64" s="993" t="s">
        <v>364</v>
      </c>
      <c r="W64" s="992" t="s">
        <v>348</v>
      </c>
      <c r="X64" s="992" t="s">
        <v>349</v>
      </c>
      <c r="Y64" s="992" t="s">
        <v>350</v>
      </c>
      <c r="Z64" s="993" t="s">
        <v>351</v>
      </c>
      <c r="AA64" s="1574" t="s">
        <v>315</v>
      </c>
      <c r="AB64" s="1572" t="s">
        <v>314</v>
      </c>
      <c r="AC64" s="1572" t="s">
        <v>313</v>
      </c>
      <c r="AD64" s="1573" t="s">
        <v>311</v>
      </c>
      <c r="AE64" s="1574" t="s">
        <v>270</v>
      </c>
      <c r="AF64" s="1572" t="s">
        <v>271</v>
      </c>
      <c r="AG64" s="1572" t="s">
        <v>272</v>
      </c>
      <c r="AH64" s="1573" t="s">
        <v>273</v>
      </c>
      <c r="AI64" s="1572" t="s">
        <v>223</v>
      </c>
      <c r="AJ64" s="1572" t="s">
        <v>224</v>
      </c>
      <c r="AK64" s="1572" t="s">
        <v>225</v>
      </c>
      <c r="AL64" s="1573" t="s">
        <v>222</v>
      </c>
      <c r="AM64" s="1572" t="s">
        <v>189</v>
      </c>
      <c r="AN64" s="1573" t="s">
        <v>190</v>
      </c>
      <c r="AO64" s="1572" t="s">
        <v>191</v>
      </c>
      <c r="AP64" s="1573" t="s">
        <v>192</v>
      </c>
      <c r="AQ64" s="1572" t="s">
        <v>121</v>
      </c>
      <c r="AR64" s="1572" t="s">
        <v>120</v>
      </c>
      <c r="AS64" s="1572" t="s">
        <v>119</v>
      </c>
      <c r="AT64" s="1573" t="s">
        <v>118</v>
      </c>
      <c r="AU64" s="1572" t="s">
        <v>81</v>
      </c>
      <c r="AV64" s="1572" t="s">
        <v>82</v>
      </c>
      <c r="AW64" s="1572" t="s">
        <v>83</v>
      </c>
      <c r="AX64" s="1573" t="s">
        <v>29</v>
      </c>
      <c r="AY64" s="1572" t="s">
        <v>30</v>
      </c>
      <c r="AZ64" s="1572" t="s">
        <v>31</v>
      </c>
      <c r="BA64" s="1572" t="s">
        <v>32</v>
      </c>
      <c r="BB64" s="1572" t="s">
        <v>33</v>
      </c>
      <c r="BC64" s="1574" t="s">
        <v>34</v>
      </c>
      <c r="BD64" s="1573" t="s">
        <v>35</v>
      </c>
      <c r="BE64" s="1573" t="s">
        <v>36</v>
      </c>
      <c r="BF64" s="1572" t="s">
        <v>37</v>
      </c>
      <c r="BG64" s="1629"/>
      <c r="BH64" s="994" t="s">
        <v>558</v>
      </c>
      <c r="BI64" s="992" t="s">
        <v>508</v>
      </c>
      <c r="BJ64" s="3071" t="s">
        <v>38</v>
      </c>
      <c r="BK64" s="3072"/>
      <c r="BL64" s="1528"/>
      <c r="BM64" s="995" t="s">
        <v>562</v>
      </c>
      <c r="BN64" s="995" t="s">
        <v>509</v>
      </c>
      <c r="BO64" s="994" t="s">
        <v>502</v>
      </c>
      <c r="BP64" s="994" t="s">
        <v>379</v>
      </c>
      <c r="BQ64" s="994" t="s">
        <v>360</v>
      </c>
      <c r="BR64" s="994" t="s">
        <v>317</v>
      </c>
      <c r="BS64" s="1574" t="s">
        <v>275</v>
      </c>
      <c r="BT64" s="1574" t="s">
        <v>227</v>
      </c>
      <c r="BU64" s="2066" t="s">
        <v>123</v>
      </c>
      <c r="BV64" s="2066" t="s">
        <v>122</v>
      </c>
      <c r="BW64" s="2066" t="s">
        <v>42</v>
      </c>
      <c r="BX64" s="2066" t="s">
        <v>39</v>
      </c>
      <c r="BY64" s="2067" t="s">
        <v>40</v>
      </c>
      <c r="BZ64" s="2067" t="s">
        <v>142</v>
      </c>
      <c r="CA64" s="2105"/>
      <c r="CB64" s="2105"/>
      <c r="CC64" s="2155"/>
    </row>
    <row r="65" spans="1:81" ht="12.75" customHeight="1" x14ac:dyDescent="0.2">
      <c r="A65" s="1539"/>
      <c r="B65" s="946" t="s">
        <v>607</v>
      </c>
      <c r="C65" s="1533">
        <v>-949</v>
      </c>
      <c r="D65" s="1035">
        <v>-8.6108338626258954E-2</v>
      </c>
      <c r="E65" s="2452"/>
      <c r="F65" s="1515">
        <v>10072</v>
      </c>
      <c r="G65" s="2976">
        <v>14250</v>
      </c>
      <c r="H65" s="1657">
        <v>16286</v>
      </c>
      <c r="I65" s="1657">
        <v>15198</v>
      </c>
      <c r="J65" s="1678">
        <v>11021</v>
      </c>
      <c r="K65" s="1657">
        <v>10932</v>
      </c>
      <c r="L65" s="1657">
        <v>8764</v>
      </c>
      <c r="M65" s="1657">
        <v>9866</v>
      </c>
      <c r="N65" s="1678">
        <v>10278</v>
      </c>
      <c r="O65" s="1657">
        <v>12432</v>
      </c>
      <c r="P65" s="1657">
        <v>12835</v>
      </c>
      <c r="Q65" s="1657">
        <v>11168</v>
      </c>
      <c r="R65" s="1678">
        <v>9579</v>
      </c>
      <c r="S65" s="1657">
        <v>12089</v>
      </c>
      <c r="T65" s="1657">
        <v>10763</v>
      </c>
      <c r="U65" s="1657">
        <v>6588</v>
      </c>
      <c r="V65" s="1678">
        <v>11648</v>
      </c>
      <c r="W65" s="1657">
        <v>12318</v>
      </c>
      <c r="X65" s="1657">
        <v>10622</v>
      </c>
      <c r="Y65" s="1657">
        <v>10865</v>
      </c>
      <c r="Z65" s="1678">
        <v>13609</v>
      </c>
      <c r="AA65" s="1657">
        <v>13111</v>
      </c>
      <c r="AB65" s="1657">
        <v>11821</v>
      </c>
      <c r="AC65" s="1657">
        <v>11011</v>
      </c>
      <c r="AD65" s="1678">
        <v>14900</v>
      </c>
      <c r="AE65" s="1657">
        <v>11823</v>
      </c>
      <c r="AF65" s="1657">
        <v>14531</v>
      </c>
      <c r="AG65" s="1657">
        <v>14052</v>
      </c>
      <c r="AH65" s="1678">
        <v>13723</v>
      </c>
      <c r="AI65" s="1657">
        <v>19975</v>
      </c>
      <c r="AJ65" s="1657">
        <v>11861</v>
      </c>
      <c r="AK65" s="1657">
        <v>11610</v>
      </c>
      <c r="AL65" s="1657">
        <v>7890</v>
      </c>
      <c r="AM65" s="1679">
        <v>9533</v>
      </c>
      <c r="AN65" s="1657">
        <v>17508</v>
      </c>
      <c r="AO65" s="1657">
        <v>8721</v>
      </c>
      <c r="AP65" s="1657">
        <v>6975</v>
      </c>
      <c r="AQ65" s="1679">
        <v>8215</v>
      </c>
      <c r="AR65" s="1657">
        <v>9418</v>
      </c>
      <c r="AS65" s="1657">
        <v>9547</v>
      </c>
      <c r="AT65" s="1657">
        <v>8802</v>
      </c>
      <c r="AU65" s="1679">
        <v>7648</v>
      </c>
      <c r="AV65" s="1659">
        <v>7035</v>
      </c>
      <c r="AW65" s="1681">
        <v>8214</v>
      </c>
      <c r="AX65" s="1678">
        <v>8390</v>
      </c>
      <c r="AY65" s="1678">
        <v>29584</v>
      </c>
      <c r="AZ65" s="1528"/>
      <c r="BA65" s="1528"/>
      <c r="BB65" s="1528"/>
      <c r="BC65" s="1528"/>
      <c r="BD65" s="1528"/>
      <c r="BE65" s="1528"/>
      <c r="BF65" s="1528"/>
      <c r="BG65" s="1629"/>
      <c r="BH65" s="2774">
        <v>56755</v>
      </c>
      <c r="BI65" s="1603">
        <v>39840</v>
      </c>
      <c r="BJ65" s="1682">
        <v>16915</v>
      </c>
      <c r="BK65" s="1540">
        <v>0.42457329317269077</v>
      </c>
      <c r="BL65" s="1528"/>
      <c r="BM65" s="2519">
        <v>56755</v>
      </c>
      <c r="BN65" s="2519">
        <v>39840</v>
      </c>
      <c r="BO65" s="1597">
        <v>46014</v>
      </c>
      <c r="BP65" s="1597">
        <v>41088</v>
      </c>
      <c r="BQ65" s="1684">
        <v>47414</v>
      </c>
      <c r="BR65" s="1684">
        <v>50843</v>
      </c>
      <c r="BS65" s="1684">
        <v>54129</v>
      </c>
      <c r="BT65" s="1684">
        <v>51336</v>
      </c>
      <c r="BU65" s="2123">
        <v>62551</v>
      </c>
      <c r="BV65" s="2123">
        <v>51815</v>
      </c>
      <c r="BW65" s="2123">
        <v>48193</v>
      </c>
      <c r="BX65" s="2113">
        <v>44852</v>
      </c>
      <c r="BY65" s="2115">
        <v>45773</v>
      </c>
      <c r="BZ65" s="2095">
        <v>41570</v>
      </c>
      <c r="CA65" s="2105"/>
      <c r="CB65" s="2105"/>
      <c r="CC65" s="2155"/>
    </row>
    <row r="66" spans="1:81" ht="12.75" customHeight="1" x14ac:dyDescent="0.2">
      <c r="A66" s="1539"/>
      <c r="B66" s="946" t="s">
        <v>608</v>
      </c>
      <c r="C66" s="1533">
        <v>10432</v>
      </c>
      <c r="D66" s="1035">
        <v>0.43061173945347975</v>
      </c>
      <c r="E66" s="2452"/>
      <c r="F66" s="1515">
        <v>34658</v>
      </c>
      <c r="G66" s="2976">
        <v>28507</v>
      </c>
      <c r="H66" s="1657">
        <v>53780</v>
      </c>
      <c r="I66" s="1657">
        <v>28069</v>
      </c>
      <c r="J66" s="1678">
        <v>24226</v>
      </c>
      <c r="K66" s="1657">
        <v>40602</v>
      </c>
      <c r="L66" s="1657">
        <v>55415</v>
      </c>
      <c r="M66" s="1657">
        <v>10228</v>
      </c>
      <c r="N66" s="1678">
        <v>18820</v>
      </c>
      <c r="O66" s="1657">
        <v>23788</v>
      </c>
      <c r="P66" s="1657">
        <v>15181</v>
      </c>
      <c r="Q66" s="1657">
        <v>11368</v>
      </c>
      <c r="R66" s="1678">
        <v>14628</v>
      </c>
      <c r="S66" s="1657">
        <v>2660</v>
      </c>
      <c r="T66" s="1657">
        <v>4961</v>
      </c>
      <c r="U66" s="1657">
        <v>3980</v>
      </c>
      <c r="V66" s="1678">
        <v>16461</v>
      </c>
      <c r="W66" s="1657">
        <v>19115</v>
      </c>
      <c r="X66" s="1657">
        <v>7508</v>
      </c>
      <c r="Y66" s="1657">
        <v>34988</v>
      </c>
      <c r="Z66" s="1678">
        <v>23830</v>
      </c>
      <c r="AA66" s="1657">
        <v>22757</v>
      </c>
      <c r="AB66" s="1657">
        <v>20635</v>
      </c>
      <c r="AC66" s="1657">
        <v>7268</v>
      </c>
      <c r="AD66" s="1678">
        <v>9096</v>
      </c>
      <c r="AE66" s="1657">
        <v>12782</v>
      </c>
      <c r="AF66" s="1657">
        <v>14028</v>
      </c>
      <c r="AG66" s="1657">
        <v>10698</v>
      </c>
      <c r="AH66" s="1678">
        <v>13191</v>
      </c>
      <c r="AI66" s="1657">
        <v>30213</v>
      </c>
      <c r="AJ66" s="1657">
        <v>14404</v>
      </c>
      <c r="AK66" s="1657">
        <v>15551</v>
      </c>
      <c r="AL66" s="1657">
        <v>34712</v>
      </c>
      <c r="AM66" s="1679">
        <v>56010</v>
      </c>
      <c r="AN66" s="1657">
        <v>72232</v>
      </c>
      <c r="AO66" s="1657">
        <v>33469</v>
      </c>
      <c r="AP66" s="1657">
        <v>31749</v>
      </c>
      <c r="AQ66" s="1679">
        <v>23306</v>
      </c>
      <c r="AR66" s="1657">
        <v>46294</v>
      </c>
      <c r="AS66" s="1657">
        <v>16811</v>
      </c>
      <c r="AT66" s="1657">
        <v>19402</v>
      </c>
      <c r="AU66" s="1679">
        <v>15250</v>
      </c>
      <c r="AV66" s="1657">
        <v>4569</v>
      </c>
      <c r="AW66" s="1678">
        <v>12638</v>
      </c>
      <c r="AX66" s="1678">
        <v>17564</v>
      </c>
      <c r="AY66" s="1678">
        <v>0</v>
      </c>
      <c r="AZ66" s="1528">
        <v>0</v>
      </c>
      <c r="BA66" s="1528">
        <v>0</v>
      </c>
      <c r="BB66" s="1528">
        <v>0</v>
      </c>
      <c r="BC66" s="1528">
        <v>0</v>
      </c>
      <c r="BD66" s="1528">
        <v>0</v>
      </c>
      <c r="BE66" s="1528">
        <v>0</v>
      </c>
      <c r="BF66" s="1528">
        <v>0</v>
      </c>
      <c r="BG66" s="1629"/>
      <c r="BH66" s="2774">
        <v>134582</v>
      </c>
      <c r="BI66" s="1603">
        <v>125065</v>
      </c>
      <c r="BJ66" s="1683">
        <v>9517</v>
      </c>
      <c r="BK66" s="1536">
        <v>7.6096429856474634E-2</v>
      </c>
      <c r="BL66" s="1528"/>
      <c r="BM66" s="2519">
        <v>134582</v>
      </c>
      <c r="BN66" s="2519">
        <v>125065</v>
      </c>
      <c r="BO66" s="1597">
        <v>64965</v>
      </c>
      <c r="BP66" s="1597">
        <v>28062</v>
      </c>
      <c r="BQ66" s="1684">
        <v>85441</v>
      </c>
      <c r="BR66" s="1684">
        <v>59756</v>
      </c>
      <c r="BS66" s="1684">
        <v>50699</v>
      </c>
      <c r="BT66" s="1684">
        <v>94880</v>
      </c>
      <c r="BU66" s="2124">
        <v>194568</v>
      </c>
      <c r="BV66" s="2124">
        <v>104241</v>
      </c>
      <c r="BW66" s="2124">
        <v>50046</v>
      </c>
      <c r="BX66" s="2116">
        <v>121044</v>
      </c>
      <c r="BY66" s="2117">
        <v>128763</v>
      </c>
      <c r="BZ66" s="2084">
        <v>99263</v>
      </c>
      <c r="CA66" s="2105"/>
      <c r="CB66" s="2105"/>
      <c r="CC66" s="2155"/>
    </row>
    <row r="67" spans="1:81" ht="12.75" customHeight="1" x14ac:dyDescent="0.2">
      <c r="A67" s="1539"/>
      <c r="B67" s="946" t="s">
        <v>609</v>
      </c>
      <c r="C67" s="1533">
        <v>4572</v>
      </c>
      <c r="D67" s="1035">
        <v>0.54998195597257304</v>
      </c>
      <c r="E67" s="2452"/>
      <c r="F67" s="1515">
        <v>12885</v>
      </c>
      <c r="G67" s="2318">
        <v>6756</v>
      </c>
      <c r="H67" s="1657">
        <v>8050</v>
      </c>
      <c r="I67" s="1657">
        <v>25931</v>
      </c>
      <c r="J67" s="1678">
        <v>8313</v>
      </c>
      <c r="K67" s="1657">
        <v>20876</v>
      </c>
      <c r="L67" s="1657">
        <v>8735</v>
      </c>
      <c r="M67" s="1657">
        <v>6856</v>
      </c>
      <c r="N67" s="1678">
        <v>3106</v>
      </c>
      <c r="O67" s="1657">
        <v>7628</v>
      </c>
      <c r="P67" s="1657">
        <v>2973</v>
      </c>
      <c r="Q67" s="1657">
        <v>4494</v>
      </c>
      <c r="R67" s="1678">
        <v>23195</v>
      </c>
      <c r="S67" s="1657">
        <v>24304</v>
      </c>
      <c r="T67" s="1657">
        <v>16489</v>
      </c>
      <c r="U67" s="1657">
        <v>13610</v>
      </c>
      <c r="V67" s="1678">
        <v>5013</v>
      </c>
      <c r="W67" s="1657">
        <v>15794</v>
      </c>
      <c r="X67" s="1657">
        <v>7872</v>
      </c>
      <c r="Y67" s="1657">
        <v>21570</v>
      </c>
      <c r="Z67" s="1678">
        <v>18624</v>
      </c>
      <c r="AA67" s="1657">
        <v>5421</v>
      </c>
      <c r="AB67" s="1657">
        <v>6438</v>
      </c>
      <c r="AC67" s="1657">
        <v>10680</v>
      </c>
      <c r="AD67" s="1678">
        <v>7011</v>
      </c>
      <c r="AE67" s="1657">
        <v>29695</v>
      </c>
      <c r="AF67" s="1657">
        <v>45225</v>
      </c>
      <c r="AG67" s="1657">
        <v>8678</v>
      </c>
      <c r="AH67" s="1678">
        <v>5921</v>
      </c>
      <c r="AI67" s="1657">
        <v>16725</v>
      </c>
      <c r="AJ67" s="1657">
        <v>27820</v>
      </c>
      <c r="AK67" s="1657">
        <v>16442</v>
      </c>
      <c r="AL67" s="1657">
        <v>17764</v>
      </c>
      <c r="AM67" s="1679">
        <v>19979</v>
      </c>
      <c r="AN67" s="1657">
        <v>19864</v>
      </c>
      <c r="AO67" s="1657">
        <v>8169</v>
      </c>
      <c r="AP67" s="1657">
        <v>14504</v>
      </c>
      <c r="AQ67" s="1679">
        <v>1297</v>
      </c>
      <c r="AR67" s="1657">
        <v>1601</v>
      </c>
      <c r="AS67" s="1657">
        <v>1211</v>
      </c>
      <c r="AT67" s="1657">
        <v>1444</v>
      </c>
      <c r="AU67" s="1679">
        <v>2473</v>
      </c>
      <c r="AV67" s="1657">
        <v>1215</v>
      </c>
      <c r="AW67" s="1678">
        <v>2659</v>
      </c>
      <c r="AX67" s="1678">
        <v>8562</v>
      </c>
      <c r="AY67" s="1678"/>
      <c r="AZ67" s="1528"/>
      <c r="BA67" s="1528"/>
      <c r="BB67" s="1528"/>
      <c r="BC67" s="1528"/>
      <c r="BD67" s="1528"/>
      <c r="BE67" s="1528"/>
      <c r="BF67" s="1528"/>
      <c r="BG67" s="1629"/>
      <c r="BH67" s="2774">
        <v>49050</v>
      </c>
      <c r="BI67" s="1603">
        <v>39573</v>
      </c>
      <c r="BJ67" s="1683">
        <v>9477</v>
      </c>
      <c r="BK67" s="1536">
        <v>0.23948146463497841</v>
      </c>
      <c r="BL67" s="1528"/>
      <c r="BM67" s="2519">
        <v>49050</v>
      </c>
      <c r="BN67" s="2519">
        <v>39573</v>
      </c>
      <c r="BO67" s="1597">
        <v>38290</v>
      </c>
      <c r="BP67" s="1597">
        <v>59416</v>
      </c>
      <c r="BQ67" s="1684">
        <v>63860</v>
      </c>
      <c r="BR67" s="1684">
        <v>29550</v>
      </c>
      <c r="BS67" s="1684">
        <v>89519</v>
      </c>
      <c r="BT67" s="1684">
        <v>78751</v>
      </c>
      <c r="BU67" s="2124">
        <v>62517</v>
      </c>
      <c r="BV67" s="2124">
        <v>6277</v>
      </c>
      <c r="BW67" s="2124">
        <v>14909</v>
      </c>
      <c r="BX67" s="2116">
        <v>17584</v>
      </c>
      <c r="BY67" s="2125">
        <v>12713</v>
      </c>
      <c r="BZ67" s="2084">
        <v>4636</v>
      </c>
      <c r="CA67" s="2105"/>
      <c r="CB67" s="2105"/>
      <c r="CC67" s="2155"/>
    </row>
    <row r="68" spans="1:81" ht="12.75" customHeight="1" x14ac:dyDescent="0.2">
      <c r="A68" s="1539"/>
      <c r="B68" s="946" t="s">
        <v>610</v>
      </c>
      <c r="C68" s="1533">
        <v>1674</v>
      </c>
      <c r="D68" s="1035" t="s">
        <v>41</v>
      </c>
      <c r="E68" s="2452"/>
      <c r="F68" s="1515">
        <v>1872</v>
      </c>
      <c r="G68" s="2318">
        <v>1386</v>
      </c>
      <c r="H68" s="1657">
        <v>735</v>
      </c>
      <c r="I68" s="1657">
        <v>2461</v>
      </c>
      <c r="J68" s="1678">
        <v>198</v>
      </c>
      <c r="K68" s="1269">
        <v>1382</v>
      </c>
      <c r="L68" s="1657">
        <v>570</v>
      </c>
      <c r="M68" s="1269">
        <v>195</v>
      </c>
      <c r="N68" s="1678">
        <v>290</v>
      </c>
      <c r="O68" s="1269">
        <v>514</v>
      </c>
      <c r="P68" s="1657">
        <v>267</v>
      </c>
      <c r="Q68" s="1269">
        <v>-116</v>
      </c>
      <c r="R68" s="1678">
        <v>1090</v>
      </c>
      <c r="S68" s="1269">
        <v>-345</v>
      </c>
      <c r="T68" s="1657">
        <v>389</v>
      </c>
      <c r="U68" s="1657">
        <v>54</v>
      </c>
      <c r="V68" s="1678">
        <v>90</v>
      </c>
      <c r="W68" s="1269">
        <v>-185</v>
      </c>
      <c r="X68" s="1657">
        <v>1548</v>
      </c>
      <c r="Y68" s="1657">
        <v>349</v>
      </c>
      <c r="Z68" s="1678">
        <v>761</v>
      </c>
      <c r="AA68" s="1657">
        <v>357</v>
      </c>
      <c r="AB68" s="1657">
        <v>820</v>
      </c>
      <c r="AC68" s="1657">
        <v>459</v>
      </c>
      <c r="AD68" s="1678">
        <v>48</v>
      </c>
      <c r="AE68" s="1657">
        <v>543</v>
      </c>
      <c r="AF68" s="1657">
        <v>493</v>
      </c>
      <c r="AG68" s="1657">
        <v>699</v>
      </c>
      <c r="AH68" s="1678">
        <v>397</v>
      </c>
      <c r="AI68" s="1657">
        <v>1761</v>
      </c>
      <c r="AJ68" s="1657">
        <v>807</v>
      </c>
      <c r="AK68" s="1269">
        <v>-2981</v>
      </c>
      <c r="AL68" s="1657">
        <v>-405</v>
      </c>
      <c r="AM68" s="1679">
        <v>2915</v>
      </c>
      <c r="AN68" s="1657">
        <v>-373</v>
      </c>
      <c r="AO68" s="1657">
        <v>-659</v>
      </c>
      <c r="AP68" s="1657">
        <v>-262</v>
      </c>
      <c r="AQ68" s="1679">
        <v>-115</v>
      </c>
      <c r="AR68" s="1657">
        <v>-132</v>
      </c>
      <c r="AS68" s="1657">
        <v>-255</v>
      </c>
      <c r="AT68" s="1657">
        <v>-45</v>
      </c>
      <c r="AU68" s="1679">
        <v>-388</v>
      </c>
      <c r="AV68" s="1657">
        <v>-274</v>
      </c>
      <c r="AW68" s="1678">
        <v>-218</v>
      </c>
      <c r="AX68" s="1678">
        <v>-343</v>
      </c>
      <c r="AY68" s="1678">
        <v>5363</v>
      </c>
      <c r="AZ68" s="1528"/>
      <c r="BA68" s="1528"/>
      <c r="BB68" s="1528"/>
      <c r="BC68" s="1528"/>
      <c r="BD68" s="1528"/>
      <c r="BE68" s="1528"/>
      <c r="BF68" s="1528"/>
      <c r="BG68" s="1629"/>
      <c r="BH68" s="2774">
        <v>4780</v>
      </c>
      <c r="BI68" s="1603">
        <v>2437</v>
      </c>
      <c r="BJ68" s="1683">
        <v>2343</v>
      </c>
      <c r="BK68" s="1536">
        <v>0.96142798522773898</v>
      </c>
      <c r="BL68" s="1528"/>
      <c r="BM68" s="2519">
        <v>4780</v>
      </c>
      <c r="BN68" s="2519">
        <v>2437</v>
      </c>
      <c r="BO68" s="1597">
        <v>1755</v>
      </c>
      <c r="BP68" s="1597">
        <v>188</v>
      </c>
      <c r="BQ68" s="1684">
        <v>2473</v>
      </c>
      <c r="BR68" s="1684">
        <v>1684</v>
      </c>
      <c r="BS68" s="1265">
        <v>2132</v>
      </c>
      <c r="BT68" s="1265">
        <v>-818</v>
      </c>
      <c r="BU68" s="2124">
        <v>12833</v>
      </c>
      <c r="BV68" s="2124">
        <v>12778</v>
      </c>
      <c r="BW68" s="2124">
        <v>8388</v>
      </c>
      <c r="BX68" s="2116">
        <v>-8100</v>
      </c>
      <c r="BY68" s="2117">
        <v>-524</v>
      </c>
      <c r="BZ68" s="2084">
        <v>4647</v>
      </c>
      <c r="CA68" s="2105"/>
      <c r="CB68" s="2105"/>
      <c r="CC68" s="2155"/>
    </row>
    <row r="69" spans="1:81" ht="12.75" customHeight="1" x14ac:dyDescent="0.2">
      <c r="A69" s="1539"/>
      <c r="B69" s="946" t="s">
        <v>611</v>
      </c>
      <c r="C69" s="1533">
        <v>2780</v>
      </c>
      <c r="D69" s="1035">
        <v>1.3187855787476281</v>
      </c>
      <c r="E69" s="2452"/>
      <c r="F69" s="1515">
        <v>4888</v>
      </c>
      <c r="G69" s="2976">
        <v>3240</v>
      </c>
      <c r="H69" s="1657">
        <v>3436</v>
      </c>
      <c r="I69" s="1657">
        <v>4669</v>
      </c>
      <c r="J69" s="1678">
        <v>2108</v>
      </c>
      <c r="K69" s="1657">
        <v>3819</v>
      </c>
      <c r="L69" s="1686">
        <v>1794</v>
      </c>
      <c r="M69" s="1660">
        <v>1685</v>
      </c>
      <c r="N69" s="1678">
        <v>1890</v>
      </c>
      <c r="O69" s="1657">
        <v>1875</v>
      </c>
      <c r="P69" s="1686">
        <v>739</v>
      </c>
      <c r="Q69" s="1660">
        <v>1356</v>
      </c>
      <c r="R69" s="1678">
        <v>417</v>
      </c>
      <c r="S69" s="1657">
        <v>398</v>
      </c>
      <c r="T69" s="1686">
        <v>605</v>
      </c>
      <c r="U69" s="1660">
        <v>518</v>
      </c>
      <c r="V69" s="1678">
        <v>1073</v>
      </c>
      <c r="W69" s="1657">
        <v>1187</v>
      </c>
      <c r="X69" s="1686">
        <v>1606</v>
      </c>
      <c r="Y69" s="1660">
        <v>1106</v>
      </c>
      <c r="Z69" s="1678">
        <v>1329</v>
      </c>
      <c r="AA69" s="1657">
        <v>1377</v>
      </c>
      <c r="AB69" s="1686">
        <v>1543</v>
      </c>
      <c r="AC69" s="1660">
        <v>1807</v>
      </c>
      <c r="AD69" s="1678">
        <v>1836</v>
      </c>
      <c r="AE69" s="1657">
        <v>1527</v>
      </c>
      <c r="AF69" s="1657">
        <v>2091</v>
      </c>
      <c r="AG69" s="1657">
        <v>1284</v>
      </c>
      <c r="AH69" s="1678">
        <v>2356</v>
      </c>
      <c r="AI69" s="1657">
        <v>2272</v>
      </c>
      <c r="AJ69" s="1657">
        <v>2019</v>
      </c>
      <c r="AK69" s="1657">
        <v>1807</v>
      </c>
      <c r="AL69" s="1657">
        <v>1740</v>
      </c>
      <c r="AM69" s="1679">
        <v>143</v>
      </c>
      <c r="AN69" s="1686">
        <v>99</v>
      </c>
      <c r="AO69" s="1686">
        <v>137</v>
      </c>
      <c r="AP69" s="1657">
        <v>46</v>
      </c>
      <c r="AQ69" s="1679">
        <v>102</v>
      </c>
      <c r="AR69" s="1687">
        <v>0</v>
      </c>
      <c r="AS69" s="1687">
        <v>0</v>
      </c>
      <c r="AT69" s="1657">
        <v>37</v>
      </c>
      <c r="AU69" s="1679">
        <v>50</v>
      </c>
      <c r="AV69" s="1657">
        <v>93</v>
      </c>
      <c r="AW69" s="1678">
        <v>168</v>
      </c>
      <c r="AX69" s="1678">
        <v>178</v>
      </c>
      <c r="AY69" s="1678">
        <v>-3063</v>
      </c>
      <c r="AZ69" s="1528">
        <v>42952</v>
      </c>
      <c r="BA69" s="1528">
        <v>39210</v>
      </c>
      <c r="BB69" s="1528">
        <v>62549</v>
      </c>
      <c r="BC69" s="1528">
        <v>57382</v>
      </c>
      <c r="BD69" s="1528">
        <v>48897</v>
      </c>
      <c r="BE69" s="1528">
        <v>38533</v>
      </c>
      <c r="BF69" s="1528">
        <v>42750</v>
      </c>
      <c r="BG69" s="1629"/>
      <c r="BH69" s="2774">
        <v>13453</v>
      </c>
      <c r="BI69" s="1603">
        <v>9188</v>
      </c>
      <c r="BJ69" s="1668">
        <v>4265</v>
      </c>
      <c r="BK69" s="1536">
        <v>0.46419242490204615</v>
      </c>
      <c r="BL69" s="1528"/>
      <c r="BM69" s="2519">
        <v>13453</v>
      </c>
      <c r="BN69" s="2519">
        <v>9188</v>
      </c>
      <c r="BO69" s="1597">
        <v>4387</v>
      </c>
      <c r="BP69" s="1597">
        <v>2594</v>
      </c>
      <c r="BQ69" s="1684">
        <v>5228</v>
      </c>
      <c r="BR69" s="1684">
        <v>6563</v>
      </c>
      <c r="BS69" s="1684">
        <v>7258</v>
      </c>
      <c r="BT69" s="1684">
        <v>7838</v>
      </c>
      <c r="BU69" s="2124">
        <v>5809</v>
      </c>
      <c r="BV69" s="2124">
        <v>2053</v>
      </c>
      <c r="BW69" s="2124">
        <v>1310</v>
      </c>
      <c r="BX69" s="2116">
        <v>942</v>
      </c>
      <c r="BY69" s="2117">
        <v>543</v>
      </c>
      <c r="BZ69" s="2084">
        <v>236</v>
      </c>
      <c r="CA69" s="2105"/>
      <c r="CB69" s="2105"/>
      <c r="CC69" s="2155"/>
    </row>
    <row r="70" spans="1:81" ht="12.75" customHeight="1" x14ac:dyDescent="0.2">
      <c r="A70" s="2468"/>
      <c r="B70" s="946" t="s">
        <v>612</v>
      </c>
      <c r="C70" s="1533">
        <v>-16</v>
      </c>
      <c r="D70" s="1035" t="s">
        <v>41</v>
      </c>
      <c r="E70" s="1518"/>
      <c r="F70" s="1169">
        <v>-16</v>
      </c>
      <c r="G70" s="2976">
        <v>347</v>
      </c>
      <c r="H70" s="1657">
        <v>1054</v>
      </c>
      <c r="I70" s="1657">
        <v>644</v>
      </c>
      <c r="J70" s="1245">
        <v>0</v>
      </c>
      <c r="K70" s="1269">
        <v>3</v>
      </c>
      <c r="L70" s="1686">
        <v>0</v>
      </c>
      <c r="M70" s="2206">
        <v>0</v>
      </c>
      <c r="N70" s="1245">
        <v>0</v>
      </c>
      <c r="O70" s="1269">
        <v>6</v>
      </c>
      <c r="P70" s="1686">
        <v>0</v>
      </c>
      <c r="Q70" s="1593">
        <v>11</v>
      </c>
      <c r="R70" s="1245">
        <v>-17</v>
      </c>
      <c r="S70" s="1077">
        <v>0</v>
      </c>
      <c r="T70" s="1686">
        <v>-8</v>
      </c>
      <c r="U70" s="1593">
        <v>8</v>
      </c>
      <c r="V70" s="1678">
        <v>51</v>
      </c>
      <c r="W70" s="1657">
        <v>63</v>
      </c>
      <c r="X70" s="1686">
        <v>36</v>
      </c>
      <c r="Y70" s="1593">
        <v>35</v>
      </c>
      <c r="Z70" s="1678">
        <v>35</v>
      </c>
      <c r="AA70" s="1657">
        <v>34</v>
      </c>
      <c r="AB70" s="1686">
        <v>26</v>
      </c>
      <c r="AC70" s="1593">
        <v>39</v>
      </c>
      <c r="AD70" s="1678">
        <v>19</v>
      </c>
      <c r="AE70" s="1657">
        <v>444</v>
      </c>
      <c r="AF70" s="1657">
        <v>86</v>
      </c>
      <c r="AG70" s="1657">
        <v>34</v>
      </c>
      <c r="AH70" s="1678">
        <v>36</v>
      </c>
      <c r="AI70" s="1657">
        <v>60</v>
      </c>
      <c r="AJ70" s="1657">
        <v>31</v>
      </c>
      <c r="AK70" s="1657">
        <v>62</v>
      </c>
      <c r="AL70" s="1657">
        <v>166</v>
      </c>
      <c r="AM70" s="1679">
        <v>52</v>
      </c>
      <c r="AN70" s="1686">
        <v>74</v>
      </c>
      <c r="AO70" s="1689">
        <v>72</v>
      </c>
      <c r="AP70" s="1672">
        <v>45</v>
      </c>
      <c r="AQ70" s="1679">
        <v>1</v>
      </c>
      <c r="AR70" s="1687">
        <v>0</v>
      </c>
      <c r="AS70" s="1690">
        <v>0</v>
      </c>
      <c r="AT70" s="1672">
        <v>414</v>
      </c>
      <c r="AU70" s="1737">
        <v>0</v>
      </c>
      <c r="AV70" s="1672">
        <v>1</v>
      </c>
      <c r="AW70" s="1692">
        <v>0</v>
      </c>
      <c r="AX70" s="1693">
        <v>1</v>
      </c>
      <c r="AY70" s="1693">
        <v>60</v>
      </c>
      <c r="AZ70" s="1570"/>
      <c r="BA70" s="1570"/>
      <c r="BB70" s="1570"/>
      <c r="BC70" s="1570"/>
      <c r="BD70" s="1570"/>
      <c r="BE70" s="1570"/>
      <c r="BF70" s="1570"/>
      <c r="BG70" s="1629"/>
      <c r="BH70" s="2774">
        <v>2045</v>
      </c>
      <c r="BI70" s="1603">
        <v>3</v>
      </c>
      <c r="BJ70" s="1668">
        <v>2042</v>
      </c>
      <c r="BK70" s="1555" t="s">
        <v>41</v>
      </c>
      <c r="BL70" s="1539"/>
      <c r="BM70" s="2519">
        <v>2045</v>
      </c>
      <c r="BN70" s="2519">
        <v>3</v>
      </c>
      <c r="BO70" s="1917">
        <v>0</v>
      </c>
      <c r="BP70" s="1597">
        <v>51</v>
      </c>
      <c r="BQ70" s="1684">
        <v>169</v>
      </c>
      <c r="BR70" s="1684">
        <v>118</v>
      </c>
      <c r="BS70" s="1684">
        <v>600</v>
      </c>
      <c r="BT70" s="1684">
        <v>319</v>
      </c>
      <c r="BU70" s="2121">
        <v>242</v>
      </c>
      <c r="BV70" s="2121">
        <v>417</v>
      </c>
      <c r="BW70" s="2121">
        <v>4</v>
      </c>
      <c r="BX70" s="2118">
        <v>333</v>
      </c>
      <c r="BY70" s="2119">
        <v>294</v>
      </c>
      <c r="BZ70" s="2120">
        <v>118</v>
      </c>
      <c r="CA70" s="2105"/>
      <c r="CB70" s="2105"/>
      <c r="CC70" s="2155"/>
    </row>
    <row r="71" spans="1:81" ht="12.75" customHeight="1" x14ac:dyDescent="0.2">
      <c r="A71" s="2468"/>
      <c r="B71" s="946"/>
      <c r="C71" s="1534">
        <v>18493</v>
      </c>
      <c r="D71" s="1190">
        <v>0.40319626738760739</v>
      </c>
      <c r="E71" s="2474"/>
      <c r="F71" s="2428">
        <v>64359</v>
      </c>
      <c r="G71" s="2977">
        <v>54486</v>
      </c>
      <c r="H71" s="2476">
        <v>83341</v>
      </c>
      <c r="I71" s="2476">
        <v>76972</v>
      </c>
      <c r="J71" s="2475">
        <v>45866</v>
      </c>
      <c r="K71" s="2476">
        <v>77614</v>
      </c>
      <c r="L71" s="2476">
        <v>75278</v>
      </c>
      <c r="M71" s="2476">
        <v>28830</v>
      </c>
      <c r="N71" s="2475">
        <v>34384</v>
      </c>
      <c r="O71" s="2476">
        <v>46243</v>
      </c>
      <c r="P71" s="2476">
        <v>31995</v>
      </c>
      <c r="Q71" s="2476">
        <v>28281</v>
      </c>
      <c r="R71" s="2475">
        <v>48892</v>
      </c>
      <c r="S71" s="2476">
        <v>39106</v>
      </c>
      <c r="T71" s="2476">
        <v>33199</v>
      </c>
      <c r="U71" s="2476">
        <v>24758</v>
      </c>
      <c r="V71" s="2475">
        <v>34336</v>
      </c>
      <c r="W71" s="2476">
        <v>48292</v>
      </c>
      <c r="X71" s="2476">
        <v>29192</v>
      </c>
      <c r="Y71" s="2476">
        <v>68913</v>
      </c>
      <c r="Z71" s="2475">
        <v>58188</v>
      </c>
      <c r="AA71" s="2476">
        <v>43057</v>
      </c>
      <c r="AB71" s="2476">
        <v>41283</v>
      </c>
      <c r="AC71" s="2476">
        <v>31264</v>
      </c>
      <c r="AD71" s="2475">
        <v>32910</v>
      </c>
      <c r="AE71" s="2476">
        <v>56814</v>
      </c>
      <c r="AF71" s="2476">
        <v>76454</v>
      </c>
      <c r="AG71" s="2476">
        <v>35445</v>
      </c>
      <c r="AH71" s="2475">
        <v>35624</v>
      </c>
      <c r="AI71" s="2476">
        <v>71006</v>
      </c>
      <c r="AJ71" s="2476">
        <v>56942</v>
      </c>
      <c r="AK71" s="2476">
        <v>42491</v>
      </c>
      <c r="AL71" s="2476">
        <v>61867</v>
      </c>
      <c r="AM71" s="2477">
        <v>88632</v>
      </c>
      <c r="AN71" s="2476">
        <v>109404</v>
      </c>
      <c r="AO71" s="2476">
        <v>49909</v>
      </c>
      <c r="AP71" s="2476">
        <v>53057</v>
      </c>
      <c r="AQ71" s="2477">
        <v>32806</v>
      </c>
      <c r="AR71" s="2476">
        <v>57181</v>
      </c>
      <c r="AS71" s="2476">
        <v>27314</v>
      </c>
      <c r="AT71" s="2476">
        <v>30054</v>
      </c>
      <c r="AU71" s="2477">
        <v>25033</v>
      </c>
      <c r="AV71" s="2476">
        <v>12639</v>
      </c>
      <c r="AW71" s="2475">
        <v>23461</v>
      </c>
      <c r="AX71" s="2475">
        <v>34352</v>
      </c>
      <c r="AY71" s="2475">
        <v>31944</v>
      </c>
      <c r="AZ71" s="1526"/>
      <c r="BA71" s="1526"/>
      <c r="BB71" s="1526"/>
      <c r="BC71" s="1526"/>
      <c r="BD71" s="1526"/>
      <c r="BE71" s="1526"/>
      <c r="BF71" s="1526"/>
      <c r="BG71" s="2478"/>
      <c r="BH71" s="2477">
        <v>260665</v>
      </c>
      <c r="BI71" s="2476">
        <v>216106</v>
      </c>
      <c r="BJ71" s="2775">
        <v>44559</v>
      </c>
      <c r="BK71" s="1700">
        <v>0.20619048059748457</v>
      </c>
      <c r="BL71" s="1778"/>
      <c r="BM71" s="2890">
        <v>260665</v>
      </c>
      <c r="BN71" s="2479">
        <v>216106</v>
      </c>
      <c r="BO71" s="2479">
        <v>155411</v>
      </c>
      <c r="BP71" s="2479">
        <v>131399</v>
      </c>
      <c r="BQ71" s="2480">
        <v>204585</v>
      </c>
      <c r="BR71" s="2480">
        <v>148514</v>
      </c>
      <c r="BS71" s="2480">
        <v>204337</v>
      </c>
      <c r="BT71" s="2480">
        <v>232306</v>
      </c>
      <c r="BU71" s="2481">
        <v>338520</v>
      </c>
      <c r="BV71" s="2481">
        <v>177581</v>
      </c>
      <c r="BW71" s="2482">
        <v>122850</v>
      </c>
      <c r="BX71" s="2482">
        <v>176655</v>
      </c>
      <c r="BY71" s="2482">
        <v>187562</v>
      </c>
      <c r="BZ71" s="2482">
        <v>150470</v>
      </c>
      <c r="CA71" s="2105"/>
      <c r="CB71" s="2105"/>
      <c r="CC71" s="2061"/>
    </row>
    <row r="72" spans="1:81" ht="12.75" customHeight="1" x14ac:dyDescent="0.2">
      <c r="A72" s="2468"/>
      <c r="B72" s="946"/>
      <c r="C72" s="1562"/>
      <c r="D72" s="1190"/>
      <c r="E72" s="2474"/>
      <c r="F72" s="1515"/>
      <c r="G72" s="2976"/>
      <c r="H72" s="1672"/>
      <c r="I72" s="1672"/>
      <c r="J72" s="1693"/>
      <c r="K72" s="1657"/>
      <c r="L72" s="1672"/>
      <c r="M72" s="1672"/>
      <c r="N72" s="1693"/>
      <c r="O72" s="1657"/>
      <c r="P72" s="1672"/>
      <c r="Q72" s="1672"/>
      <c r="R72" s="1693"/>
      <c r="S72" s="1657"/>
      <c r="T72" s="1672"/>
      <c r="U72" s="1672"/>
      <c r="V72" s="1693"/>
      <c r="W72" s="1657"/>
      <c r="X72" s="1672"/>
      <c r="Y72" s="1672"/>
      <c r="Z72" s="1693"/>
      <c r="AA72" s="1657"/>
      <c r="AB72" s="1672"/>
      <c r="AC72" s="1672"/>
      <c r="AD72" s="1693"/>
      <c r="AE72" s="1657"/>
      <c r="AF72" s="1672"/>
      <c r="AG72" s="1672"/>
      <c r="AH72" s="1693"/>
      <c r="AI72" s="1657"/>
      <c r="AJ72" s="2476"/>
      <c r="AK72" s="1672"/>
      <c r="AL72" s="1672"/>
      <c r="AM72" s="2483"/>
      <c r="AN72" s="1672"/>
      <c r="AO72" s="1672"/>
      <c r="AP72" s="1672"/>
      <c r="AQ72" s="2483"/>
      <c r="AR72" s="1672"/>
      <c r="AS72" s="1672"/>
      <c r="AT72" s="1672"/>
      <c r="AU72" s="1657"/>
      <c r="AV72" s="1657"/>
      <c r="AW72" s="1657"/>
      <c r="AX72" s="1657"/>
      <c r="AY72" s="1657"/>
      <c r="AZ72" s="1526"/>
      <c r="BA72" s="1526"/>
      <c r="BB72" s="1526"/>
      <c r="BC72" s="1526"/>
      <c r="BD72" s="1526"/>
      <c r="BE72" s="1526"/>
      <c r="BF72" s="1526"/>
      <c r="BG72" s="2478"/>
      <c r="BH72" s="2483"/>
      <c r="BI72" s="1672"/>
      <c r="BJ72" s="2776"/>
      <c r="BK72" s="1705"/>
      <c r="BL72" s="1778"/>
      <c r="BM72" s="1684"/>
      <c r="BN72" s="1694"/>
      <c r="BO72" s="2484"/>
      <c r="BP72" s="2484"/>
      <c r="BQ72" s="2484"/>
      <c r="BR72" s="2484"/>
      <c r="BS72" s="2484"/>
      <c r="BT72" s="2484"/>
      <c r="BU72" s="2485"/>
      <c r="BV72" s="2485"/>
      <c r="BW72" s="2486"/>
      <c r="BX72" s="2486"/>
      <c r="BY72" s="2486"/>
      <c r="BZ72" s="1967"/>
      <c r="CA72" s="2105"/>
      <c r="CB72" s="2105"/>
      <c r="CC72" s="2061"/>
    </row>
    <row r="73" spans="1:81" ht="12.75" customHeight="1" x14ac:dyDescent="0.2">
      <c r="A73" s="1528"/>
      <c r="B73" s="946" t="s">
        <v>633</v>
      </c>
      <c r="C73" s="1534">
        <v>-290</v>
      </c>
      <c r="D73" s="1190">
        <v>-0.18046048537647791</v>
      </c>
      <c r="E73" s="2487"/>
      <c r="F73" s="2932">
        <v>-1897</v>
      </c>
      <c r="G73" s="2978">
        <v>779</v>
      </c>
      <c r="H73" s="1923">
        <v>-728</v>
      </c>
      <c r="I73" s="1923">
        <v>-882</v>
      </c>
      <c r="J73" s="1828">
        <v>-1607</v>
      </c>
      <c r="K73" s="1923">
        <v>-388</v>
      </c>
      <c r="L73" s="1923">
        <v>-1840</v>
      </c>
      <c r="M73" s="1923">
        <v>256</v>
      </c>
      <c r="N73" s="1828">
        <v>-1758</v>
      </c>
      <c r="O73" s="1923">
        <v>-1130</v>
      </c>
      <c r="P73" s="1923">
        <v>-2216</v>
      </c>
      <c r="Q73" s="1923">
        <v>-1971</v>
      </c>
      <c r="R73" s="1828">
        <v>-2908</v>
      </c>
      <c r="S73" s="1923">
        <v>-1433</v>
      </c>
      <c r="T73" s="1923">
        <v>-1260</v>
      </c>
      <c r="U73" s="1923">
        <v>-5130</v>
      </c>
      <c r="V73" s="1828">
        <v>-900</v>
      </c>
      <c r="W73" s="1923">
        <v>-1170</v>
      </c>
      <c r="X73" s="1923">
        <v>-2682</v>
      </c>
      <c r="Y73" s="1923">
        <v>-2420</v>
      </c>
      <c r="Z73" s="1828">
        <v>-1205</v>
      </c>
      <c r="AA73" s="1923">
        <v>-2787</v>
      </c>
      <c r="AB73" s="1923">
        <v>-1885</v>
      </c>
      <c r="AC73" s="1923">
        <v>-3642</v>
      </c>
      <c r="AD73" s="1828">
        <v>-1755</v>
      </c>
      <c r="AE73" s="1923">
        <v>-4119</v>
      </c>
      <c r="AF73" s="1923">
        <v>-2879</v>
      </c>
      <c r="AG73" s="1923">
        <v>-1301</v>
      </c>
      <c r="AH73" s="2488">
        <v>-3367</v>
      </c>
      <c r="AI73" s="1923">
        <v>-218</v>
      </c>
      <c r="AJ73" s="1923">
        <v>-4844</v>
      </c>
      <c r="AK73" s="1923">
        <v>-6322</v>
      </c>
      <c r="AL73" s="2488">
        <v>-10795</v>
      </c>
      <c r="AM73" s="2489">
        <v>-9261</v>
      </c>
      <c r="AN73" s="2490">
        <v>-1134</v>
      </c>
      <c r="AO73" s="2490">
        <v>-5070</v>
      </c>
      <c r="AP73" s="2491">
        <v>-6918</v>
      </c>
      <c r="AQ73" s="2492" t="s">
        <v>181</v>
      </c>
      <c r="AR73" s="2493" t="s">
        <v>181</v>
      </c>
      <c r="AS73" s="2494" t="s">
        <v>181</v>
      </c>
      <c r="AT73" s="2494" t="s">
        <v>181</v>
      </c>
      <c r="AU73" s="2495"/>
      <c r="AV73" s="2495"/>
      <c r="AW73" s="2495"/>
      <c r="AX73" s="2495"/>
      <c r="AY73" s="2495"/>
      <c r="AZ73" s="1707"/>
      <c r="BA73" s="1707"/>
      <c r="BB73" s="1707"/>
      <c r="BC73" s="1707"/>
      <c r="BD73" s="1707"/>
      <c r="BE73" s="1707"/>
      <c r="BF73" s="1707"/>
      <c r="BG73" s="2496"/>
      <c r="BH73" s="1307">
        <v>-2438</v>
      </c>
      <c r="BI73" s="1304">
        <v>-3730</v>
      </c>
      <c r="BJ73" s="1304">
        <v>1292</v>
      </c>
      <c r="BK73" s="2436">
        <v>0.34638069705093832</v>
      </c>
      <c r="BL73" s="2497"/>
      <c r="BM73" s="2890">
        <v>-2438</v>
      </c>
      <c r="BN73" s="1274">
        <v>-3730</v>
      </c>
      <c r="BO73" s="1477">
        <v>-8225</v>
      </c>
      <c r="BP73" s="1477">
        <v>-8723</v>
      </c>
      <c r="BQ73" s="2245">
        <v>-7477</v>
      </c>
      <c r="BR73" s="2245">
        <v>-10069</v>
      </c>
      <c r="BS73" s="2245">
        <v>-11666</v>
      </c>
      <c r="BT73" s="2245">
        <v>-22179</v>
      </c>
      <c r="BU73" s="2498">
        <v>-22383</v>
      </c>
      <c r="BV73" s="2498" t="s">
        <v>181</v>
      </c>
      <c r="BW73" s="2499" t="s">
        <v>181</v>
      </c>
      <c r="BX73" s="2498" t="s">
        <v>181</v>
      </c>
      <c r="BY73" s="2498" t="s">
        <v>181</v>
      </c>
      <c r="BZ73" s="2500"/>
      <c r="CA73" s="2501"/>
      <c r="CB73" s="2501"/>
      <c r="CC73" s="2502"/>
    </row>
    <row r="74" spans="1:81" x14ac:dyDescent="0.2">
      <c r="A74" s="1778"/>
      <c r="B74" s="1778"/>
      <c r="C74" s="1778"/>
      <c r="D74" s="1778"/>
      <c r="E74" s="1486"/>
      <c r="F74" s="1486"/>
      <c r="G74" s="1486"/>
      <c r="H74" s="1526"/>
      <c r="I74" s="1526"/>
      <c r="J74" s="1526"/>
      <c r="K74" s="1526"/>
      <c r="L74" s="1526"/>
      <c r="M74" s="1526"/>
      <c r="N74" s="1526"/>
      <c r="O74" s="1526"/>
      <c r="P74" s="1526"/>
      <c r="Q74" s="1526"/>
      <c r="R74" s="1526"/>
      <c r="S74" s="1526"/>
      <c r="T74" s="2503"/>
      <c r="U74" s="2503"/>
      <c r="V74" s="1543"/>
      <c r="W74" s="1526"/>
      <c r="X74" s="2503"/>
      <c r="Y74" s="2503"/>
      <c r="Z74" s="1543"/>
      <c r="AA74" s="1526"/>
      <c r="AB74" s="2503"/>
      <c r="AC74" s="2503"/>
      <c r="AD74" s="1543"/>
      <c r="AE74" s="1526"/>
      <c r="AF74" s="2503"/>
      <c r="AG74" s="2503"/>
      <c r="AH74" s="1543"/>
      <c r="AI74" s="1526"/>
      <c r="AJ74" s="1526"/>
      <c r="AK74" s="2503"/>
      <c r="AL74" s="1543"/>
      <c r="AM74" s="1526"/>
      <c r="AN74" s="1526"/>
      <c r="AO74" s="1526"/>
      <c r="AP74" s="1543"/>
      <c r="AQ74" s="1526"/>
      <c r="AR74" s="1526"/>
      <c r="AS74" s="1526"/>
      <c r="AT74" s="1543"/>
      <c r="AU74" s="1526"/>
      <c r="AV74" s="1526"/>
      <c r="AW74" s="1526"/>
      <c r="AX74" s="1543"/>
      <c r="AY74" s="1778"/>
      <c r="AZ74" s="1778"/>
      <c r="BA74" s="1778"/>
      <c r="BB74" s="1778"/>
      <c r="BC74" s="1778"/>
      <c r="BD74" s="1778"/>
      <c r="BE74" s="1778"/>
      <c r="BF74" s="1543"/>
      <c r="BG74" s="1778"/>
      <c r="BH74" s="1526"/>
      <c r="BI74" s="1526"/>
      <c r="BJ74" s="2440"/>
      <c r="BK74" s="2440"/>
      <c r="BL74" s="1778"/>
      <c r="BM74" s="1778"/>
      <c r="BN74" s="1526"/>
      <c r="BO74" s="1778"/>
      <c r="BP74" s="1778"/>
      <c r="BQ74" s="1778"/>
      <c r="BR74" s="1778"/>
      <c r="BS74" s="1778"/>
      <c r="BT74" s="1778"/>
      <c r="BU74" s="2061"/>
      <c r="BV74" s="2061"/>
      <c r="BW74" s="2061"/>
      <c r="BX74" s="1504"/>
      <c r="BY74" s="1504"/>
      <c r="BZ74" s="2061"/>
      <c r="CA74" s="2061"/>
      <c r="CB74" s="2061"/>
      <c r="CC74" s="2061"/>
    </row>
    <row r="75" spans="1:81" x14ac:dyDescent="0.2">
      <c r="A75" s="946" t="s">
        <v>357</v>
      </c>
      <c r="B75" s="1778"/>
      <c r="C75" s="2743"/>
      <c r="D75" s="2743"/>
      <c r="E75" s="2736"/>
      <c r="F75" s="2736"/>
      <c r="G75" s="2736"/>
      <c r="H75" s="1784"/>
      <c r="I75" s="1784"/>
      <c r="J75" s="2744"/>
      <c r="K75" s="2744"/>
      <c r="M75" s="2744"/>
      <c r="N75" s="2744"/>
      <c r="O75" s="2744"/>
      <c r="P75" s="2744"/>
      <c r="Q75" s="2744"/>
      <c r="R75" s="2744"/>
      <c r="S75" s="1077"/>
      <c r="T75" s="1077"/>
      <c r="U75" s="1077"/>
      <c r="V75" s="1077"/>
      <c r="W75" s="1077"/>
      <c r="X75" s="1077"/>
      <c r="Y75" s="1077"/>
      <c r="Z75" s="1077"/>
      <c r="AA75" s="1077"/>
      <c r="AB75" s="1077"/>
      <c r="AC75" s="1077"/>
      <c r="AD75" s="1077"/>
      <c r="AE75" s="1077"/>
      <c r="AF75" s="1077"/>
      <c r="AG75" s="1077"/>
      <c r="AH75" s="1077"/>
      <c r="AI75" s="1077"/>
      <c r="AJ75" s="1077"/>
      <c r="AK75" s="1077"/>
      <c r="AL75" s="1077"/>
      <c r="AM75" s="1077"/>
      <c r="AN75" s="1077"/>
      <c r="AO75" s="1077"/>
      <c r="AP75" s="1077"/>
      <c r="AQ75" s="1077"/>
      <c r="AR75" s="1077"/>
      <c r="AS75" s="1077"/>
      <c r="AT75" s="1077"/>
      <c r="AU75" s="1077"/>
      <c r="AV75" s="1077"/>
      <c r="AW75" s="1077"/>
      <c r="AX75" s="1077"/>
      <c r="AY75" s="1077"/>
      <c r="AZ75" s="1077"/>
      <c r="BA75" s="1077"/>
      <c r="BB75" s="1077"/>
      <c r="BC75" s="1077"/>
      <c r="BD75" s="1077"/>
      <c r="BE75" s="1077"/>
      <c r="BF75" s="1077"/>
      <c r="BG75" s="1077"/>
      <c r="BH75" s="1077"/>
      <c r="BI75" s="1077"/>
      <c r="BJ75" s="1915"/>
      <c r="BK75" s="1915"/>
      <c r="BL75" s="1077"/>
      <c r="BM75" s="1077"/>
      <c r="BN75" s="1077"/>
      <c r="BO75" s="1077"/>
      <c r="BP75" s="1077"/>
      <c r="BQ75" s="1077"/>
      <c r="BR75" s="1077"/>
      <c r="BS75" s="1077"/>
      <c r="BT75" s="1077"/>
      <c r="BU75" s="1929"/>
      <c r="BV75" s="1929"/>
      <c r="BW75" s="1929"/>
      <c r="BX75" s="1929"/>
      <c r="BY75" s="1929"/>
      <c r="BZ75" s="1929"/>
      <c r="CA75" s="2735"/>
      <c r="CB75" s="2735"/>
      <c r="CC75" s="2735"/>
    </row>
    <row r="76" spans="1:81" x14ac:dyDescent="0.2">
      <c r="A76" s="971" t="s">
        <v>28</v>
      </c>
      <c r="B76" s="1778"/>
      <c r="C76" s="2743"/>
      <c r="D76" s="2743"/>
      <c r="E76" s="2736"/>
      <c r="F76" s="3002"/>
      <c r="G76" s="2736"/>
      <c r="H76" s="1784"/>
      <c r="I76" s="1784"/>
      <c r="J76" s="3002"/>
      <c r="K76" s="2744"/>
      <c r="M76" s="2744"/>
      <c r="N76" s="2744"/>
      <c r="O76" s="2744"/>
      <c r="P76" s="2744"/>
      <c r="Q76" s="2744"/>
      <c r="R76" s="2744"/>
      <c r="S76" s="2744"/>
      <c r="T76" s="2744"/>
      <c r="U76" s="2744"/>
      <c r="V76" s="2744"/>
      <c r="W76" s="2744"/>
      <c r="X76" s="2744"/>
      <c r="Y76" s="2744"/>
      <c r="Z76" s="2744"/>
      <c r="AA76" s="2744"/>
      <c r="AB76" s="2744"/>
      <c r="AC76" s="2744"/>
      <c r="AD76" s="2744"/>
      <c r="AE76" s="2744"/>
      <c r="AF76" s="2744"/>
      <c r="AG76" s="2744"/>
      <c r="AH76" s="2744"/>
      <c r="AI76" s="2744"/>
      <c r="AJ76" s="2744"/>
      <c r="AK76" s="2744"/>
      <c r="AL76" s="2744"/>
      <c r="AM76" s="2744"/>
      <c r="AN76" s="2744"/>
      <c r="AO76" s="2744"/>
      <c r="AP76" s="2744"/>
      <c r="AQ76" s="2744"/>
      <c r="AR76" s="2744"/>
      <c r="AS76" s="2744"/>
      <c r="AT76" s="2744"/>
      <c r="AU76" s="2744"/>
      <c r="AV76" s="2744"/>
      <c r="AW76" s="2744"/>
      <c r="AX76" s="2744"/>
      <c r="AY76" s="2744"/>
      <c r="AZ76" s="2744"/>
      <c r="BA76" s="2744"/>
      <c r="BB76" s="2744"/>
      <c r="BC76" s="2744"/>
      <c r="BD76" s="2744"/>
      <c r="BE76" s="2744"/>
      <c r="BF76" s="2744"/>
      <c r="BG76" s="2744"/>
      <c r="BH76" s="2744"/>
      <c r="BI76" s="2744"/>
      <c r="BJ76" s="2744"/>
      <c r="BK76" s="2744"/>
      <c r="BL76" s="2744"/>
      <c r="BM76" s="2744"/>
      <c r="BN76" s="2744"/>
      <c r="BO76" s="2744"/>
      <c r="BP76" s="2744"/>
      <c r="BQ76" s="2744"/>
      <c r="BR76" s="2744"/>
      <c r="BS76" s="2744"/>
      <c r="BT76" s="2744"/>
      <c r="BU76" s="2736"/>
      <c r="BV76" s="2736"/>
      <c r="BW76" s="2736"/>
      <c r="BX76" s="2736"/>
      <c r="BY76" s="2736"/>
      <c r="BZ76" s="2736"/>
      <c r="CA76" s="2736"/>
      <c r="CB76" s="2736"/>
      <c r="CC76" s="2736"/>
    </row>
    <row r="77" spans="1:81" x14ac:dyDescent="0.2">
      <c r="A77" s="941"/>
      <c r="B77" s="1778"/>
      <c r="C77" s="2743"/>
      <c r="D77" s="2743"/>
      <c r="E77" s="2736"/>
      <c r="F77" s="3003"/>
      <c r="G77" s="2736"/>
      <c r="H77" s="1784"/>
      <c r="I77" s="1784"/>
      <c r="J77" s="3003"/>
      <c r="K77" s="2744"/>
      <c r="M77" s="2744"/>
      <c r="N77" s="2744"/>
      <c r="O77" s="2744"/>
      <c r="P77" s="2744"/>
      <c r="Q77" s="2744"/>
      <c r="R77" s="2744"/>
      <c r="S77" s="2744"/>
      <c r="T77" s="2744"/>
      <c r="U77" s="2744"/>
      <c r="V77" s="2744"/>
      <c r="W77" s="2744"/>
      <c r="X77" s="2744"/>
      <c r="Y77" s="2744"/>
      <c r="Z77" s="2744"/>
      <c r="AA77" s="2744"/>
      <c r="AB77" s="2744"/>
      <c r="AC77" s="2744"/>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4"/>
      <c r="BD77" s="2744"/>
      <c r="BE77" s="2744"/>
      <c r="BF77" s="2744"/>
      <c r="BG77" s="2744"/>
      <c r="BH77" s="2744"/>
      <c r="BI77" s="2744"/>
      <c r="BJ77" s="2745"/>
      <c r="BK77" s="2745"/>
      <c r="BL77" s="2744"/>
      <c r="BM77" s="2744"/>
      <c r="BN77" s="2744"/>
      <c r="BO77" s="2744"/>
      <c r="BP77" s="2744"/>
      <c r="BQ77" s="2744"/>
      <c r="BR77" s="2744"/>
      <c r="BS77" s="2744"/>
      <c r="BT77" s="2744"/>
      <c r="BU77" s="2736"/>
      <c r="BV77" s="2736"/>
      <c r="BW77" s="2736"/>
      <c r="BX77" s="2736"/>
      <c r="BY77" s="2736"/>
      <c r="BZ77" s="2736"/>
      <c r="CA77" s="2735"/>
      <c r="CB77" s="2735"/>
      <c r="CC77" s="2735"/>
    </row>
    <row r="78" spans="1:81" x14ac:dyDescent="0.2">
      <c r="A78" s="946" t="s">
        <v>709</v>
      </c>
      <c r="B78" s="1778"/>
      <c r="C78" s="2743"/>
      <c r="D78" s="2743"/>
      <c r="E78" s="2736"/>
      <c r="F78" s="2736"/>
      <c r="G78" s="2736"/>
      <c r="H78" s="1784"/>
      <c r="I78" s="1784"/>
      <c r="J78" s="2736"/>
      <c r="K78" s="2744"/>
      <c r="M78" s="2744"/>
      <c r="N78" s="2744"/>
      <c r="O78" s="2744"/>
      <c r="P78" s="2744"/>
      <c r="Q78" s="2744"/>
      <c r="R78" s="2744"/>
      <c r="S78" s="2744"/>
      <c r="T78" s="2744"/>
      <c r="U78" s="2744"/>
      <c r="V78" s="2744"/>
      <c r="W78" s="2744"/>
      <c r="X78" s="2744"/>
      <c r="Y78" s="2744"/>
      <c r="Z78" s="2744"/>
      <c r="AA78" s="2744"/>
      <c r="AB78" s="2744"/>
      <c r="AC78" s="2744"/>
      <c r="AD78" s="2744"/>
      <c r="AE78" s="2744"/>
      <c r="AF78" s="2744"/>
      <c r="AG78" s="2744"/>
      <c r="AH78" s="2744"/>
      <c r="AI78" s="2744"/>
      <c r="AJ78" s="2744"/>
      <c r="AK78" s="2744"/>
      <c r="AL78" s="2744"/>
      <c r="AM78" s="2744"/>
      <c r="AN78" s="2744"/>
      <c r="AO78" s="2744"/>
      <c r="AP78" s="2744"/>
      <c r="AQ78" s="2744"/>
      <c r="AR78" s="2744"/>
      <c r="AS78" s="2744"/>
      <c r="AT78" s="2744"/>
      <c r="AU78" s="2744"/>
      <c r="AV78" s="2744"/>
      <c r="AW78" s="2744"/>
      <c r="AX78" s="2744"/>
      <c r="AY78" s="2744"/>
      <c r="AZ78" s="2744"/>
      <c r="BA78" s="2744"/>
      <c r="BB78" s="2744"/>
      <c r="BC78" s="2744"/>
      <c r="BD78" s="2744"/>
      <c r="BE78" s="2744"/>
      <c r="BF78" s="2744"/>
      <c r="BG78" s="2744"/>
      <c r="BH78" s="2744"/>
      <c r="BI78" s="2744"/>
      <c r="BJ78" s="2745"/>
      <c r="BK78" s="2745"/>
      <c r="BL78" s="2744"/>
      <c r="BM78" s="2744"/>
      <c r="BN78" s="2744"/>
      <c r="BO78" s="2744"/>
      <c r="BP78" s="2744"/>
      <c r="BQ78" s="2744"/>
      <c r="BR78" s="2744"/>
      <c r="BS78" s="2744"/>
      <c r="BT78" s="2744"/>
      <c r="BU78" s="2736"/>
      <c r="BV78" s="2736"/>
      <c r="BW78" s="2736"/>
      <c r="BX78" s="2736"/>
      <c r="BY78" s="2736"/>
      <c r="BZ78" s="2736"/>
      <c r="CA78" s="2735"/>
      <c r="CB78" s="2735"/>
      <c r="CC78" s="2735"/>
    </row>
    <row r="79" spans="1:81" x14ac:dyDescent="0.2">
      <c r="A79" s="1778"/>
      <c r="B79" s="1778"/>
      <c r="C79" s="2743"/>
      <c r="D79" s="2743"/>
      <c r="E79" s="2736"/>
      <c r="F79" s="2736"/>
      <c r="G79" s="2736"/>
      <c r="H79" s="1784"/>
      <c r="I79" s="1784"/>
      <c r="J79" s="2744"/>
      <c r="K79" s="2744"/>
      <c r="M79" s="2744"/>
      <c r="N79" s="2744"/>
      <c r="O79" s="2744"/>
      <c r="P79" s="2744"/>
      <c r="Q79" s="2744"/>
      <c r="R79" s="2744"/>
      <c r="S79" s="2744"/>
      <c r="T79" s="2744"/>
      <c r="U79" s="2744"/>
      <c r="V79" s="2744"/>
      <c r="W79" s="2744"/>
      <c r="X79" s="2744"/>
      <c r="Y79" s="2744"/>
      <c r="Z79" s="2744"/>
      <c r="AA79" s="2744"/>
      <c r="AB79" s="2744"/>
      <c r="AC79" s="2744"/>
      <c r="AD79" s="2744"/>
      <c r="AE79" s="2744"/>
      <c r="AF79" s="2744"/>
      <c r="AG79" s="2744"/>
      <c r="AH79" s="2744"/>
      <c r="AI79" s="2744"/>
      <c r="AJ79" s="2744"/>
      <c r="AK79" s="2744"/>
      <c r="AL79" s="2744"/>
      <c r="AM79" s="2744"/>
      <c r="AN79" s="2744"/>
      <c r="AO79" s="2744"/>
      <c r="AP79" s="2744"/>
      <c r="AQ79" s="2744"/>
      <c r="AR79" s="2744"/>
      <c r="AS79" s="2744"/>
      <c r="AT79" s="2744"/>
      <c r="AU79" s="2744"/>
      <c r="AV79" s="2744"/>
      <c r="AW79" s="2744"/>
      <c r="AX79" s="2744"/>
      <c r="AY79" s="2744"/>
      <c r="AZ79" s="2744"/>
      <c r="BA79" s="2744"/>
      <c r="BB79" s="2744"/>
      <c r="BC79" s="2744"/>
      <c r="BD79" s="2744"/>
      <c r="BE79" s="2744"/>
      <c r="BF79" s="2744"/>
      <c r="BG79" s="2744"/>
      <c r="BH79" s="2744"/>
      <c r="BI79" s="2744"/>
      <c r="BJ79" s="2745"/>
      <c r="BK79" s="2745"/>
      <c r="BL79" s="2744"/>
      <c r="BM79" s="2744"/>
      <c r="BN79" s="2744"/>
      <c r="BO79" s="2744"/>
      <c r="BP79" s="2744"/>
      <c r="BQ79" s="2744"/>
      <c r="BR79" s="2744"/>
      <c r="BS79" s="2744"/>
      <c r="BT79" s="2744"/>
      <c r="BU79" s="2736"/>
      <c r="BV79" s="2736"/>
      <c r="BW79" s="2736"/>
      <c r="BX79" s="2736"/>
      <c r="BY79" s="2736"/>
      <c r="BZ79" s="2736"/>
      <c r="CA79" s="2735"/>
      <c r="CB79" s="2735"/>
      <c r="CC79" s="2735"/>
    </row>
    <row r="80" spans="1:81" x14ac:dyDescent="0.2">
      <c r="A80" s="1526"/>
      <c r="B80" s="1526"/>
      <c r="C80" s="2744"/>
      <c r="D80" s="2744"/>
      <c r="E80" s="2736"/>
      <c r="F80" s="2736"/>
      <c r="G80" s="2736"/>
      <c r="H80" s="1784"/>
      <c r="I80" s="1784"/>
      <c r="J80" s="2736"/>
      <c r="K80" s="2744"/>
      <c r="M80" s="2744"/>
      <c r="N80" s="2744"/>
      <c r="O80" s="2744"/>
      <c r="P80" s="2744"/>
      <c r="Q80" s="2744"/>
      <c r="R80" s="2744"/>
      <c r="S80" s="1289"/>
      <c r="T80" s="1289"/>
      <c r="U80" s="1289"/>
      <c r="V80" s="1289"/>
      <c r="W80" s="1289"/>
      <c r="X80" s="1289"/>
      <c r="Y80" s="1289"/>
      <c r="Z80" s="1289"/>
      <c r="AA80" s="1289"/>
      <c r="AB80" s="1289"/>
      <c r="AC80" s="1289"/>
      <c r="AD80" s="1289"/>
      <c r="AE80" s="1289"/>
      <c r="AF80" s="1289"/>
      <c r="AG80" s="1289"/>
      <c r="AH80" s="1289"/>
      <c r="AI80" s="1289"/>
      <c r="AJ80" s="1289"/>
      <c r="AK80" s="1289"/>
      <c r="AL80" s="1289"/>
      <c r="AM80" s="1289"/>
      <c r="AN80" s="1289"/>
      <c r="AO80" s="1289"/>
      <c r="AP80" s="1289"/>
      <c r="AQ80" s="1289"/>
      <c r="AR80" s="1289"/>
      <c r="AS80" s="1289"/>
      <c r="AT80" s="1289"/>
      <c r="AU80" s="1289"/>
      <c r="AV80" s="1289"/>
      <c r="AW80" s="1289"/>
      <c r="AX80" s="1289"/>
      <c r="AY80" s="1289"/>
      <c r="AZ80" s="1289"/>
      <c r="BA80" s="1289"/>
      <c r="BB80" s="1289"/>
      <c r="BC80" s="1289"/>
      <c r="BD80" s="1289"/>
      <c r="BE80" s="1289"/>
      <c r="BF80" s="1289"/>
      <c r="BG80" s="1289"/>
      <c r="BH80" s="1289"/>
      <c r="BI80" s="1289"/>
      <c r="BJ80" s="2746"/>
      <c r="BK80" s="2746"/>
      <c r="BL80" s="1289"/>
      <c r="BM80" s="1289"/>
      <c r="BN80" s="1289"/>
      <c r="BO80" s="1289"/>
      <c r="BP80" s="1289"/>
      <c r="BQ80" s="1289"/>
      <c r="BR80" s="1289"/>
      <c r="BS80" s="1289"/>
      <c r="BT80" s="1289"/>
      <c r="BU80" s="2727"/>
      <c r="BV80" s="2727"/>
      <c r="BW80" s="2727"/>
      <c r="BX80" s="2727"/>
      <c r="BY80" s="2727"/>
      <c r="BZ80" s="2727"/>
      <c r="CA80" s="2735"/>
      <c r="CB80" s="2735"/>
      <c r="CC80" s="2735"/>
    </row>
    <row r="81" spans="1:81" x14ac:dyDescent="0.2">
      <c r="A81" s="1778"/>
      <c r="B81" s="1778"/>
      <c r="C81" s="2743"/>
      <c r="D81" s="2743"/>
      <c r="E81" s="2736"/>
      <c r="F81" s="2736"/>
      <c r="G81" s="2736"/>
      <c r="H81" s="1784"/>
      <c r="I81" s="1784"/>
      <c r="J81" s="2744"/>
      <c r="K81" s="2744"/>
      <c r="M81" s="2744"/>
      <c r="N81" s="2744"/>
      <c r="O81" s="2744"/>
      <c r="P81" s="2744"/>
      <c r="Q81" s="2744"/>
      <c r="R81" s="2744"/>
      <c r="S81" s="2744"/>
      <c r="T81" s="2744"/>
      <c r="U81" s="2744"/>
      <c r="V81" s="2744"/>
      <c r="W81" s="2744"/>
      <c r="X81" s="2744"/>
      <c r="Y81" s="2744"/>
      <c r="Z81" s="2744"/>
      <c r="AA81" s="2744"/>
      <c r="AB81" s="2744"/>
      <c r="AC81" s="2744"/>
      <c r="AD81" s="2744"/>
      <c r="AE81" s="2744"/>
      <c r="AF81" s="2744"/>
      <c r="AG81" s="2744"/>
      <c r="AH81" s="2744"/>
      <c r="AI81" s="2744"/>
      <c r="AJ81" s="2744"/>
      <c r="AK81" s="2744"/>
      <c r="AL81" s="2744"/>
      <c r="AM81" s="2744"/>
      <c r="AN81" s="2744"/>
      <c r="AO81" s="2744"/>
      <c r="AP81" s="2744"/>
      <c r="AQ81" s="2744"/>
      <c r="AR81" s="2744"/>
      <c r="AS81" s="2744"/>
      <c r="AT81" s="2744"/>
      <c r="AU81" s="2744"/>
      <c r="AV81" s="2744"/>
      <c r="AW81" s="2744"/>
      <c r="AX81" s="2744"/>
      <c r="AY81" s="2744"/>
      <c r="AZ81" s="2744"/>
      <c r="BA81" s="2744"/>
      <c r="BB81" s="2744"/>
      <c r="BC81" s="2744"/>
      <c r="BD81" s="2744"/>
      <c r="BE81" s="2744"/>
      <c r="BF81" s="2744"/>
      <c r="BG81" s="2744"/>
      <c r="BH81" s="2744"/>
      <c r="BI81" s="2744"/>
      <c r="BJ81" s="2745"/>
      <c r="BK81" s="2745"/>
      <c r="BL81" s="2744"/>
      <c r="BM81" s="2744"/>
      <c r="BN81" s="2744"/>
      <c r="BO81" s="2744"/>
      <c r="BP81" s="2744"/>
      <c r="BQ81" s="2744"/>
      <c r="BR81" s="2744"/>
      <c r="BS81" s="2744"/>
      <c r="BT81" s="2744"/>
      <c r="BU81" s="2736"/>
      <c r="BV81" s="2736"/>
      <c r="BW81" s="2736"/>
      <c r="BX81" s="2736"/>
      <c r="BY81" s="2736"/>
      <c r="BZ81" s="2736"/>
      <c r="CA81" s="2735"/>
      <c r="CB81" s="2735"/>
      <c r="CC81" s="2735"/>
    </row>
    <row r="82" spans="1:81" x14ac:dyDescent="0.2">
      <c r="A82" s="1778"/>
      <c r="B82" s="1778"/>
      <c r="C82" s="2743"/>
      <c r="D82" s="2743"/>
      <c r="E82" s="2736"/>
      <c r="F82" s="2736"/>
      <c r="G82" s="2736"/>
      <c r="H82" s="1784"/>
      <c r="I82" s="1784"/>
      <c r="J82" s="2744"/>
      <c r="K82" s="2744"/>
      <c r="M82" s="2744"/>
      <c r="N82" s="2744"/>
      <c r="O82" s="2744"/>
      <c r="P82" s="2744"/>
      <c r="Q82" s="2744"/>
      <c r="R82" s="2744"/>
      <c r="S82" s="2744"/>
      <c r="T82" s="2744"/>
      <c r="U82" s="2744"/>
      <c r="V82" s="2744"/>
      <c r="W82" s="2744"/>
      <c r="X82" s="2744"/>
      <c r="Y82" s="2744"/>
      <c r="Z82" s="2744"/>
      <c r="AA82" s="2744"/>
      <c r="AB82" s="2744"/>
      <c r="AC82" s="2744"/>
      <c r="AD82" s="2744"/>
      <c r="AE82" s="2744"/>
      <c r="AF82" s="2744"/>
      <c r="AG82" s="2744"/>
      <c r="AH82" s="2744"/>
      <c r="AI82" s="2744"/>
      <c r="AJ82" s="2744"/>
      <c r="AK82" s="2744"/>
      <c r="AL82" s="2744"/>
      <c r="AM82" s="2744"/>
      <c r="AN82" s="2744"/>
      <c r="AO82" s="2744"/>
      <c r="AP82" s="2744"/>
      <c r="AQ82" s="2744"/>
      <c r="AR82" s="2744"/>
      <c r="AS82" s="2744"/>
      <c r="AT82" s="2744"/>
      <c r="AU82" s="2744"/>
      <c r="AV82" s="2744"/>
      <c r="AW82" s="2744"/>
      <c r="AX82" s="2744"/>
      <c r="AY82" s="2744"/>
      <c r="AZ82" s="2744"/>
      <c r="BA82" s="2744"/>
      <c r="BB82" s="2744"/>
      <c r="BC82" s="2744"/>
      <c r="BD82" s="2744"/>
      <c r="BE82" s="2744"/>
      <c r="BF82" s="2744"/>
      <c r="BG82" s="2744"/>
      <c r="BH82" s="2744"/>
      <c r="BI82" s="2744"/>
      <c r="BJ82" s="2745"/>
      <c r="BK82" s="2745"/>
      <c r="BL82" s="2744"/>
      <c r="BM82" s="2744"/>
      <c r="BN82" s="2744"/>
      <c r="BO82" s="2744"/>
      <c r="BP82" s="2744"/>
      <c r="BQ82" s="2744"/>
      <c r="BR82" s="2744"/>
      <c r="BS82" s="2744"/>
      <c r="BT82" s="2744"/>
      <c r="BU82" s="2736"/>
      <c r="BV82" s="2736"/>
      <c r="BW82" s="2736"/>
      <c r="BX82" s="2736"/>
      <c r="BY82" s="2736"/>
      <c r="BZ82" s="2736"/>
      <c r="CA82" s="2735"/>
      <c r="CB82" s="2735"/>
      <c r="CC82" s="2735"/>
    </row>
    <row r="83" spans="1:81" x14ac:dyDescent="0.2">
      <c r="A83" s="1778"/>
      <c r="B83" s="1778"/>
      <c r="C83" s="2743"/>
      <c r="D83" s="2743"/>
      <c r="E83" s="2736"/>
      <c r="F83" s="2736"/>
      <c r="G83" s="2736"/>
      <c r="H83" s="2744"/>
      <c r="I83" s="2744"/>
      <c r="J83" s="2744"/>
      <c r="K83" s="2744"/>
      <c r="M83" s="2744"/>
      <c r="N83" s="2744"/>
      <c r="O83" s="2744"/>
      <c r="P83" s="2744"/>
      <c r="Q83" s="2744"/>
      <c r="R83" s="2744"/>
      <c r="S83" s="2744"/>
      <c r="T83" s="2744"/>
      <c r="U83" s="2744"/>
      <c r="V83" s="2744"/>
      <c r="W83" s="2744"/>
      <c r="X83" s="2744"/>
      <c r="Y83" s="2744"/>
      <c r="Z83" s="2744"/>
      <c r="AA83" s="2744"/>
      <c r="AB83" s="2744"/>
      <c r="AC83" s="2744"/>
      <c r="AD83" s="2744"/>
      <c r="AE83" s="2744"/>
      <c r="AF83" s="2744"/>
      <c r="AG83" s="2744"/>
      <c r="AH83" s="2744"/>
      <c r="AI83" s="2744"/>
      <c r="AJ83" s="2744"/>
      <c r="AK83" s="2744"/>
      <c r="AL83" s="2744"/>
      <c r="AM83" s="2744"/>
      <c r="AN83" s="2744"/>
      <c r="AO83" s="2744"/>
      <c r="AP83" s="2744"/>
      <c r="AQ83" s="2744"/>
      <c r="AR83" s="2744"/>
      <c r="AS83" s="2744"/>
      <c r="AT83" s="2744"/>
      <c r="AU83" s="2744"/>
      <c r="AV83" s="2744"/>
      <c r="AW83" s="2744"/>
      <c r="AX83" s="1077"/>
      <c r="AY83" s="2743"/>
      <c r="AZ83" s="2743"/>
      <c r="BA83" s="2743"/>
      <c r="BB83" s="2743"/>
      <c r="BC83" s="2743"/>
      <c r="BD83" s="2743"/>
      <c r="BE83" s="2743"/>
      <c r="BF83" s="1077"/>
      <c r="BG83" s="2743"/>
      <c r="BH83" s="2744"/>
      <c r="BI83" s="2744"/>
      <c r="BJ83" s="2747"/>
      <c r="BK83" s="2747"/>
      <c r="BL83" s="2743"/>
      <c r="BM83" s="2743"/>
      <c r="BN83" s="2744"/>
      <c r="BO83" s="2743"/>
      <c r="BP83" s="2743"/>
      <c r="BQ83" s="2743"/>
      <c r="BR83" s="2743"/>
      <c r="BS83" s="2743"/>
      <c r="BT83" s="2743"/>
      <c r="BU83" s="2735"/>
      <c r="BV83" s="2735"/>
      <c r="BW83" s="2735"/>
      <c r="BX83" s="2736"/>
      <c r="BY83" s="2736"/>
      <c r="BZ83" s="2735"/>
      <c r="CA83" s="2735"/>
      <c r="CB83" s="2735"/>
      <c r="CC83" s="2735"/>
    </row>
    <row r="84" spans="1:81" x14ac:dyDescent="0.2">
      <c r="A84" s="1778"/>
      <c r="B84" s="1778"/>
      <c r="C84" s="2743"/>
      <c r="D84" s="2743"/>
      <c r="E84" s="2736"/>
      <c r="F84" s="2736"/>
      <c r="G84" s="2736"/>
      <c r="H84" s="2744"/>
      <c r="I84" s="2744"/>
      <c r="J84" s="2744"/>
      <c r="K84" s="2744"/>
      <c r="M84" s="2744"/>
      <c r="N84" s="2744"/>
      <c r="O84" s="2744"/>
      <c r="P84" s="2744"/>
      <c r="Q84" s="2744"/>
      <c r="R84" s="2744"/>
      <c r="S84" s="2744"/>
      <c r="T84" s="2744"/>
      <c r="U84" s="2744"/>
      <c r="V84" s="2744"/>
      <c r="W84" s="2744"/>
      <c r="X84" s="2744"/>
      <c r="Y84" s="2744"/>
      <c r="Z84" s="2744"/>
      <c r="AA84" s="2744"/>
      <c r="AB84" s="2744"/>
      <c r="AC84" s="2744"/>
      <c r="AD84" s="2744"/>
      <c r="AE84" s="2744"/>
      <c r="AF84" s="2744"/>
      <c r="AG84" s="2744"/>
      <c r="AH84" s="2744"/>
      <c r="AI84" s="2744"/>
      <c r="AJ84" s="2744"/>
      <c r="AK84" s="2744"/>
      <c r="AL84" s="2744"/>
      <c r="AM84" s="2744"/>
      <c r="AN84" s="2744"/>
      <c r="AO84" s="2744"/>
      <c r="AP84" s="2744"/>
      <c r="AQ84" s="2744"/>
      <c r="AR84" s="2744"/>
      <c r="AS84" s="2744"/>
      <c r="AT84" s="2744"/>
      <c r="AU84" s="2744"/>
      <c r="AV84" s="2744"/>
      <c r="AW84" s="2744"/>
      <c r="AX84" s="2744"/>
      <c r="AY84" s="2743"/>
      <c r="AZ84" s="2743"/>
      <c r="BA84" s="2743"/>
      <c r="BB84" s="2743"/>
      <c r="BC84" s="2743"/>
      <c r="BD84" s="2743"/>
      <c r="BE84" s="2743"/>
      <c r="BF84" s="2744"/>
      <c r="BG84" s="2743"/>
      <c r="BH84" s="2744"/>
      <c r="BI84" s="2744"/>
      <c r="BJ84" s="2747"/>
      <c r="BK84" s="2747"/>
      <c r="BL84" s="2743"/>
      <c r="BM84" s="2743"/>
      <c r="BN84" s="2744"/>
      <c r="BO84" s="2743"/>
      <c r="BP84" s="2743"/>
      <c r="BQ84" s="2743"/>
      <c r="BR84" s="2743"/>
      <c r="BS84" s="2743"/>
      <c r="BT84" s="2743"/>
      <c r="BU84" s="2735"/>
      <c r="BV84" s="2735"/>
      <c r="BW84" s="2735"/>
      <c r="BX84" s="2736"/>
      <c r="BY84" s="2736"/>
      <c r="BZ84" s="2735"/>
      <c r="CA84" s="2735"/>
      <c r="CB84" s="2735"/>
      <c r="CC84" s="2735"/>
    </row>
    <row r="85" spans="1:81" x14ac:dyDescent="0.2">
      <c r="A85" s="1778"/>
      <c r="B85" s="1778"/>
      <c r="C85" s="2743"/>
      <c r="D85" s="2743"/>
      <c r="E85" s="2736"/>
      <c r="F85" s="2736"/>
      <c r="G85" s="2736"/>
      <c r="H85" s="2744"/>
      <c r="I85" s="2744"/>
      <c r="J85" s="2744"/>
      <c r="K85" s="2744"/>
      <c r="M85" s="2744"/>
      <c r="N85" s="2744"/>
      <c r="O85" s="2744"/>
      <c r="P85" s="2744"/>
      <c r="Q85" s="2744"/>
      <c r="R85" s="2744"/>
      <c r="S85" s="2744"/>
      <c r="T85" s="2744"/>
      <c r="U85" s="2744"/>
      <c r="V85" s="2744"/>
      <c r="W85" s="2744"/>
      <c r="X85" s="2744"/>
      <c r="Y85" s="2744"/>
      <c r="Z85" s="2744"/>
      <c r="AA85" s="2744"/>
      <c r="AB85" s="2744"/>
      <c r="AC85" s="2744"/>
      <c r="AD85" s="2744"/>
      <c r="AE85" s="2744"/>
      <c r="AF85" s="2744"/>
      <c r="AG85" s="2744"/>
      <c r="AH85" s="2744"/>
      <c r="AI85" s="2744"/>
      <c r="AJ85" s="2744"/>
      <c r="AK85" s="2744"/>
      <c r="AL85" s="2744"/>
      <c r="AM85" s="2744"/>
      <c r="AN85" s="2744"/>
      <c r="AO85" s="2744"/>
      <c r="AP85" s="2744"/>
      <c r="AQ85" s="2744"/>
      <c r="AR85" s="2744"/>
      <c r="AS85" s="2744"/>
      <c r="AT85" s="2744"/>
      <c r="AU85" s="2744"/>
      <c r="AV85" s="2744"/>
      <c r="AW85" s="2744"/>
      <c r="AX85" s="2744"/>
      <c r="AY85" s="2744"/>
      <c r="AZ85" s="2743"/>
      <c r="BA85" s="2743"/>
      <c r="BB85" s="2744"/>
      <c r="BC85" s="2743"/>
      <c r="BD85" s="2744"/>
      <c r="BE85" s="2744"/>
      <c r="BF85" s="2744"/>
      <c r="BG85" s="2743"/>
      <c r="BH85" s="2744"/>
      <c r="BI85" s="2744"/>
      <c r="BJ85" s="2747"/>
      <c r="BK85" s="2747"/>
      <c r="BL85" s="2743"/>
      <c r="BM85" s="2743"/>
      <c r="BN85" s="2744"/>
      <c r="BO85" s="2743"/>
      <c r="BP85" s="2743"/>
      <c r="BQ85" s="2743"/>
      <c r="BR85" s="2743"/>
      <c r="BS85" s="2743"/>
      <c r="BT85" s="2743"/>
      <c r="BU85" s="2735"/>
      <c r="BV85" s="2735"/>
      <c r="BW85" s="2735"/>
      <c r="BX85" s="1929"/>
      <c r="BY85" s="1929"/>
      <c r="BZ85" s="2735"/>
      <c r="CA85" s="2735"/>
      <c r="CB85" s="2735"/>
      <c r="CC85" s="2735"/>
    </row>
    <row r="86" spans="1:81" x14ac:dyDescent="0.2">
      <c r="A86" s="1778"/>
      <c r="B86" s="1778"/>
      <c r="C86" s="2743"/>
      <c r="D86" s="2743"/>
      <c r="E86" s="2736"/>
      <c r="F86" s="2736"/>
      <c r="G86" s="2736"/>
      <c r="H86" s="2744"/>
      <c r="I86" s="2744"/>
      <c r="J86" s="2744"/>
      <c r="K86" s="2744"/>
      <c r="M86" s="2744"/>
      <c r="N86" s="2744"/>
      <c r="O86" s="2744"/>
      <c r="P86" s="2744"/>
      <c r="Q86" s="2744"/>
      <c r="R86" s="2744"/>
      <c r="S86" s="2744"/>
      <c r="T86" s="2744"/>
      <c r="U86" s="2744"/>
      <c r="V86" s="2744"/>
      <c r="W86" s="2744"/>
      <c r="X86" s="2744"/>
      <c r="Y86" s="2744"/>
      <c r="Z86" s="2744"/>
      <c r="AA86" s="2744"/>
      <c r="AB86" s="2744"/>
      <c r="AC86" s="2744"/>
      <c r="AD86" s="2744"/>
      <c r="AE86" s="2744"/>
      <c r="AF86" s="2744"/>
      <c r="AG86" s="2744"/>
      <c r="AH86" s="2744"/>
      <c r="AI86" s="2744"/>
      <c r="AJ86" s="2744"/>
      <c r="AK86" s="2744"/>
      <c r="AL86" s="2744"/>
      <c r="AM86" s="2744"/>
      <c r="AN86" s="2744"/>
      <c r="AO86" s="2744"/>
      <c r="AP86" s="2744"/>
      <c r="AQ86" s="2744"/>
      <c r="AR86" s="2744"/>
      <c r="AS86" s="2744"/>
      <c r="AT86" s="2744"/>
      <c r="AU86" s="2744"/>
      <c r="AV86" s="2744"/>
      <c r="AW86" s="2744"/>
      <c r="AX86" s="1077"/>
      <c r="AY86" s="1077"/>
      <c r="AZ86" s="1077"/>
      <c r="BA86" s="1077"/>
      <c r="BB86" s="1077"/>
      <c r="BC86" s="1065"/>
      <c r="BD86" s="1065"/>
      <c r="BE86" s="1077"/>
      <c r="BF86" s="1077"/>
      <c r="BG86" s="2743"/>
      <c r="BH86" s="2744"/>
      <c r="BI86" s="2744"/>
      <c r="BJ86" s="2747"/>
      <c r="BK86" s="2747"/>
      <c r="BL86" s="2743"/>
      <c r="BM86" s="2743"/>
      <c r="BN86" s="2744"/>
      <c r="BO86" s="2743"/>
      <c r="BP86" s="2743"/>
      <c r="BQ86" s="2743"/>
      <c r="BR86" s="2743"/>
      <c r="BS86" s="2743"/>
      <c r="BT86" s="2743"/>
      <c r="BU86" s="2735"/>
      <c r="BV86" s="2735"/>
      <c r="BW86" s="2735"/>
      <c r="BX86" s="1929"/>
      <c r="BY86" s="1929"/>
      <c r="BZ86" s="2735"/>
      <c r="CA86" s="2735"/>
      <c r="CB86" s="2735"/>
      <c r="CC86" s="2735"/>
    </row>
    <row r="87" spans="1:81" x14ac:dyDescent="0.2">
      <c r="A87" s="1778"/>
      <c r="B87" s="1778"/>
      <c r="C87" s="2743"/>
      <c r="D87" s="2743"/>
      <c r="E87" s="2736"/>
      <c r="F87" s="2736"/>
      <c r="G87" s="2736"/>
      <c r="H87" s="2744"/>
      <c r="I87" s="2744"/>
      <c r="J87" s="2744"/>
      <c r="K87" s="2744"/>
      <c r="M87" s="2744"/>
      <c r="N87" s="2744"/>
      <c r="O87" s="2744"/>
      <c r="P87" s="2744"/>
      <c r="Q87" s="2744"/>
      <c r="R87" s="2744"/>
      <c r="S87" s="2744"/>
      <c r="T87" s="2744"/>
      <c r="U87" s="2744"/>
      <c r="V87" s="2744"/>
      <c r="W87" s="2744"/>
      <c r="X87" s="2744"/>
      <c r="Y87" s="2744"/>
      <c r="Z87" s="2744"/>
      <c r="AA87" s="2744"/>
      <c r="AB87" s="2744"/>
      <c r="AC87" s="2744"/>
      <c r="AD87" s="2744"/>
      <c r="AE87" s="2744"/>
      <c r="AF87" s="2744"/>
      <c r="AG87" s="2744"/>
      <c r="AH87" s="2744"/>
      <c r="AI87" s="2744"/>
      <c r="AJ87" s="2744"/>
      <c r="AK87" s="2744"/>
      <c r="AL87" s="2744"/>
      <c r="AM87" s="2744"/>
      <c r="AN87" s="2744"/>
      <c r="AO87" s="2744"/>
      <c r="AP87" s="2744"/>
      <c r="AQ87" s="2744"/>
      <c r="AR87" s="2744"/>
      <c r="AS87" s="2744"/>
      <c r="AT87" s="2744"/>
      <c r="AU87" s="2744"/>
      <c r="AV87" s="2744"/>
      <c r="AW87" s="2744"/>
      <c r="AX87" s="1077"/>
      <c r="AY87" s="1077"/>
      <c r="AZ87" s="1077"/>
      <c r="BA87" s="1077"/>
      <c r="BB87" s="1077"/>
      <c r="BC87" s="1065"/>
      <c r="BD87" s="1077"/>
      <c r="BE87" s="1077"/>
      <c r="BF87" s="1077"/>
      <c r="BG87" s="2743"/>
      <c r="BH87" s="2744"/>
      <c r="BI87" s="2744"/>
      <c r="BJ87" s="2747"/>
      <c r="BK87" s="2747"/>
      <c r="BL87" s="2743"/>
      <c r="BM87" s="2743"/>
      <c r="BN87" s="2744"/>
      <c r="BO87" s="2743"/>
      <c r="BP87" s="2743"/>
      <c r="BQ87" s="2743"/>
      <c r="BR87" s="2743"/>
      <c r="BS87" s="2743"/>
      <c r="BT87" s="2743"/>
      <c r="BU87" s="2735"/>
      <c r="BV87" s="2735"/>
      <c r="BW87" s="2735"/>
      <c r="BX87" s="1929"/>
      <c r="BY87" s="1929"/>
      <c r="BZ87" s="2735"/>
      <c r="CA87" s="2735"/>
      <c r="CB87" s="2735"/>
      <c r="CC87" s="2735"/>
    </row>
    <row r="88" spans="1:81" x14ac:dyDescent="0.2">
      <c r="A88" s="1778"/>
      <c r="B88" s="1778"/>
      <c r="C88" s="2743"/>
      <c r="D88" s="2743"/>
      <c r="E88" s="2736"/>
      <c r="F88" s="2736"/>
      <c r="G88" s="2736"/>
      <c r="H88" s="2744"/>
      <c r="I88" s="2744"/>
      <c r="J88" s="2744"/>
      <c r="K88" s="2744"/>
      <c r="M88" s="2744"/>
      <c r="N88" s="2744"/>
      <c r="O88" s="2744"/>
      <c r="P88" s="2744"/>
      <c r="Q88" s="2744"/>
      <c r="R88" s="2744"/>
      <c r="S88" s="2744"/>
      <c r="T88" s="2744"/>
      <c r="U88" s="2744"/>
      <c r="V88" s="2744"/>
      <c r="W88" s="2744"/>
      <c r="X88" s="2744"/>
      <c r="Y88" s="2744"/>
      <c r="Z88" s="2744"/>
      <c r="AA88" s="2744"/>
      <c r="AB88" s="2744"/>
      <c r="AC88" s="2744"/>
      <c r="AD88" s="2744"/>
      <c r="AE88" s="2744"/>
      <c r="AF88" s="2744"/>
      <c r="AG88" s="2744"/>
      <c r="AH88" s="2744"/>
      <c r="AI88" s="2744"/>
      <c r="AJ88" s="2744"/>
      <c r="AK88" s="2744"/>
      <c r="AL88" s="2744"/>
      <c r="AM88" s="2744"/>
      <c r="AN88" s="2744"/>
      <c r="AO88" s="2744"/>
      <c r="AP88" s="2744"/>
      <c r="AQ88" s="2744"/>
      <c r="AR88" s="2744"/>
      <c r="AS88" s="2744"/>
      <c r="AT88" s="2744"/>
      <c r="AU88" s="2744"/>
      <c r="AV88" s="2744"/>
      <c r="AW88" s="2744"/>
      <c r="AX88" s="1077"/>
      <c r="AY88" s="1077"/>
      <c r="AZ88" s="1077"/>
      <c r="BA88" s="1077"/>
      <c r="BB88" s="1077"/>
      <c r="BC88" s="1077"/>
      <c r="BD88" s="1077"/>
      <c r="BE88" s="1077"/>
      <c r="BF88" s="1065"/>
      <c r="BG88" s="2743"/>
      <c r="BH88" s="2744"/>
      <c r="BI88" s="2744"/>
      <c r="BJ88" s="2747"/>
      <c r="BK88" s="2747"/>
      <c r="BL88" s="2743"/>
      <c r="BM88" s="2743"/>
      <c r="BN88" s="2744"/>
      <c r="BO88" s="2743"/>
      <c r="BP88" s="2743"/>
      <c r="BQ88" s="2743"/>
      <c r="BR88" s="2743"/>
      <c r="BS88" s="2743"/>
      <c r="BT88" s="2743"/>
      <c r="BU88" s="2735"/>
      <c r="BV88" s="2735"/>
      <c r="BW88" s="2735"/>
      <c r="BX88" s="1929"/>
      <c r="BY88" s="1929"/>
      <c r="BZ88" s="2735"/>
      <c r="CA88" s="2735"/>
      <c r="CB88" s="2735"/>
      <c r="CC88" s="2735"/>
    </row>
    <row r="89" spans="1:81" x14ac:dyDescent="0.2">
      <c r="A89" s="1778"/>
      <c r="B89" s="1778"/>
      <c r="C89" s="2743"/>
      <c r="D89" s="2743"/>
      <c r="E89" s="2736"/>
      <c r="F89" s="2736"/>
      <c r="G89" s="2736"/>
      <c r="H89" s="2744"/>
      <c r="I89" s="2744"/>
      <c r="J89" s="2744"/>
      <c r="K89" s="2744"/>
      <c r="M89" s="2744"/>
      <c r="N89" s="2744"/>
      <c r="O89" s="2744"/>
      <c r="P89" s="2744"/>
      <c r="Q89" s="2744"/>
      <c r="R89" s="2744"/>
      <c r="S89" s="2744"/>
      <c r="T89" s="2744"/>
      <c r="U89" s="2744"/>
      <c r="V89" s="2744"/>
      <c r="W89" s="2744"/>
      <c r="X89" s="2744"/>
      <c r="Y89" s="2744"/>
      <c r="Z89" s="2744"/>
      <c r="AA89" s="2744"/>
      <c r="AB89" s="2744"/>
      <c r="AC89" s="2744"/>
      <c r="AD89" s="2744"/>
      <c r="AE89" s="2744"/>
      <c r="AF89" s="2744"/>
      <c r="AG89" s="2744"/>
      <c r="AH89" s="2744"/>
      <c r="AI89" s="2744"/>
      <c r="AJ89" s="2744"/>
      <c r="AK89" s="2744"/>
      <c r="AL89" s="2744"/>
      <c r="AM89" s="2744"/>
      <c r="AN89" s="2744"/>
      <c r="AO89" s="2744"/>
      <c r="AP89" s="2744"/>
      <c r="AQ89" s="2744"/>
      <c r="AR89" s="2744"/>
      <c r="AS89" s="2744"/>
      <c r="AT89" s="2744"/>
      <c r="AU89" s="2744"/>
      <c r="AV89" s="2744"/>
      <c r="AW89" s="2744"/>
      <c r="AX89" s="1077"/>
      <c r="AY89" s="1077"/>
      <c r="AZ89" s="1077"/>
      <c r="BA89" s="1077"/>
      <c r="BB89" s="1077"/>
      <c r="BC89" s="1077"/>
      <c r="BD89" s="1077"/>
      <c r="BE89" s="1077"/>
      <c r="BF89" s="1065"/>
      <c r="BG89" s="2743"/>
      <c r="BH89" s="2744"/>
      <c r="BI89" s="2744"/>
      <c r="BJ89" s="2747"/>
      <c r="BK89" s="2747"/>
      <c r="BL89" s="2743"/>
      <c r="BM89" s="2743"/>
      <c r="BN89" s="2744"/>
      <c r="BO89" s="2743"/>
      <c r="BP89" s="2743"/>
      <c r="BQ89" s="2743"/>
      <c r="BR89" s="2743"/>
      <c r="BS89" s="2743"/>
      <c r="BT89" s="2743"/>
      <c r="BU89" s="2735"/>
      <c r="BV89" s="2735"/>
      <c r="BW89" s="2735"/>
      <c r="BX89" s="1929"/>
      <c r="BY89" s="1929"/>
      <c r="BZ89" s="2735"/>
      <c r="CA89" s="2735"/>
      <c r="CB89" s="2735"/>
      <c r="CC89" s="2735"/>
    </row>
    <row r="90" spans="1:81" x14ac:dyDescent="0.2">
      <c r="A90" s="1778"/>
      <c r="B90" s="1778"/>
      <c r="C90" s="2743"/>
      <c r="D90" s="2743"/>
      <c r="E90" s="2736"/>
      <c r="F90" s="2736"/>
      <c r="G90" s="2736"/>
      <c r="H90" s="2744"/>
      <c r="I90" s="2744"/>
      <c r="J90" s="2744"/>
      <c r="K90" s="2744"/>
      <c r="M90" s="2744"/>
      <c r="N90" s="2744"/>
      <c r="O90" s="2744"/>
      <c r="P90" s="2744"/>
      <c r="Q90" s="2744"/>
      <c r="R90" s="2744"/>
      <c r="S90" s="2744"/>
      <c r="T90" s="2744"/>
      <c r="U90" s="2744"/>
      <c r="V90" s="2744"/>
      <c r="W90" s="2744"/>
      <c r="X90" s="2744"/>
      <c r="Y90" s="2744"/>
      <c r="Z90" s="2744"/>
      <c r="AA90" s="2744"/>
      <c r="AB90" s="2744"/>
      <c r="AC90" s="2744"/>
      <c r="AD90" s="2744"/>
      <c r="AE90" s="2744"/>
      <c r="AF90" s="2744"/>
      <c r="AG90" s="2744"/>
      <c r="AH90" s="2744"/>
      <c r="AI90" s="2744"/>
      <c r="AJ90" s="2744"/>
      <c r="AK90" s="2744"/>
      <c r="AL90" s="2744"/>
      <c r="AM90" s="2744"/>
      <c r="AN90" s="2744"/>
      <c r="AO90" s="2744"/>
      <c r="AP90" s="2744"/>
      <c r="AQ90" s="2744"/>
      <c r="AR90" s="2744"/>
      <c r="AS90" s="2744"/>
      <c r="AT90" s="2744"/>
      <c r="AU90" s="2744"/>
      <c r="AV90" s="2744"/>
      <c r="AW90" s="2744"/>
      <c r="AX90" s="1077"/>
      <c r="AY90" s="1077"/>
      <c r="AZ90" s="1077"/>
      <c r="BA90" s="1077"/>
      <c r="BB90" s="1077"/>
      <c r="BC90" s="1077"/>
      <c r="BD90" s="1077"/>
      <c r="BE90" s="1077"/>
      <c r="BF90" s="1065"/>
      <c r="BG90" s="2743"/>
      <c r="BH90" s="2744"/>
      <c r="BI90" s="2744"/>
      <c r="BJ90" s="2747"/>
      <c r="BK90" s="2747"/>
      <c r="BL90" s="2743"/>
      <c r="BM90" s="2743"/>
      <c r="BN90" s="2744"/>
      <c r="BO90" s="2743"/>
      <c r="BP90" s="2743"/>
      <c r="BQ90" s="2743"/>
      <c r="BR90" s="2743"/>
      <c r="BS90" s="2743"/>
      <c r="BT90" s="2743"/>
      <c r="BU90" s="2735"/>
      <c r="BV90" s="2735"/>
      <c r="BW90" s="2735"/>
      <c r="BX90" s="1929"/>
      <c r="BY90" s="1929"/>
      <c r="BZ90" s="2735"/>
      <c r="CA90" s="2735"/>
      <c r="CB90" s="2735"/>
      <c r="CC90" s="2735"/>
    </row>
    <row r="91" spans="1:81" x14ac:dyDescent="0.2">
      <c r="A91" s="1778"/>
      <c r="B91" s="1778"/>
      <c r="C91" s="2743"/>
      <c r="D91" s="2743"/>
      <c r="E91" s="2736"/>
      <c r="F91" s="2736"/>
      <c r="G91" s="2736"/>
      <c r="H91" s="2744"/>
      <c r="I91" s="2744"/>
      <c r="J91" s="2744"/>
      <c r="K91" s="2744"/>
      <c r="M91" s="2744"/>
      <c r="N91" s="2744"/>
      <c r="O91" s="2744"/>
      <c r="P91" s="2744"/>
      <c r="Q91" s="2744"/>
      <c r="R91" s="2744"/>
      <c r="S91" s="2744"/>
      <c r="T91" s="2744"/>
      <c r="U91" s="2744"/>
      <c r="V91" s="2744"/>
      <c r="W91" s="2744"/>
      <c r="X91" s="2744"/>
      <c r="Y91" s="2744"/>
      <c r="Z91" s="2744"/>
      <c r="AA91" s="2744"/>
      <c r="AB91" s="2744"/>
      <c r="AC91" s="2744"/>
      <c r="AD91" s="2744"/>
      <c r="AE91" s="2744"/>
      <c r="AF91" s="2744"/>
      <c r="AG91" s="2744"/>
      <c r="AH91" s="2744"/>
      <c r="AI91" s="2744"/>
      <c r="AJ91" s="2744"/>
      <c r="AK91" s="2744"/>
      <c r="AL91" s="2744"/>
      <c r="AM91" s="2744"/>
      <c r="AN91" s="2744"/>
      <c r="AO91" s="2744"/>
      <c r="AP91" s="2744"/>
      <c r="AQ91" s="2744"/>
      <c r="AR91" s="2744"/>
      <c r="AS91" s="2744"/>
      <c r="AT91" s="2744"/>
      <c r="AU91" s="2744"/>
      <c r="AV91" s="2744"/>
      <c r="AW91" s="2744"/>
      <c r="AX91" s="1077"/>
      <c r="AY91" s="1077"/>
      <c r="AZ91" s="1077"/>
      <c r="BA91" s="1077"/>
      <c r="BB91" s="1077"/>
      <c r="BC91" s="1077"/>
      <c r="BD91" s="1077"/>
      <c r="BE91" s="1077"/>
      <c r="BF91" s="1077"/>
      <c r="BG91" s="2743"/>
      <c r="BH91" s="2744"/>
      <c r="BI91" s="2744"/>
      <c r="BJ91" s="2747"/>
      <c r="BK91" s="2747"/>
      <c r="BL91" s="2743"/>
      <c r="BM91" s="2743"/>
      <c r="BN91" s="2744"/>
      <c r="BO91" s="2743"/>
      <c r="BP91" s="2743"/>
      <c r="BQ91" s="2743"/>
      <c r="BR91" s="2743"/>
      <c r="BS91" s="2743"/>
      <c r="BT91" s="2743"/>
      <c r="BU91" s="2735"/>
      <c r="BV91" s="2735"/>
      <c r="BW91" s="2735"/>
      <c r="BX91" s="1929"/>
      <c r="BY91" s="1929"/>
      <c r="BZ91" s="2735"/>
      <c r="CA91" s="2735"/>
      <c r="CB91" s="2735"/>
      <c r="CC91" s="2735"/>
    </row>
    <row r="92" spans="1:81" x14ac:dyDescent="0.2">
      <c r="A92" s="1778"/>
      <c r="B92" s="1778"/>
      <c r="C92" s="2743"/>
      <c r="D92" s="2743"/>
      <c r="E92" s="2736"/>
      <c r="F92" s="2736"/>
      <c r="G92" s="2736"/>
      <c r="H92" s="2744"/>
      <c r="I92" s="2744"/>
      <c r="J92" s="2744"/>
      <c r="K92" s="2744"/>
      <c r="M92" s="2744"/>
      <c r="N92" s="2744"/>
      <c r="O92" s="2744"/>
      <c r="P92" s="2744"/>
      <c r="Q92" s="2744"/>
      <c r="R92" s="2744"/>
      <c r="S92" s="2744"/>
      <c r="T92" s="2744"/>
      <c r="U92" s="2744"/>
      <c r="V92" s="2744"/>
      <c r="W92" s="2744"/>
      <c r="X92" s="2744"/>
      <c r="Y92" s="2744"/>
      <c r="Z92" s="2744"/>
      <c r="AA92" s="2744"/>
      <c r="AB92" s="2744"/>
      <c r="AC92" s="2744"/>
      <c r="AD92" s="2744"/>
      <c r="AE92" s="2744"/>
      <c r="AF92" s="2744"/>
      <c r="AG92" s="2744"/>
      <c r="AH92" s="2744"/>
      <c r="AI92" s="2744"/>
      <c r="AJ92" s="2744"/>
      <c r="AK92" s="2744"/>
      <c r="AL92" s="2744"/>
      <c r="AM92" s="2744"/>
      <c r="AN92" s="2744"/>
      <c r="AO92" s="2744"/>
      <c r="AP92" s="2744"/>
      <c r="AQ92" s="2744"/>
      <c r="AR92" s="2744"/>
      <c r="AS92" s="2744"/>
      <c r="AT92" s="2744"/>
      <c r="AU92" s="2744"/>
      <c r="AV92" s="2744"/>
      <c r="AW92" s="2744"/>
      <c r="AX92" s="1077"/>
      <c r="AY92" s="1077"/>
      <c r="AZ92" s="1077"/>
      <c r="BA92" s="1077"/>
      <c r="BB92" s="1077"/>
      <c r="BC92" s="1077"/>
      <c r="BD92" s="1077"/>
      <c r="BE92" s="1077"/>
      <c r="BF92" s="1077"/>
      <c r="BG92" s="2743"/>
      <c r="BH92" s="2744"/>
      <c r="BI92" s="2744"/>
      <c r="BJ92" s="2747"/>
      <c r="BK92" s="2747"/>
      <c r="BL92" s="2743"/>
      <c r="BM92" s="2743"/>
      <c r="BN92" s="2744"/>
      <c r="BO92" s="2743"/>
      <c r="BP92" s="2743"/>
      <c r="BQ92" s="2743"/>
      <c r="BR92" s="2743"/>
      <c r="BS92" s="2743"/>
      <c r="BT92" s="2743"/>
      <c r="BU92" s="2735"/>
      <c r="BV92" s="2735"/>
      <c r="BW92" s="2735"/>
      <c r="BX92" s="1929"/>
      <c r="BY92" s="1929"/>
      <c r="BZ92" s="2735"/>
      <c r="CA92" s="2735"/>
      <c r="CB92" s="2735"/>
      <c r="CC92" s="2735"/>
    </row>
    <row r="93" spans="1:81" x14ac:dyDescent="0.2">
      <c r="A93" s="1778"/>
      <c r="B93" s="1778"/>
      <c r="C93" s="2743"/>
      <c r="D93" s="2743"/>
      <c r="E93" s="2736"/>
      <c r="F93" s="2736"/>
      <c r="G93" s="2736"/>
      <c r="H93" s="2744"/>
      <c r="I93" s="2744"/>
      <c r="J93" s="2744"/>
      <c r="K93" s="2744"/>
      <c r="M93" s="2744"/>
      <c r="N93" s="2744"/>
      <c r="O93" s="2744"/>
      <c r="P93" s="2744"/>
      <c r="Q93" s="2744"/>
      <c r="R93" s="2744"/>
      <c r="S93" s="2744"/>
      <c r="T93" s="2744"/>
      <c r="U93" s="2744"/>
      <c r="V93" s="2744"/>
      <c r="W93" s="2744"/>
      <c r="X93" s="2744"/>
      <c r="Y93" s="2744"/>
      <c r="Z93" s="2744"/>
      <c r="AA93" s="2744"/>
      <c r="AB93" s="2744"/>
      <c r="AC93" s="2744"/>
      <c r="AD93" s="2744"/>
      <c r="AE93" s="2744"/>
      <c r="AF93" s="2744"/>
      <c r="AG93" s="2744"/>
      <c r="AH93" s="2744"/>
      <c r="AI93" s="2744"/>
      <c r="AJ93" s="2744"/>
      <c r="AK93" s="2744"/>
      <c r="AL93" s="2744"/>
      <c r="AM93" s="2744"/>
      <c r="AN93" s="2744"/>
      <c r="AO93" s="2744"/>
      <c r="AP93" s="2744"/>
      <c r="AQ93" s="2744"/>
      <c r="AR93" s="2744"/>
      <c r="AS93" s="2744"/>
      <c r="AT93" s="2744"/>
      <c r="AU93" s="2744"/>
      <c r="AV93" s="2744"/>
      <c r="AW93" s="2744"/>
      <c r="AX93" s="1077"/>
      <c r="AY93" s="1077"/>
      <c r="AZ93" s="1077"/>
      <c r="BA93" s="1077"/>
      <c r="BB93" s="1077"/>
      <c r="BC93" s="1077"/>
      <c r="BD93" s="1077"/>
      <c r="BE93" s="1077"/>
      <c r="BF93" s="1077"/>
      <c r="BG93" s="2743"/>
      <c r="BH93" s="2744"/>
      <c r="BI93" s="2744"/>
      <c r="BJ93" s="2747"/>
      <c r="BK93" s="2747"/>
      <c r="BL93" s="2743"/>
      <c r="BM93" s="2743"/>
      <c r="BN93" s="2744"/>
      <c r="BO93" s="2743"/>
      <c r="BP93" s="2743"/>
      <c r="BQ93" s="2743"/>
      <c r="BR93" s="2743"/>
      <c r="BS93" s="2743"/>
      <c r="BT93" s="2743"/>
      <c r="BU93" s="2735"/>
      <c r="BV93" s="2735"/>
      <c r="BW93" s="2735"/>
      <c r="BX93" s="2736"/>
      <c r="BY93" s="2736"/>
      <c r="BZ93" s="2735"/>
      <c r="CA93" s="2735"/>
      <c r="CB93" s="2735"/>
      <c r="CC93" s="2735"/>
    </row>
    <row r="94" spans="1:81" x14ac:dyDescent="0.2">
      <c r="A94" s="1778"/>
      <c r="B94" s="1778"/>
      <c r="C94" s="2743"/>
      <c r="D94" s="2743"/>
      <c r="E94" s="2736"/>
      <c r="F94" s="2736"/>
      <c r="G94" s="2736"/>
      <c r="H94" s="2744"/>
      <c r="I94" s="2744"/>
      <c r="J94" s="2744"/>
      <c r="K94" s="2744"/>
      <c r="M94" s="2744"/>
      <c r="N94" s="2744"/>
      <c r="O94" s="2744"/>
      <c r="P94" s="2744"/>
      <c r="Q94" s="2744"/>
      <c r="R94" s="2744"/>
      <c r="S94" s="2744"/>
      <c r="T94" s="2744"/>
      <c r="U94" s="2744"/>
      <c r="V94" s="2744"/>
      <c r="W94" s="2744"/>
      <c r="X94" s="2744"/>
      <c r="Y94" s="2744"/>
      <c r="Z94" s="2744"/>
      <c r="AA94" s="2744"/>
      <c r="AB94" s="2744"/>
      <c r="AC94" s="2744"/>
      <c r="AD94" s="2744"/>
      <c r="AE94" s="2744"/>
      <c r="AF94" s="2744"/>
      <c r="AG94" s="2744"/>
      <c r="AH94" s="2744"/>
      <c r="AI94" s="2744"/>
      <c r="AJ94" s="2744"/>
      <c r="AK94" s="2744"/>
      <c r="AL94" s="2744"/>
      <c r="AM94" s="2744"/>
      <c r="AN94" s="2744"/>
      <c r="AO94" s="2744"/>
      <c r="AP94" s="2744"/>
      <c r="AQ94" s="2744"/>
      <c r="AR94" s="2744"/>
      <c r="AS94" s="2744"/>
      <c r="AT94" s="2744"/>
      <c r="AU94" s="2744"/>
      <c r="AV94" s="2744"/>
      <c r="AW94" s="2744"/>
      <c r="AX94" s="2744"/>
      <c r="AY94" s="2744"/>
      <c r="AZ94" s="2744"/>
      <c r="BA94" s="2744"/>
      <c r="BB94" s="2744"/>
      <c r="BC94" s="2744"/>
      <c r="BD94" s="2744"/>
      <c r="BE94" s="2744"/>
      <c r="BF94" s="2744"/>
      <c r="BG94" s="2743"/>
      <c r="BH94" s="2744"/>
      <c r="BI94" s="2744"/>
      <c r="BJ94" s="2747"/>
      <c r="BK94" s="2747"/>
      <c r="BL94" s="2743"/>
      <c r="BM94" s="2743"/>
      <c r="BN94" s="2744"/>
      <c r="BO94" s="2743"/>
      <c r="BP94" s="2743"/>
      <c r="BQ94" s="2743"/>
      <c r="BR94" s="2743"/>
      <c r="BS94" s="2743"/>
      <c r="BT94" s="2743"/>
      <c r="BU94" s="2735"/>
      <c r="BV94" s="2735"/>
      <c r="BW94" s="2735"/>
      <c r="BX94" s="2736"/>
      <c r="BY94" s="2736"/>
      <c r="BZ94" s="2735"/>
      <c r="CA94" s="2735"/>
      <c r="CB94" s="2735"/>
      <c r="CC94" s="2735"/>
    </row>
    <row r="95" spans="1:81" x14ac:dyDescent="0.2">
      <c r="A95" s="1778"/>
      <c r="B95" s="1778"/>
      <c r="C95" s="2743"/>
      <c r="D95" s="2743"/>
      <c r="E95" s="2736"/>
      <c r="F95" s="2736"/>
      <c r="G95" s="2736"/>
      <c r="H95" s="2744"/>
      <c r="I95" s="2744"/>
      <c r="J95" s="2744"/>
      <c r="K95" s="2744"/>
      <c r="M95" s="2744"/>
      <c r="N95" s="2744"/>
      <c r="O95" s="2744"/>
      <c r="P95" s="2744"/>
      <c r="Q95" s="2744"/>
      <c r="R95" s="2744"/>
      <c r="S95" s="2744"/>
      <c r="T95" s="2744"/>
      <c r="U95" s="2744"/>
      <c r="V95" s="2744"/>
      <c r="W95" s="2744"/>
      <c r="X95" s="2744"/>
      <c r="Y95" s="2744"/>
      <c r="Z95" s="2744"/>
      <c r="AA95" s="2744"/>
      <c r="AB95" s="2744"/>
      <c r="AC95" s="2744"/>
      <c r="AD95" s="2744"/>
      <c r="AE95" s="2744"/>
      <c r="AF95" s="2744"/>
      <c r="AG95" s="2744"/>
      <c r="AH95" s="2744"/>
      <c r="AI95" s="2744"/>
      <c r="AJ95" s="2744"/>
      <c r="AK95" s="2744"/>
      <c r="AL95" s="2744"/>
      <c r="AM95" s="2744"/>
      <c r="AN95" s="2744"/>
      <c r="AO95" s="2744"/>
      <c r="AP95" s="2744"/>
      <c r="AQ95" s="2744"/>
      <c r="AR95" s="2744"/>
      <c r="AS95" s="2744"/>
      <c r="AT95" s="2744"/>
      <c r="AU95" s="2744"/>
      <c r="AV95" s="2744"/>
      <c r="AW95" s="2744"/>
      <c r="AX95" s="2744"/>
      <c r="AY95" s="2744"/>
      <c r="AZ95" s="2744"/>
      <c r="BA95" s="2744"/>
      <c r="BB95" s="2744"/>
      <c r="BC95" s="2744"/>
      <c r="BD95" s="2744"/>
      <c r="BE95" s="2744"/>
      <c r="BF95" s="2744"/>
      <c r="BG95" s="2743"/>
      <c r="BH95" s="2744"/>
      <c r="BI95" s="2744"/>
      <c r="BJ95" s="2747"/>
      <c r="BK95" s="2747"/>
      <c r="BL95" s="2743"/>
      <c r="BM95" s="2743"/>
      <c r="BN95" s="2744"/>
      <c r="BO95" s="2743"/>
      <c r="BP95" s="2743"/>
      <c r="BQ95" s="2743"/>
      <c r="BR95" s="2743"/>
      <c r="BS95" s="2743"/>
      <c r="BT95" s="2743"/>
      <c r="BU95" s="2735"/>
      <c r="BV95" s="2735"/>
      <c r="BW95" s="2735"/>
      <c r="BX95" s="2736"/>
      <c r="BY95" s="2736"/>
      <c r="BZ95" s="2735"/>
      <c r="CA95" s="2735"/>
      <c r="CB95" s="2735"/>
      <c r="CC95" s="2735"/>
    </row>
    <row r="96" spans="1:81" x14ac:dyDescent="0.2">
      <c r="A96" s="1778"/>
      <c r="B96" s="1778"/>
      <c r="C96" s="2743"/>
      <c r="D96" s="2743"/>
      <c r="E96" s="2736"/>
      <c r="F96" s="2736"/>
      <c r="G96" s="2736"/>
      <c r="H96" s="2744"/>
      <c r="I96" s="2744"/>
      <c r="J96" s="2744"/>
      <c r="K96" s="2744"/>
      <c r="M96" s="2744"/>
      <c r="N96" s="2744"/>
      <c r="O96" s="2744"/>
      <c r="P96" s="2744"/>
      <c r="Q96" s="2744"/>
      <c r="R96" s="2744"/>
      <c r="S96" s="2744"/>
      <c r="T96" s="2744"/>
      <c r="U96" s="2744"/>
      <c r="V96" s="2744"/>
      <c r="W96" s="2744"/>
      <c r="X96" s="2744"/>
      <c r="Y96" s="2744"/>
      <c r="Z96" s="2744"/>
      <c r="AA96" s="2744"/>
      <c r="AB96" s="2744"/>
      <c r="AC96" s="2744"/>
      <c r="AD96" s="2744"/>
      <c r="AE96" s="2744"/>
      <c r="AF96" s="2744"/>
      <c r="AG96" s="2744"/>
      <c r="AH96" s="2744"/>
      <c r="AI96" s="2744"/>
      <c r="AJ96" s="2744"/>
      <c r="AK96" s="2744"/>
      <c r="AL96" s="2744"/>
      <c r="AM96" s="2744"/>
      <c r="AN96" s="2744"/>
      <c r="AO96" s="2744"/>
      <c r="AP96" s="2744"/>
      <c r="AQ96" s="2744"/>
      <c r="AR96" s="2744"/>
      <c r="AS96" s="2744"/>
      <c r="AT96" s="2744"/>
      <c r="AU96" s="2744"/>
      <c r="AV96" s="2744"/>
      <c r="AW96" s="2744"/>
      <c r="AX96" s="2744"/>
      <c r="AY96" s="2744"/>
      <c r="AZ96" s="2744"/>
      <c r="BA96" s="2744"/>
      <c r="BB96" s="2744"/>
      <c r="BC96" s="2744"/>
      <c r="BD96" s="2744"/>
      <c r="BE96" s="2744"/>
      <c r="BF96" s="2744"/>
      <c r="BG96" s="2743"/>
      <c r="BH96" s="2744"/>
      <c r="BI96" s="2744"/>
      <c r="BJ96" s="2747"/>
      <c r="BK96" s="2747"/>
      <c r="BL96" s="2743"/>
      <c r="BM96" s="2743"/>
      <c r="BN96" s="2744"/>
      <c r="BO96" s="2743"/>
      <c r="BP96" s="2743"/>
      <c r="BQ96" s="2743"/>
      <c r="BR96" s="2743"/>
      <c r="BS96" s="2743"/>
      <c r="BT96" s="2743"/>
      <c r="BU96" s="2735"/>
      <c r="BV96" s="2735"/>
      <c r="BW96" s="2735"/>
      <c r="BX96" s="2736"/>
      <c r="BY96" s="2736"/>
      <c r="BZ96" s="2735"/>
      <c r="CA96" s="2735"/>
      <c r="CB96" s="2735"/>
      <c r="CC96" s="2735"/>
    </row>
    <row r="97" spans="50:77" x14ac:dyDescent="0.2">
      <c r="AX97" s="2749"/>
      <c r="AY97" s="2749"/>
      <c r="AZ97" s="2749"/>
      <c r="BA97" s="2749"/>
      <c r="BB97" s="2749"/>
      <c r="BC97" s="2749"/>
      <c r="BD97" s="2749"/>
      <c r="BE97" s="2749"/>
      <c r="BF97" s="2749"/>
      <c r="BH97" s="2749"/>
      <c r="BI97" s="2749"/>
      <c r="BN97" s="2749"/>
      <c r="BX97" s="2742"/>
      <c r="BY97" s="2742"/>
    </row>
    <row r="98" spans="50:77" x14ac:dyDescent="0.2">
      <c r="AX98" s="2749"/>
      <c r="AY98" s="2749"/>
      <c r="AZ98" s="2749"/>
      <c r="BA98" s="2749"/>
      <c r="BB98" s="2749"/>
      <c r="BC98" s="2749"/>
      <c r="BD98" s="2749"/>
      <c r="BE98" s="2749"/>
      <c r="BF98" s="2749"/>
      <c r="BH98" s="2749"/>
      <c r="BI98" s="2749"/>
      <c r="BN98" s="2749"/>
    </row>
  </sheetData>
  <mergeCells count="13">
    <mergeCell ref="C50:D50"/>
    <mergeCell ref="C10:D10"/>
    <mergeCell ref="C11:D11"/>
    <mergeCell ref="BJ11:BK11"/>
    <mergeCell ref="A36:B36"/>
    <mergeCell ref="A38:B38"/>
    <mergeCell ref="BH50:BI50"/>
    <mergeCell ref="C51:D51"/>
    <mergeCell ref="BJ51:BK51"/>
    <mergeCell ref="C63:D63"/>
    <mergeCell ref="C64:D64"/>
    <mergeCell ref="BJ64:BK64"/>
    <mergeCell ref="BH63:BI63"/>
  </mergeCells>
  <conditionalFormatting sqref="A48:A49 AZ58:BF61 A70:A72 A62 BU61:BY61 BW58:BY60 A39:B40 BB40:BF44 AZ40:BA43 BW40:BY44">
    <cfRule type="cellIs" dxfId="143" priority="11" stopIfTrue="1" operator="equal">
      <formula>0</formula>
    </cfRule>
  </conditionalFormatting>
  <conditionalFormatting sqref="BS61:BT61">
    <cfRule type="cellIs" dxfId="142" priority="10" stopIfTrue="1" operator="equal">
      <formula>0</formula>
    </cfRule>
  </conditionalFormatting>
  <conditionalFormatting sqref="BS61">
    <cfRule type="cellIs" dxfId="141" priority="9" stopIfTrue="1" operator="equal">
      <formula>0</formula>
    </cfRule>
  </conditionalFormatting>
  <conditionalFormatting sqref="BR61">
    <cfRule type="cellIs" dxfId="140" priority="8" stopIfTrue="1" operator="equal">
      <formula>0</formula>
    </cfRule>
  </conditionalFormatting>
  <conditionalFormatting sqref="BQ61">
    <cfRule type="cellIs" dxfId="139" priority="7" stopIfTrue="1" operator="equal">
      <formula>0</formula>
    </cfRule>
  </conditionalFormatting>
  <conditionalFormatting sqref="BP61">
    <cfRule type="cellIs" dxfId="138" priority="6" stopIfTrue="1" operator="equal">
      <formula>0</formula>
    </cfRule>
  </conditionalFormatting>
  <conditionalFormatting sqref="BO61">
    <cfRule type="cellIs" dxfId="137" priority="2" stopIfTrue="1" operator="equal">
      <formula>0</formula>
    </cfRule>
  </conditionalFormatting>
  <conditionalFormatting sqref="B57">
    <cfRule type="cellIs" dxfId="136" priority="1" stopIfTrue="1" operator="equal">
      <formula>0</formula>
    </cfRule>
  </conditionalFormatting>
  <printOptions horizontalCentered="1" verticalCentered="1"/>
  <pageMargins left="0" right="0" top="0" bottom="0" header="0" footer="0"/>
  <pageSetup scale="59" orientation="landscape" r:id="rId1"/>
  <headerFooter alignWithMargins="0">
    <oddFooter>&amp;L&amp;F&amp;CPage 6</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CZ99"/>
  <sheetViews>
    <sheetView zoomScale="80" zoomScaleNormal="80" workbookViewId="0">
      <selection activeCell="C52" sqref="C52:D52"/>
    </sheetView>
  </sheetViews>
  <sheetFormatPr defaultColWidth="9.140625" defaultRowHeight="12.75" x14ac:dyDescent="0.2"/>
  <cols>
    <col min="1" max="1" width="2.7109375" style="1522" customWidth="1"/>
    <col min="2" max="2" width="53.5703125" style="1522" customWidth="1"/>
    <col min="3" max="4" width="10.5703125" style="2748" customWidth="1"/>
    <col min="5" max="5" width="1.5703125" style="2742" customWidth="1"/>
    <col min="6" max="7" width="9.5703125" style="2742" customWidth="1"/>
    <col min="8" max="11" width="9.5703125" style="2749" customWidth="1"/>
    <col min="12" max="12" width="9.5703125" style="2744" customWidth="1"/>
    <col min="13" max="14" width="9.5703125" style="2749" customWidth="1"/>
    <col min="15" max="19" width="9.5703125" style="2749" hidden="1" customWidth="1"/>
    <col min="20" max="20" width="9.140625" style="2749" hidden="1" customWidth="1"/>
    <col min="21" max="22" width="8.7109375" style="2749" hidden="1" customWidth="1"/>
    <col min="23" max="23" width="11" style="2749" hidden="1" customWidth="1"/>
    <col min="24" max="24" width="10.7109375" style="2749" hidden="1" customWidth="1"/>
    <col min="25" max="42" width="8.7109375" style="2749" hidden="1" customWidth="1"/>
    <col min="43" max="49" width="9.7109375" style="2749" hidden="1" customWidth="1"/>
    <col min="50" max="58" width="9.7109375" style="2748" hidden="1" customWidth="1"/>
    <col min="59" max="59" width="1.5703125" style="2749" customWidth="1"/>
    <col min="60" max="60" width="12.5703125" style="2748" hidden="1" customWidth="1"/>
    <col min="61" max="61" width="9.140625" style="2748" hidden="1" customWidth="1"/>
    <col min="62" max="63" width="9.140625" style="2750" hidden="1" customWidth="1"/>
    <col min="64" max="64" width="1.5703125" style="2748" hidden="1" customWidth="1"/>
    <col min="65" max="65" width="9.5703125" style="2748" customWidth="1"/>
    <col min="66" max="69" width="9.7109375" style="2748" customWidth="1"/>
    <col min="70" max="72" width="9.7109375" style="2748" hidden="1" customWidth="1"/>
    <col min="73" max="80" width="9.7109375" style="2734" hidden="1" customWidth="1"/>
    <col min="81" max="81" width="1.5703125" style="2734" customWidth="1"/>
    <col min="82" max="82" width="9.140625" style="2734"/>
    <col min="83" max="94" width="0" style="2734" hidden="1" customWidth="1"/>
    <col min="95" max="16384" width="9.140625" style="2734"/>
  </cols>
  <sheetData>
    <row r="1" spans="1:94" x14ac:dyDescent="0.2">
      <c r="C1" s="1522"/>
      <c r="D1" s="1522"/>
      <c r="E1" s="1484"/>
      <c r="F1" s="1484"/>
      <c r="G1" s="1484"/>
      <c r="H1" s="1523"/>
      <c r="I1" s="1523"/>
      <c r="J1" s="1523"/>
      <c r="K1" s="1523"/>
      <c r="L1" s="1526"/>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3"/>
      <c r="AM1" s="1523"/>
      <c r="AN1" s="1523"/>
      <c r="AO1" s="1523"/>
      <c r="AP1" s="1523"/>
      <c r="AQ1" s="1523"/>
      <c r="AR1" s="1523"/>
      <c r="AS1" s="1523"/>
      <c r="AT1" s="1523"/>
      <c r="AU1" s="1523"/>
      <c r="AV1" s="1523"/>
      <c r="AW1" s="1523"/>
      <c r="AX1" s="1522"/>
      <c r="AY1" s="1522"/>
      <c r="AZ1" s="1522"/>
      <c r="BA1" s="1522"/>
      <c r="BB1" s="1522"/>
      <c r="BC1" s="1522"/>
      <c r="BD1" s="1522"/>
      <c r="BE1" s="1522"/>
      <c r="BF1" s="1522"/>
      <c r="BG1" s="1523"/>
      <c r="BH1" s="1522"/>
      <c r="BI1" s="1522"/>
      <c r="BJ1" s="1564"/>
      <c r="BK1" s="1564"/>
      <c r="BL1" s="1522"/>
      <c r="BM1" s="1522"/>
      <c r="BN1" s="1522"/>
      <c r="BO1" s="1522"/>
      <c r="BP1" s="1522"/>
      <c r="BQ1" s="1522"/>
      <c r="BR1" s="1522"/>
      <c r="BS1" s="1522"/>
      <c r="BT1" s="1522"/>
      <c r="BU1" s="1483"/>
      <c r="BV1" s="1483"/>
      <c r="BW1" s="1483"/>
      <c r="BX1" s="1483"/>
      <c r="BY1" s="1483"/>
      <c r="BZ1" s="1483"/>
      <c r="CA1" s="1483"/>
      <c r="CB1" s="1483"/>
      <c r="CC1" s="1483"/>
    </row>
    <row r="2" spans="1:94" x14ac:dyDescent="0.2">
      <c r="C2" s="1522"/>
      <c r="D2" s="1522"/>
      <c r="E2" s="1484"/>
      <c r="F2" s="1484"/>
      <c r="G2" s="1484"/>
      <c r="H2" s="1523"/>
      <c r="I2" s="1523"/>
      <c r="J2" s="1523"/>
      <c r="K2" s="1523"/>
      <c r="L2" s="1526"/>
      <c r="M2" s="1523"/>
      <c r="N2" s="1523"/>
      <c r="O2" s="1523"/>
      <c r="P2" s="1523"/>
      <c r="Q2" s="1523"/>
      <c r="R2" s="1523"/>
      <c r="S2" s="1523"/>
      <c r="T2" s="1523"/>
      <c r="U2" s="1563"/>
      <c r="V2" s="1563"/>
      <c r="W2" s="1523"/>
      <c r="X2" s="1523"/>
      <c r="Y2" s="1563"/>
      <c r="Z2" s="1563"/>
      <c r="AA2" s="1523"/>
      <c r="AB2" s="1523"/>
      <c r="AC2" s="1563"/>
      <c r="AD2" s="1563"/>
      <c r="AE2" s="1523"/>
      <c r="AF2" s="1523"/>
      <c r="AG2" s="1563"/>
      <c r="AH2" s="1563"/>
      <c r="AI2" s="1523"/>
      <c r="AJ2" s="1523"/>
      <c r="AK2" s="1563"/>
      <c r="AL2" s="1563"/>
      <c r="AM2" s="1523"/>
      <c r="AN2" s="1523"/>
      <c r="AO2" s="1563"/>
      <c r="AP2" s="1563"/>
      <c r="AQ2" s="1523"/>
      <c r="AR2" s="1523"/>
      <c r="AS2" s="1563"/>
      <c r="AT2" s="1563"/>
      <c r="AU2" s="1523"/>
      <c r="AV2" s="1523"/>
      <c r="AW2" s="1523"/>
      <c r="AX2" s="1522"/>
      <c r="AY2" s="1522"/>
      <c r="AZ2" s="1522"/>
      <c r="BA2" s="1522"/>
      <c r="BB2" s="1522"/>
      <c r="BC2" s="1522"/>
      <c r="BD2" s="1522"/>
      <c r="BE2" s="1522"/>
      <c r="BF2" s="1522"/>
      <c r="BG2" s="1523"/>
      <c r="BH2" s="1522"/>
      <c r="BI2" s="1522"/>
      <c r="BJ2" s="1564"/>
      <c r="BK2" s="1564"/>
      <c r="BL2" s="1522"/>
      <c r="BM2" s="1522"/>
      <c r="BN2" s="1522"/>
      <c r="BO2" s="1522"/>
      <c r="BP2" s="1522"/>
      <c r="BQ2" s="1522"/>
      <c r="BR2" s="1522"/>
      <c r="BS2" s="1522"/>
      <c r="BT2" s="1522"/>
      <c r="BU2" s="1483"/>
      <c r="BV2" s="1483"/>
      <c r="BW2" s="1483"/>
      <c r="BX2" s="1483"/>
      <c r="BY2" s="1483"/>
      <c r="BZ2" s="1483"/>
      <c r="CA2" s="1483"/>
      <c r="CB2" s="1483"/>
      <c r="CC2" s="1483"/>
    </row>
    <row r="3" spans="1:94" x14ac:dyDescent="0.2">
      <c r="C3" s="1522"/>
      <c r="D3" s="1522"/>
      <c r="E3" s="1484"/>
      <c r="F3" s="1484"/>
      <c r="G3" s="1484"/>
      <c r="H3" s="1523"/>
      <c r="I3" s="1523"/>
      <c r="J3" s="1523"/>
      <c r="K3" s="1523"/>
      <c r="L3" s="1526"/>
      <c r="M3" s="1523"/>
      <c r="N3" s="1523"/>
      <c r="O3" s="1523"/>
      <c r="P3" s="1526"/>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c r="AT3" s="1523"/>
      <c r="AU3" s="1523"/>
      <c r="AV3" s="1523"/>
      <c r="AW3" s="1523"/>
      <c r="AX3" s="1522"/>
      <c r="AY3" s="1522"/>
      <c r="AZ3" s="1522"/>
      <c r="BA3" s="1522"/>
      <c r="BB3" s="1522"/>
      <c r="BC3" s="1522"/>
      <c r="BD3" s="1522"/>
      <c r="BE3" s="1522"/>
      <c r="BF3" s="1522"/>
      <c r="BG3" s="1523"/>
      <c r="BH3" s="1522"/>
      <c r="BI3" s="1522"/>
      <c r="BJ3" s="1564"/>
      <c r="BK3" s="1564"/>
      <c r="BL3" s="1522"/>
      <c r="BM3" s="1522"/>
      <c r="BN3" s="1522"/>
      <c r="BO3" s="1522"/>
      <c r="BP3" s="1522"/>
      <c r="BQ3" s="1522"/>
      <c r="BR3" s="1522"/>
      <c r="BS3" s="1522"/>
      <c r="BT3" s="1522"/>
      <c r="BU3" s="1483"/>
      <c r="BV3" s="1483"/>
      <c r="BW3" s="1483"/>
      <c r="BX3" s="1483"/>
      <c r="BY3" s="1483"/>
      <c r="BZ3" s="1483"/>
      <c r="CA3" s="1483"/>
      <c r="CB3" s="1483"/>
      <c r="CC3" s="1483"/>
    </row>
    <row r="4" spans="1:94" x14ac:dyDescent="0.2">
      <c r="C4" s="1522"/>
      <c r="D4" s="1522"/>
      <c r="E4" s="1484"/>
      <c r="F4" s="1484"/>
      <c r="G4" s="1484"/>
      <c r="H4" s="1523"/>
      <c r="I4" s="1523"/>
      <c r="J4" s="1523"/>
      <c r="K4" s="1523"/>
      <c r="L4" s="1526"/>
      <c r="M4" s="1523"/>
      <c r="N4" s="1523"/>
      <c r="O4" s="1523"/>
      <c r="P4" s="1526"/>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2"/>
      <c r="AY4" s="1522"/>
      <c r="AZ4" s="1522"/>
      <c r="BA4" s="1522"/>
      <c r="BB4" s="1522"/>
      <c r="BC4" s="1522"/>
      <c r="BD4" s="1522"/>
      <c r="BE4" s="1522"/>
      <c r="BF4" s="1522"/>
      <c r="BG4" s="1523"/>
      <c r="BH4" s="1522"/>
      <c r="BI4" s="1522"/>
      <c r="BJ4" s="1564"/>
      <c r="BK4" s="1564"/>
      <c r="BL4" s="1522"/>
      <c r="BM4" s="1522"/>
      <c r="BN4" s="1522"/>
      <c r="BO4" s="1522"/>
      <c r="BP4" s="1522"/>
      <c r="BQ4" s="1522"/>
      <c r="BR4" s="1522"/>
      <c r="BS4" s="1522"/>
      <c r="BT4" s="1522"/>
      <c r="BU4" s="1483"/>
      <c r="BV4" s="1483"/>
      <c r="BW4" s="1483"/>
      <c r="BX4" s="1483"/>
      <c r="BY4" s="1483"/>
      <c r="BZ4" s="1483"/>
      <c r="CA4" s="1483"/>
      <c r="CB4" s="1483"/>
      <c r="CC4" s="1483"/>
    </row>
    <row r="5" spans="1:94" x14ac:dyDescent="0.2">
      <c r="A5" s="1523"/>
      <c r="B5" s="1523"/>
      <c r="C5" s="1523"/>
      <c r="D5" s="1523"/>
      <c r="E5" s="1484"/>
      <c r="F5" s="1484"/>
      <c r="G5" s="1484"/>
      <c r="H5" s="1523"/>
      <c r="I5" s="1523"/>
      <c r="J5" s="1523"/>
      <c r="K5" s="1523"/>
      <c r="L5" s="1526"/>
      <c r="M5" s="1523"/>
      <c r="N5" s="1523"/>
      <c r="O5" s="1523"/>
      <c r="P5" s="1526"/>
      <c r="Q5" s="1523"/>
      <c r="R5" s="1523"/>
      <c r="S5" s="1523"/>
      <c r="T5" s="1523"/>
      <c r="U5" s="1523"/>
      <c r="V5" s="1523"/>
      <c r="W5" s="1523"/>
      <c r="X5" s="1523"/>
      <c r="Y5" s="1523"/>
      <c r="Z5" s="1523"/>
      <c r="AA5" s="1523"/>
      <c r="AB5" s="1523"/>
      <c r="AC5" s="1523"/>
      <c r="AD5" s="1523"/>
      <c r="AE5" s="1523"/>
      <c r="AF5" s="1523"/>
      <c r="AG5" s="1523"/>
      <c r="AH5" s="1523"/>
      <c r="AI5" s="1523"/>
      <c r="AJ5" s="1523"/>
      <c r="AK5" s="1523"/>
      <c r="AL5" s="1523"/>
      <c r="AM5" s="1523"/>
      <c r="AN5" s="1523"/>
      <c r="AO5" s="1523"/>
      <c r="AP5" s="1523"/>
      <c r="AQ5" s="1523"/>
      <c r="AR5" s="1523"/>
      <c r="AS5" s="1523"/>
      <c r="AT5" s="1523"/>
      <c r="AU5" s="1523"/>
      <c r="AV5" s="1523"/>
      <c r="AW5" s="1523"/>
      <c r="AX5" s="1523"/>
      <c r="AY5" s="1523"/>
      <c r="AZ5" s="1523"/>
      <c r="BA5" s="1522"/>
      <c r="BB5" s="1522"/>
      <c r="BC5" s="1522"/>
      <c r="BD5" s="1522"/>
      <c r="BE5" s="1522"/>
      <c r="BF5" s="1522"/>
      <c r="BG5" s="1523"/>
      <c r="BH5" s="1522"/>
      <c r="BI5" s="1522"/>
      <c r="BJ5" s="1564"/>
      <c r="BK5" s="1564"/>
      <c r="BL5" s="1522"/>
      <c r="BM5" s="1522"/>
      <c r="BN5" s="1522"/>
      <c r="BO5" s="1522"/>
      <c r="BP5" s="1522"/>
      <c r="BQ5" s="1522"/>
      <c r="BR5" s="1522"/>
      <c r="BS5" s="1522"/>
      <c r="BT5" s="1522"/>
      <c r="BU5" s="1483"/>
      <c r="BV5" s="1483"/>
      <c r="BW5" s="1483"/>
      <c r="BX5" s="1483"/>
      <c r="BY5" s="1483"/>
      <c r="BZ5" s="1483"/>
      <c r="CA5" s="1483"/>
      <c r="CB5" s="1483"/>
      <c r="CC5" s="1483"/>
    </row>
    <row r="6" spans="1:94" ht="18" customHeight="1" x14ac:dyDescent="0.2">
      <c r="A6" s="1715" t="s">
        <v>653</v>
      </c>
      <c r="B6" s="1523"/>
      <c r="C6" s="1523"/>
      <c r="D6" s="1523"/>
      <c r="E6" s="1484"/>
      <c r="F6" s="1484"/>
      <c r="G6" s="1484"/>
      <c r="H6" s="1523"/>
      <c r="I6" s="1523"/>
      <c r="J6" s="1523"/>
      <c r="K6" s="1523"/>
      <c r="L6" s="1526"/>
      <c r="M6" s="1523"/>
      <c r="N6" s="1523"/>
      <c r="O6" s="1523"/>
      <c r="P6" s="1526"/>
      <c r="Q6" s="1523"/>
      <c r="R6" s="1523"/>
      <c r="S6" s="1523"/>
      <c r="T6" s="1523"/>
      <c r="U6" s="1523"/>
      <c r="V6" s="1523"/>
      <c r="W6" s="1523"/>
      <c r="X6" s="1523"/>
      <c r="Y6" s="1523"/>
      <c r="Z6" s="1523"/>
      <c r="AA6" s="1523"/>
      <c r="AB6" s="1523"/>
      <c r="AC6" s="1523"/>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2"/>
      <c r="BB6" s="1522"/>
      <c r="BC6" s="1522"/>
      <c r="BD6" s="1522"/>
      <c r="BE6" s="1522"/>
      <c r="BF6" s="1522"/>
      <c r="BG6" s="1523"/>
      <c r="BH6" s="1522"/>
      <c r="BI6" s="1522"/>
      <c r="BJ6" s="1564"/>
      <c r="BK6" s="1564"/>
      <c r="BL6" s="1522"/>
      <c r="BM6" s="1522"/>
      <c r="BN6" s="1522"/>
      <c r="BO6" s="1522"/>
      <c r="BP6" s="1522"/>
      <c r="BQ6" s="1522"/>
      <c r="BR6" s="1522"/>
      <c r="BS6" s="1522"/>
      <c r="BT6" s="1522"/>
      <c r="BU6" s="1483"/>
      <c r="BV6" s="1483"/>
      <c r="BW6" s="1483"/>
      <c r="BX6" s="1483"/>
      <c r="BY6" s="1483"/>
      <c r="BZ6" s="1483"/>
      <c r="CA6" s="1483"/>
      <c r="CB6" s="1483"/>
      <c r="CC6" s="1483"/>
    </row>
    <row r="7" spans="1:94" ht="18" hidden="1" customHeight="1" x14ac:dyDescent="0.2">
      <c r="A7" s="1715" t="s">
        <v>345</v>
      </c>
      <c r="B7" s="1523"/>
      <c r="C7" s="1523"/>
      <c r="D7" s="1523"/>
      <c r="E7" s="1484"/>
      <c r="F7" s="1484"/>
      <c r="G7" s="1484"/>
      <c r="H7" s="1523"/>
      <c r="I7" s="1523"/>
      <c r="J7" s="1523"/>
      <c r="K7" s="1523"/>
      <c r="L7" s="1526"/>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c r="AM7" s="1523"/>
      <c r="AN7" s="1523"/>
      <c r="AO7" s="1523"/>
      <c r="AP7" s="1523"/>
      <c r="AQ7" s="1523"/>
      <c r="AR7" s="1523"/>
      <c r="AS7" s="1523"/>
      <c r="AT7" s="1523"/>
      <c r="AU7" s="1523"/>
      <c r="AV7" s="1523"/>
      <c r="AW7" s="1523"/>
      <c r="AX7" s="1523"/>
      <c r="AY7" s="1523"/>
      <c r="AZ7" s="1523"/>
      <c r="BA7" s="1522"/>
      <c r="BB7" s="1522"/>
      <c r="BC7" s="1522"/>
      <c r="BD7" s="1522"/>
      <c r="BE7" s="1522"/>
      <c r="BF7" s="1522"/>
      <c r="BG7" s="1523"/>
      <c r="BH7" s="1522"/>
      <c r="BI7" s="1523"/>
      <c r="BJ7" s="1564"/>
      <c r="BK7" s="1564"/>
      <c r="BL7" s="1522"/>
      <c r="BM7" s="1522"/>
      <c r="BN7" s="1522"/>
      <c r="BO7" s="1522"/>
      <c r="BP7" s="1522"/>
      <c r="BQ7" s="1522"/>
      <c r="BR7" s="1522"/>
      <c r="BS7" s="1522"/>
      <c r="BT7" s="1522"/>
      <c r="BU7" s="1483"/>
      <c r="BV7" s="1483"/>
      <c r="BW7" s="1483"/>
      <c r="BX7" s="1483"/>
      <c r="BY7" s="1483"/>
      <c r="BZ7" s="1483"/>
      <c r="CA7" s="1483"/>
      <c r="CB7" s="1483"/>
      <c r="CC7" s="1483"/>
    </row>
    <row r="8" spans="1:94" ht="18" customHeight="1" x14ac:dyDescent="0.2">
      <c r="A8" s="1524" t="s">
        <v>344</v>
      </c>
      <c r="B8" s="1525"/>
      <c r="C8" s="1525"/>
      <c r="D8" s="1525"/>
      <c r="E8" s="1485"/>
      <c r="F8" s="1485"/>
      <c r="G8" s="148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3"/>
      <c r="AY8" s="1523"/>
      <c r="AZ8" s="1523"/>
      <c r="BA8" s="1522"/>
      <c r="BB8" s="1522"/>
      <c r="BC8" s="1522"/>
      <c r="BD8" s="1522"/>
      <c r="BE8" s="1522"/>
      <c r="BF8" s="1522"/>
      <c r="BG8" s="1523"/>
      <c r="BH8" s="1522"/>
      <c r="BI8" s="1522"/>
      <c r="BJ8" s="1564"/>
      <c r="BK8" s="1564"/>
      <c r="BL8" s="1522"/>
      <c r="BM8" s="1522"/>
      <c r="BN8" s="1522"/>
      <c r="BO8" s="1522"/>
      <c r="BP8" s="1522"/>
      <c r="BQ8" s="1522"/>
      <c r="BR8" s="1522"/>
      <c r="BS8" s="1522"/>
      <c r="BT8" s="1522"/>
      <c r="BU8" s="1483"/>
      <c r="BV8" s="1483"/>
      <c r="BW8" s="1483"/>
      <c r="BX8" s="1483"/>
      <c r="BY8" s="1483"/>
      <c r="BZ8" s="1483"/>
      <c r="CA8" s="1483"/>
      <c r="CB8" s="1483"/>
      <c r="CC8" s="1483"/>
    </row>
    <row r="9" spans="1:94" ht="14.25" customHeight="1" x14ac:dyDescent="0.2">
      <c r="A9" s="944"/>
      <c r="B9" s="1526"/>
      <c r="C9" s="1526"/>
      <c r="D9" s="1526"/>
      <c r="E9" s="1486"/>
      <c r="F9" s="1486"/>
      <c r="G9" s="1486"/>
      <c r="H9" s="1526"/>
      <c r="I9" s="1526"/>
      <c r="J9" s="1526"/>
      <c r="K9" s="1526"/>
      <c r="L9" s="1526"/>
      <c r="M9" s="1526"/>
      <c r="N9" s="1526"/>
      <c r="O9" s="1526"/>
      <c r="P9" s="1526"/>
      <c r="Q9" s="1526"/>
      <c r="R9" s="1526"/>
      <c r="S9" s="1526"/>
      <c r="T9" s="1526"/>
      <c r="U9" s="1526"/>
      <c r="V9" s="1526"/>
      <c r="W9" s="1526"/>
      <c r="X9" s="1526"/>
      <c r="Y9" s="1567"/>
      <c r="Z9" s="1526"/>
      <c r="AA9" s="1526"/>
      <c r="AB9" s="1526"/>
      <c r="AC9" s="1567"/>
      <c r="AD9" s="1526"/>
      <c r="AE9" s="1526"/>
      <c r="AF9" s="1526"/>
      <c r="AG9" s="1567"/>
      <c r="AH9" s="1526"/>
      <c r="AI9" s="1526"/>
      <c r="AJ9" s="1526"/>
      <c r="AK9" s="1567"/>
      <c r="AL9" s="1526"/>
      <c r="AM9" s="1567"/>
      <c r="AN9" s="1526"/>
      <c r="AO9" s="1567"/>
      <c r="AP9" s="1526"/>
      <c r="AQ9" s="1567"/>
      <c r="AR9" s="1526"/>
      <c r="AS9" s="1567"/>
      <c r="AT9" s="1526"/>
      <c r="AU9" s="1567"/>
      <c r="AV9" s="1526"/>
      <c r="AW9" s="1526"/>
      <c r="AX9" s="1526"/>
      <c r="AY9" s="1526"/>
      <c r="AZ9" s="1526"/>
      <c r="BA9" s="1778"/>
      <c r="BB9" s="1778"/>
      <c r="BC9" s="1778"/>
      <c r="BD9" s="1778"/>
      <c r="BE9" s="1778"/>
      <c r="BF9" s="1778"/>
      <c r="BG9" s="1526"/>
      <c r="BH9" s="1778"/>
      <c r="BI9" s="1778"/>
      <c r="BJ9" s="2441"/>
      <c r="BK9" s="2441"/>
      <c r="BL9" s="1778"/>
      <c r="BM9" s="1778"/>
      <c r="BN9" s="1778"/>
      <c r="BO9" s="1778"/>
      <c r="BP9" s="1778"/>
      <c r="BQ9" s="1778"/>
      <c r="BR9" s="1522"/>
      <c r="BS9" s="1522"/>
      <c r="BT9" s="1522"/>
      <c r="BU9" s="1483"/>
      <c r="BV9" s="1483"/>
      <c r="BW9" s="1483"/>
      <c r="BX9" s="1483"/>
      <c r="BY9" s="1483"/>
      <c r="BZ9" s="1483"/>
      <c r="CA9" s="1483"/>
      <c r="CB9" s="1483"/>
      <c r="CC9" s="1483"/>
    </row>
    <row r="10" spans="1:94" ht="9.75" customHeight="1" x14ac:dyDescent="0.2">
      <c r="A10" s="944"/>
      <c r="B10" s="1526"/>
      <c r="C10" s="1526"/>
      <c r="D10" s="1526"/>
      <c r="E10" s="1486"/>
      <c r="F10" s="1486"/>
      <c r="G10" s="148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c r="AG10" s="1526"/>
      <c r="AH10" s="1526"/>
      <c r="AI10" s="1526"/>
      <c r="AJ10" s="1526"/>
      <c r="AK10" s="1526"/>
      <c r="AL10" s="1526"/>
      <c r="AM10" s="1526"/>
      <c r="AN10" s="1526"/>
      <c r="AO10" s="1526"/>
      <c r="AP10" s="1526"/>
      <c r="AQ10" s="1526"/>
      <c r="AR10" s="1526"/>
      <c r="AS10" s="1526"/>
      <c r="AT10" s="1526"/>
      <c r="AU10" s="1526"/>
      <c r="AV10" s="1526"/>
      <c r="AW10" s="1526"/>
      <c r="AX10" s="1526"/>
      <c r="AY10" s="1526"/>
      <c r="AZ10" s="1526"/>
      <c r="BA10" s="1778"/>
      <c r="BB10" s="1778"/>
      <c r="BC10" s="1778"/>
      <c r="BD10" s="1778"/>
      <c r="BE10" s="1778"/>
      <c r="BF10" s="1778"/>
      <c r="BG10" s="1526"/>
      <c r="BH10" s="1778"/>
      <c r="BI10" s="1778"/>
      <c r="BJ10" s="2441"/>
      <c r="BK10" s="2441"/>
      <c r="BL10" s="1778"/>
      <c r="BM10" s="1778"/>
      <c r="BN10" s="1778"/>
      <c r="BO10" s="1778"/>
      <c r="BP10" s="1778"/>
      <c r="BQ10" s="1778"/>
      <c r="BR10" s="1522"/>
      <c r="BS10" s="1522"/>
      <c r="BT10" s="1522"/>
      <c r="BU10" s="1483"/>
      <c r="BV10" s="1483"/>
      <c r="BW10" s="1483"/>
      <c r="BX10" s="1483"/>
      <c r="BY10" s="1483"/>
      <c r="BZ10" s="1483"/>
      <c r="CA10" s="1483"/>
      <c r="CB10" s="1483"/>
      <c r="CC10" s="1483"/>
    </row>
    <row r="11" spans="1:94" x14ac:dyDescent="0.2">
      <c r="A11" s="1527" t="s">
        <v>1</v>
      </c>
      <c r="B11" s="1528"/>
      <c r="C11" s="3192" t="s">
        <v>671</v>
      </c>
      <c r="D11" s="3193"/>
      <c r="E11" s="1488"/>
      <c r="F11" s="2427"/>
      <c r="G11" s="2445"/>
      <c r="H11" s="2505"/>
      <c r="I11" s="2505"/>
      <c r="J11" s="2504"/>
      <c r="K11" s="2443"/>
      <c r="L11" s="2443"/>
      <c r="M11" s="2505"/>
      <c r="N11" s="2504"/>
      <c r="O11" s="2443"/>
      <c r="P11" s="2443"/>
      <c r="Q11" s="2505"/>
      <c r="R11" s="2504"/>
      <c r="S11" s="2443"/>
      <c r="T11" s="2443"/>
      <c r="U11" s="2505"/>
      <c r="V11" s="2504"/>
      <c r="W11" s="2443"/>
      <c r="X11" s="2443"/>
      <c r="Y11" s="2505"/>
      <c r="Z11" s="2504"/>
      <c r="AA11" s="2443"/>
      <c r="AB11" s="2443"/>
      <c r="AC11" s="2505"/>
      <c r="AD11" s="2504"/>
      <c r="AE11" s="2505"/>
      <c r="AF11" s="2505"/>
      <c r="AG11" s="2505"/>
      <c r="AH11" s="2504"/>
      <c r="AI11" s="2505"/>
      <c r="AJ11" s="2505"/>
      <c r="AK11" s="2505"/>
      <c r="AL11" s="2505"/>
      <c r="AM11" s="2506"/>
      <c r="AN11" s="2505"/>
      <c r="AO11" s="2505"/>
      <c r="AP11" s="2505"/>
      <c r="AQ11" s="2506"/>
      <c r="AR11" s="2505"/>
      <c r="AS11" s="2505"/>
      <c r="AT11" s="2505"/>
      <c r="AU11" s="2506"/>
      <c r="AV11" s="2505"/>
      <c r="AW11" s="2504"/>
      <c r="AX11" s="2504"/>
      <c r="AY11" s="2504"/>
      <c r="AZ11" s="1528"/>
      <c r="BA11" s="1528"/>
      <c r="BB11" s="1528"/>
      <c r="BC11" s="1528"/>
      <c r="BD11" s="1528"/>
      <c r="BE11" s="1528"/>
      <c r="BF11" s="1528"/>
      <c r="BG11" s="1629"/>
      <c r="BH11" s="988" t="s">
        <v>660</v>
      </c>
      <c r="BI11" s="988"/>
      <c r="BJ11" s="988" t="s">
        <v>563</v>
      </c>
      <c r="BK11" s="989"/>
      <c r="BL11" s="1570"/>
      <c r="BM11" s="1571"/>
      <c r="BN11" s="1571"/>
      <c r="BO11" s="1571"/>
      <c r="BP11" s="1571"/>
      <c r="BQ11" s="1571"/>
      <c r="BR11" s="1571"/>
      <c r="BS11" s="1571"/>
      <c r="BT11" s="1571"/>
      <c r="BU11" s="2062"/>
      <c r="BV11" s="2062"/>
      <c r="BW11" s="2062"/>
      <c r="BX11" s="2063"/>
      <c r="BY11" s="2063"/>
      <c r="BZ11" s="2062"/>
      <c r="CA11" s="2064"/>
      <c r="CB11" s="2134"/>
      <c r="CC11" s="2065"/>
    </row>
    <row r="12" spans="1:94" ht="13.5" x14ac:dyDescent="0.2">
      <c r="A12" s="1527" t="s">
        <v>2</v>
      </c>
      <c r="B12" s="1528"/>
      <c r="C12" s="3186" t="s">
        <v>38</v>
      </c>
      <c r="D12" s="3187"/>
      <c r="E12" s="1491"/>
      <c r="F12" s="907" t="s">
        <v>670</v>
      </c>
      <c r="G12" s="1948" t="s">
        <v>558</v>
      </c>
      <c r="H12" s="992" t="s">
        <v>559</v>
      </c>
      <c r="I12" s="992" t="s">
        <v>560</v>
      </c>
      <c r="J12" s="993" t="s">
        <v>561</v>
      </c>
      <c r="K12" s="992" t="s">
        <v>508</v>
      </c>
      <c r="L12" s="992" t="s">
        <v>507</v>
      </c>
      <c r="M12" s="992" t="s">
        <v>506</v>
      </c>
      <c r="N12" s="993" t="s">
        <v>505</v>
      </c>
      <c r="O12" s="992" t="s">
        <v>382</v>
      </c>
      <c r="P12" s="992" t="s">
        <v>383</v>
      </c>
      <c r="Q12" s="992" t="s">
        <v>384</v>
      </c>
      <c r="R12" s="993" t="s">
        <v>385</v>
      </c>
      <c r="S12" s="992" t="s">
        <v>368</v>
      </c>
      <c r="T12" s="992" t="s">
        <v>367</v>
      </c>
      <c r="U12" s="992" t="s">
        <v>366</v>
      </c>
      <c r="V12" s="993" t="s">
        <v>364</v>
      </c>
      <c r="W12" s="992" t="s">
        <v>348</v>
      </c>
      <c r="X12" s="992" t="s">
        <v>349</v>
      </c>
      <c r="Y12" s="992" t="s">
        <v>350</v>
      </c>
      <c r="Z12" s="993" t="s">
        <v>351</v>
      </c>
      <c r="AA12" s="1572" t="s">
        <v>315</v>
      </c>
      <c r="AB12" s="1572" t="s">
        <v>314</v>
      </c>
      <c r="AC12" s="1572" t="s">
        <v>313</v>
      </c>
      <c r="AD12" s="1573" t="s">
        <v>311</v>
      </c>
      <c r="AE12" s="1572" t="s">
        <v>270</v>
      </c>
      <c r="AF12" s="1572" t="s">
        <v>271</v>
      </c>
      <c r="AG12" s="1572" t="s">
        <v>272</v>
      </c>
      <c r="AH12" s="1573" t="s">
        <v>273</v>
      </c>
      <c r="AI12" s="1572" t="s">
        <v>223</v>
      </c>
      <c r="AJ12" s="1572" t="s">
        <v>224</v>
      </c>
      <c r="AK12" s="1572" t="s">
        <v>225</v>
      </c>
      <c r="AL12" s="1573" t="s">
        <v>222</v>
      </c>
      <c r="AM12" s="1574" t="s">
        <v>189</v>
      </c>
      <c r="AN12" s="1572" t="s">
        <v>190</v>
      </c>
      <c r="AO12" s="1572" t="s">
        <v>191</v>
      </c>
      <c r="AP12" s="1572" t="e">
        <v>#REF!</v>
      </c>
      <c r="AQ12" s="1574" t="s">
        <v>121</v>
      </c>
      <c r="AR12" s="1572" t="s">
        <v>120</v>
      </c>
      <c r="AS12" s="1572" t="s">
        <v>119</v>
      </c>
      <c r="AT12" s="1572" t="s">
        <v>118</v>
      </c>
      <c r="AU12" s="1574" t="s">
        <v>81</v>
      </c>
      <c r="AV12" s="1572" t="s">
        <v>82</v>
      </c>
      <c r="AW12" s="1573" t="s">
        <v>83</v>
      </c>
      <c r="AX12" s="1573" t="s">
        <v>29</v>
      </c>
      <c r="AY12" s="1573" t="s">
        <v>29</v>
      </c>
      <c r="AZ12" s="1528"/>
      <c r="BA12" s="1528"/>
      <c r="BB12" s="1528"/>
      <c r="BC12" s="1528"/>
      <c r="BD12" s="1528"/>
      <c r="BE12" s="1528"/>
      <c r="BF12" s="1528"/>
      <c r="BG12" s="1629"/>
      <c r="BH12" s="992" t="s">
        <v>558</v>
      </c>
      <c r="BI12" s="992" t="s">
        <v>508</v>
      </c>
      <c r="BJ12" s="3194" t="s">
        <v>38</v>
      </c>
      <c r="BK12" s="3076"/>
      <c r="BL12" s="1576"/>
      <c r="BM12" s="994" t="s">
        <v>562</v>
      </c>
      <c r="BN12" s="994" t="s">
        <v>509</v>
      </c>
      <c r="BO12" s="994" t="s">
        <v>502</v>
      </c>
      <c r="BP12" s="994" t="s">
        <v>379</v>
      </c>
      <c r="BQ12" s="994" t="s">
        <v>360</v>
      </c>
      <c r="BR12" s="994" t="s">
        <v>317</v>
      </c>
      <c r="BS12" s="1577" t="s">
        <v>275</v>
      </c>
      <c r="BT12" s="1577" t="s">
        <v>227</v>
      </c>
      <c r="BU12" s="2067" t="s">
        <v>123</v>
      </c>
      <c r="BV12" s="2067" t="s">
        <v>122</v>
      </c>
      <c r="BW12" s="2066" t="s">
        <v>42</v>
      </c>
      <c r="BX12" s="2067" t="s">
        <v>39</v>
      </c>
      <c r="BY12" s="2067" t="s">
        <v>40</v>
      </c>
      <c r="BZ12" s="2067" t="s">
        <v>142</v>
      </c>
      <c r="CA12" s="2067" t="s">
        <v>143</v>
      </c>
      <c r="CB12" s="2066" t="s">
        <v>144</v>
      </c>
      <c r="CC12" s="2065"/>
      <c r="CD12" s="2742"/>
      <c r="CE12" s="2737" t="s">
        <v>533</v>
      </c>
      <c r="CF12" s="2738"/>
      <c r="CG12" s="2738"/>
      <c r="CH12" s="2738"/>
      <c r="CI12" s="1315"/>
      <c r="CJ12" s="2738" t="s">
        <v>534</v>
      </c>
      <c r="CK12" s="2738"/>
      <c r="CL12" s="1180"/>
      <c r="CM12" s="2739" t="s">
        <v>535</v>
      </c>
      <c r="CN12" s="2739"/>
      <c r="CO12" s="2739"/>
      <c r="CP12" s="2739"/>
    </row>
    <row r="13" spans="1:94" s="2740" customFormat="1" x14ac:dyDescent="0.2">
      <c r="A13" s="1527"/>
      <c r="B13" s="1527"/>
      <c r="C13" s="2781"/>
      <c r="D13" s="1530"/>
      <c r="E13" s="2856"/>
      <c r="F13" s="1151"/>
      <c r="G13" s="1996"/>
      <c r="H13" s="1224"/>
      <c r="I13" s="1224"/>
      <c r="J13" s="1225"/>
      <c r="K13" s="1224"/>
      <c r="L13" s="1224"/>
      <c r="M13" s="1224"/>
      <c r="N13" s="1225"/>
      <c r="O13" s="1224"/>
      <c r="P13" s="1224"/>
      <c r="Q13" s="1224"/>
      <c r="R13" s="1225"/>
      <c r="S13" s="1224"/>
      <c r="T13" s="1224"/>
      <c r="U13" s="1224"/>
      <c r="V13" s="1225"/>
      <c r="W13" s="1224"/>
      <c r="X13" s="1224"/>
      <c r="Y13" s="1224"/>
      <c r="Z13" s="1225"/>
      <c r="AA13" s="1578"/>
      <c r="AB13" s="1578"/>
      <c r="AC13" s="1578"/>
      <c r="AD13" s="1579"/>
      <c r="AE13" s="1578"/>
      <c r="AF13" s="1578"/>
      <c r="AG13" s="1578"/>
      <c r="AH13" s="1579"/>
      <c r="AI13" s="1578"/>
      <c r="AJ13" s="1578"/>
      <c r="AK13" s="1578"/>
      <c r="AL13" s="1579"/>
      <c r="AM13" s="1578"/>
      <c r="AN13" s="1578"/>
      <c r="AO13" s="1578"/>
      <c r="AP13" s="1579"/>
      <c r="AQ13" s="1578"/>
      <c r="AR13" s="1578"/>
      <c r="AS13" s="1578"/>
      <c r="AT13" s="1579"/>
      <c r="AU13" s="1580"/>
      <c r="AV13" s="1580"/>
      <c r="AW13" s="1580"/>
      <c r="AX13" s="1581"/>
      <c r="AY13" s="1580"/>
      <c r="AZ13" s="1580"/>
      <c r="BA13" s="1580"/>
      <c r="BB13" s="1580"/>
      <c r="BC13" s="1582"/>
      <c r="BD13" s="1581"/>
      <c r="BE13" s="1581"/>
      <c r="BF13" s="1581"/>
      <c r="BG13" s="1588"/>
      <c r="BH13" s="1584"/>
      <c r="BI13" s="1584"/>
      <c r="BJ13" s="2447"/>
      <c r="BK13" s="2447"/>
      <c r="BL13" s="1529"/>
      <c r="BM13" s="1586"/>
      <c r="BN13" s="1579"/>
      <c r="BO13" s="1586"/>
      <c r="BP13" s="1586"/>
      <c r="BQ13" s="1586"/>
      <c r="BR13" s="1586"/>
      <c r="BS13" s="1586"/>
      <c r="BT13" s="1586"/>
      <c r="BU13" s="2069"/>
      <c r="BV13" s="2070" t="s">
        <v>241</v>
      </c>
      <c r="BW13" s="2070" t="s">
        <v>241</v>
      </c>
      <c r="BX13" s="2070" t="s">
        <v>241</v>
      </c>
      <c r="BY13" s="2070" t="s">
        <v>241</v>
      </c>
      <c r="BZ13" s="2070" t="s">
        <v>241</v>
      </c>
      <c r="CA13" s="2071"/>
      <c r="CB13" s="2068"/>
      <c r="CC13" s="2072"/>
      <c r="CD13" s="2751"/>
      <c r="CE13" s="1315"/>
      <c r="CF13" s="1315"/>
      <c r="CG13" s="1315"/>
      <c r="CH13" s="1315"/>
      <c r="CI13" s="1180"/>
      <c r="CJ13" s="1180"/>
      <c r="CK13" s="1180"/>
      <c r="CL13" s="1180"/>
      <c r="CM13" s="1180"/>
      <c r="CN13" s="1180"/>
      <c r="CO13" s="1180"/>
    </row>
    <row r="14" spans="1:94" ht="12.75" customHeight="1" x14ac:dyDescent="0.2">
      <c r="A14" s="1531" t="s">
        <v>59</v>
      </c>
      <c r="B14" s="1532"/>
      <c r="C14" s="2450"/>
      <c r="D14" s="2451"/>
      <c r="E14" s="2857"/>
      <c r="F14" s="1487"/>
      <c r="G14" s="2454"/>
      <c r="H14" s="1528"/>
      <c r="I14" s="1528"/>
      <c r="J14" s="2451"/>
      <c r="K14" s="1528"/>
      <c r="L14" s="1528"/>
      <c r="M14" s="1528"/>
      <c r="N14" s="2451"/>
      <c r="O14" s="1528"/>
      <c r="P14" s="1528"/>
      <c r="Q14" s="1528"/>
      <c r="R14" s="2451"/>
      <c r="S14" s="1528"/>
      <c r="T14" s="1528"/>
      <c r="U14" s="1528"/>
      <c r="V14" s="2451"/>
      <c r="W14" s="1528"/>
      <c r="X14" s="1528"/>
      <c r="Y14" s="1528"/>
      <c r="Z14" s="2451"/>
      <c r="AA14" s="1528"/>
      <c r="AB14" s="1528"/>
      <c r="AC14" s="1528"/>
      <c r="AD14" s="2451"/>
      <c r="AE14" s="1528"/>
      <c r="AF14" s="1528"/>
      <c r="AG14" s="1528"/>
      <c r="AH14" s="2451"/>
      <c r="AI14" s="1528"/>
      <c r="AJ14" s="1528"/>
      <c r="AK14" s="1528"/>
      <c r="AL14" s="2451"/>
      <c r="AM14" s="1528"/>
      <c r="AN14" s="1528"/>
      <c r="AO14" s="1528"/>
      <c r="AP14" s="2451"/>
      <c r="AQ14" s="1528"/>
      <c r="AR14" s="1528"/>
      <c r="AS14" s="1528"/>
      <c r="AT14" s="2451"/>
      <c r="AU14" s="1528"/>
      <c r="AV14" s="1528"/>
      <c r="AW14" s="1528"/>
      <c r="AX14" s="2451"/>
      <c r="AY14" s="1528"/>
      <c r="AZ14" s="1528"/>
      <c r="BA14" s="1528"/>
      <c r="BB14" s="2451"/>
      <c r="BC14" s="2450"/>
      <c r="BD14" s="2451"/>
      <c r="BE14" s="2451"/>
      <c r="BF14" s="2451"/>
      <c r="BG14" s="1629"/>
      <c r="BH14" s="1528"/>
      <c r="BI14" s="1528"/>
      <c r="BJ14" s="2228"/>
      <c r="BK14" s="2453"/>
      <c r="BL14" s="1539"/>
      <c r="BM14" s="1629"/>
      <c r="BN14" s="2451"/>
      <c r="BO14" s="1629"/>
      <c r="BP14" s="1629"/>
      <c r="BQ14" s="1629"/>
      <c r="BR14" s="1589"/>
      <c r="BS14" s="1589"/>
      <c r="BT14" s="1589"/>
      <c r="BU14" s="1496"/>
      <c r="BV14" s="1496"/>
      <c r="BW14" s="1496"/>
      <c r="BX14" s="1496"/>
      <c r="BY14" s="1496"/>
      <c r="BZ14" s="2075"/>
      <c r="CA14" s="2076"/>
      <c r="CB14" s="2135"/>
      <c r="CC14" s="2065"/>
      <c r="CD14" s="2742"/>
      <c r="CE14" s="1315"/>
      <c r="CF14" s="1315"/>
      <c r="CG14" s="1315"/>
      <c r="CH14" s="1315"/>
      <c r="CI14" s="1180"/>
      <c r="CJ14" s="1180"/>
      <c r="CK14" s="1180"/>
      <c r="CL14" s="1180"/>
      <c r="CM14" s="1180"/>
      <c r="CN14" s="1180"/>
      <c r="CO14" s="1180"/>
    </row>
    <row r="15" spans="1:94" ht="12.75" customHeight="1" x14ac:dyDescent="0.2">
      <c r="A15" s="1528"/>
      <c r="B15" s="1528" t="s">
        <v>340</v>
      </c>
      <c r="C15" s="1533">
        <v>17854</v>
      </c>
      <c r="D15" s="1536">
        <v>0.23428601422460174</v>
      </c>
      <c r="E15" s="2208"/>
      <c r="F15" s="1516">
        <v>94060</v>
      </c>
      <c r="G15" s="2116">
        <v>73443</v>
      </c>
      <c r="H15" s="1660">
        <v>81208</v>
      </c>
      <c r="I15" s="1660">
        <v>72730</v>
      </c>
      <c r="J15" s="1397">
        <v>76206</v>
      </c>
      <c r="K15" s="1660">
        <v>68158</v>
      </c>
      <c r="L15" s="1660">
        <v>66603</v>
      </c>
      <c r="M15" s="1660">
        <v>46112</v>
      </c>
      <c r="N15" s="1397">
        <v>55069</v>
      </c>
      <c r="O15" s="1660">
        <v>64726</v>
      </c>
      <c r="P15" s="1660">
        <v>60838</v>
      </c>
      <c r="Q15" s="1660">
        <v>54948</v>
      </c>
      <c r="R15" s="1397">
        <v>53699</v>
      </c>
      <c r="S15" s="1660">
        <v>55262</v>
      </c>
      <c r="T15" s="1660">
        <v>51442</v>
      </c>
      <c r="U15" s="1660">
        <v>55932</v>
      </c>
      <c r="V15" s="1397">
        <v>54775</v>
      </c>
      <c r="W15" s="1660">
        <v>56515</v>
      </c>
      <c r="X15" s="1660">
        <v>43493</v>
      </c>
      <c r="Y15" s="1660">
        <v>40703</v>
      </c>
      <c r="Z15" s="1397">
        <v>62261</v>
      </c>
      <c r="AA15" s="1660">
        <v>71273</v>
      </c>
      <c r="AB15" s="1660">
        <v>48269</v>
      </c>
      <c r="AC15" s="1660">
        <v>44000</v>
      </c>
      <c r="AD15" s="1397">
        <v>52943</v>
      </c>
      <c r="AE15" s="1660">
        <v>45206</v>
      </c>
      <c r="AF15" s="1660">
        <v>37625</v>
      </c>
      <c r="AG15" s="1660">
        <v>39474</v>
      </c>
      <c r="AH15" s="1397">
        <v>31050</v>
      </c>
      <c r="AI15" s="1402">
        <v>18487</v>
      </c>
      <c r="AJ15" s="1398">
        <v>17197</v>
      </c>
      <c r="AK15" s="1398">
        <v>17790</v>
      </c>
      <c r="AL15" s="1397">
        <v>26012</v>
      </c>
      <c r="AM15" s="1402">
        <v>27712</v>
      </c>
      <c r="AN15" s="1398">
        <v>32618</v>
      </c>
      <c r="AO15" s="1398">
        <v>20083</v>
      </c>
      <c r="AP15" s="1397"/>
      <c r="AQ15" s="1593"/>
      <c r="AR15" s="1593"/>
      <c r="AS15" s="1672"/>
      <c r="AT15" s="1662"/>
      <c r="AU15" s="1603"/>
      <c r="AV15" s="1603"/>
      <c r="AW15" s="1603"/>
      <c r="AX15" s="1662"/>
      <c r="AY15" s="1558"/>
      <c r="AZ15" s="1718"/>
      <c r="BA15" s="1718"/>
      <c r="BB15" s="1719"/>
      <c r="BC15" s="1554"/>
      <c r="BD15" s="1719"/>
      <c r="BE15" s="1719"/>
      <c r="BF15" s="1719"/>
      <c r="BG15" s="1629"/>
      <c r="BH15" s="1593">
        <v>303587</v>
      </c>
      <c r="BI15" s="1593">
        <v>235942</v>
      </c>
      <c r="BJ15" s="1596">
        <v>67645</v>
      </c>
      <c r="BK15" s="1536">
        <v>0.2867018165481347</v>
      </c>
      <c r="BL15" s="1539"/>
      <c r="BM15" s="1684">
        <v>303587</v>
      </c>
      <c r="BN15" s="1693">
        <v>235942</v>
      </c>
      <c r="BO15" s="1694">
        <v>234211</v>
      </c>
      <c r="BP15" s="1694">
        <v>217411</v>
      </c>
      <c r="BQ15" s="1684">
        <v>202972</v>
      </c>
      <c r="BR15" s="1665">
        <v>216485</v>
      </c>
      <c r="BS15" s="1684">
        <v>153355</v>
      </c>
      <c r="BT15" s="1684">
        <v>79486</v>
      </c>
      <c r="BU15" s="2136">
        <v>106219</v>
      </c>
      <c r="BV15" s="1317">
        <v>97629</v>
      </c>
      <c r="BW15" s="1317">
        <v>74794</v>
      </c>
      <c r="BX15" s="1317" t="e">
        <v>#REF!</v>
      </c>
      <c r="BY15" s="2079">
        <v>187562</v>
      </c>
      <c r="BZ15" s="2075">
        <v>150470</v>
      </c>
      <c r="CA15" s="2075">
        <v>95559</v>
      </c>
      <c r="CB15" s="2137"/>
      <c r="CC15" s="2065"/>
      <c r="CD15" s="2742"/>
      <c r="CE15" s="1920">
        <v>5765</v>
      </c>
      <c r="CF15" s="1180">
        <v>9.4759854038594299E-2</v>
      </c>
      <c r="CG15" s="1180">
        <v>12089</v>
      </c>
      <c r="CH15" s="1180">
        <v>0.13952616018600744</v>
      </c>
      <c r="CI15" s="1180"/>
      <c r="CJ15" s="1920">
        <v>167784</v>
      </c>
      <c r="CK15" s="1315">
        <v>135803</v>
      </c>
      <c r="CL15" s="1920"/>
      <c r="CM15" s="1315">
        <v>67645</v>
      </c>
      <c r="CN15" s="1315">
        <v>0.2867018165481347</v>
      </c>
      <c r="CO15" s="1315">
        <v>0</v>
      </c>
      <c r="CP15" s="1180">
        <v>0</v>
      </c>
    </row>
    <row r="16" spans="1:94" ht="12.75" customHeight="1" x14ac:dyDescent="0.2">
      <c r="A16" s="1532"/>
      <c r="B16" s="1528"/>
      <c r="C16" s="1534">
        <v>17854</v>
      </c>
      <c r="D16" s="1535">
        <v>0.23428601422460174</v>
      </c>
      <c r="E16" s="2208"/>
      <c r="F16" s="1712">
        <v>94060</v>
      </c>
      <c r="G16" s="2979">
        <v>73443</v>
      </c>
      <c r="H16" s="1720">
        <v>81208</v>
      </c>
      <c r="I16" s="1720">
        <v>72730</v>
      </c>
      <c r="J16" s="1721">
        <v>76206</v>
      </c>
      <c r="K16" s="1720">
        <v>68158</v>
      </c>
      <c r="L16" s="1720">
        <v>66603</v>
      </c>
      <c r="M16" s="1720">
        <v>46112</v>
      </c>
      <c r="N16" s="1721">
        <v>55069</v>
      </c>
      <c r="O16" s="1720">
        <v>64726</v>
      </c>
      <c r="P16" s="1720">
        <v>60838</v>
      </c>
      <c r="Q16" s="1720">
        <v>54948</v>
      </c>
      <c r="R16" s="1721">
        <v>53699</v>
      </c>
      <c r="S16" s="1720">
        <v>55262</v>
      </c>
      <c r="T16" s="1720">
        <v>51442</v>
      </c>
      <c r="U16" s="1720">
        <v>55932</v>
      </c>
      <c r="V16" s="1721">
        <v>54775</v>
      </c>
      <c r="W16" s="1720">
        <v>56515</v>
      </c>
      <c r="X16" s="1720">
        <v>43493</v>
      </c>
      <c r="Y16" s="1720">
        <v>40703</v>
      </c>
      <c r="Z16" s="1721">
        <v>62261</v>
      </c>
      <c r="AA16" s="1720">
        <v>71273</v>
      </c>
      <c r="AB16" s="1720">
        <v>48269</v>
      </c>
      <c r="AC16" s="1720">
        <v>44000</v>
      </c>
      <c r="AD16" s="1721">
        <v>52943</v>
      </c>
      <c r="AE16" s="1722">
        <v>45206</v>
      </c>
      <c r="AF16" s="1720">
        <v>37625</v>
      </c>
      <c r="AG16" s="1720">
        <v>39474</v>
      </c>
      <c r="AH16" s="1721">
        <v>31050</v>
      </c>
      <c r="AI16" s="1720">
        <v>18487</v>
      </c>
      <c r="AJ16" s="1720">
        <v>17197</v>
      </c>
      <c r="AK16" s="1720">
        <v>17790</v>
      </c>
      <c r="AL16" s="1721">
        <v>26012</v>
      </c>
      <c r="AM16" s="1593">
        <v>27712</v>
      </c>
      <c r="AN16" s="1593">
        <v>32618</v>
      </c>
      <c r="AO16" s="1593">
        <v>20083</v>
      </c>
      <c r="AP16" s="1721"/>
      <c r="AQ16" s="1593"/>
      <c r="AR16" s="1593"/>
      <c r="AS16" s="1593"/>
      <c r="AT16" s="1721"/>
      <c r="AU16" s="1720"/>
      <c r="AV16" s="1720"/>
      <c r="AW16" s="1720"/>
      <c r="AX16" s="1721"/>
      <c r="AY16" s="1720"/>
      <c r="AZ16" s="1720"/>
      <c r="BA16" s="1720"/>
      <c r="BB16" s="1720"/>
      <c r="BC16" s="1722"/>
      <c r="BD16" s="1721"/>
      <c r="BE16" s="1721"/>
      <c r="BF16" s="1721"/>
      <c r="BG16" s="1629"/>
      <c r="BH16" s="1593">
        <v>303587</v>
      </c>
      <c r="BI16" s="1593">
        <v>235942</v>
      </c>
      <c r="BJ16" s="1601">
        <v>67645</v>
      </c>
      <c r="BK16" s="1535">
        <v>0.2867018165481347</v>
      </c>
      <c r="BL16" s="1539"/>
      <c r="BM16" s="2479">
        <v>303587</v>
      </c>
      <c r="BN16" s="1674">
        <v>235942</v>
      </c>
      <c r="BO16" s="1671">
        <v>234211</v>
      </c>
      <c r="BP16" s="1671">
        <v>217411</v>
      </c>
      <c r="BQ16" s="1602">
        <v>202972</v>
      </c>
      <c r="BR16" s="1602">
        <v>216485</v>
      </c>
      <c r="BS16" s="1602">
        <v>153355</v>
      </c>
      <c r="BT16" s="1602">
        <v>79486</v>
      </c>
      <c r="BU16" s="2081">
        <v>106219</v>
      </c>
      <c r="BV16" s="2081">
        <v>97629</v>
      </c>
      <c r="BW16" s="2081">
        <v>74794</v>
      </c>
      <c r="BX16" s="2081">
        <v>90788</v>
      </c>
      <c r="BY16" s="2081">
        <v>187562</v>
      </c>
      <c r="BZ16" s="2082">
        <v>150470</v>
      </c>
      <c r="CA16" s="2082">
        <v>95559</v>
      </c>
      <c r="CB16" s="2080">
        <v>211758</v>
      </c>
      <c r="CC16" s="2065"/>
      <c r="CE16" s="1920">
        <v>5765</v>
      </c>
      <c r="CF16" s="1180">
        <v>9.4759854038594299E-2</v>
      </c>
      <c r="CG16" s="1180">
        <v>12089</v>
      </c>
      <c r="CH16" s="1180">
        <v>0.13952616018600744</v>
      </c>
      <c r="CI16" s="1180"/>
      <c r="CJ16" s="1920">
        <v>167784</v>
      </c>
      <c r="CK16" s="1315">
        <v>135803</v>
      </c>
      <c r="CL16" s="1920"/>
      <c r="CM16" s="1315">
        <v>67645</v>
      </c>
      <c r="CN16" s="1315">
        <v>0.2867018165481347</v>
      </c>
      <c r="CO16" s="1315">
        <v>0</v>
      </c>
      <c r="CP16" s="1180">
        <v>0</v>
      </c>
    </row>
    <row r="17" spans="1:104" ht="12.75" customHeight="1" x14ac:dyDescent="0.2">
      <c r="A17" s="1531" t="s">
        <v>5</v>
      </c>
      <c r="B17" s="1528"/>
      <c r="C17" s="1533"/>
      <c r="D17" s="1536"/>
      <c r="E17" s="2208"/>
      <c r="F17" s="2904"/>
      <c r="G17" s="2904"/>
      <c r="H17" s="1723"/>
      <c r="I17" s="1723"/>
      <c r="J17" s="1663"/>
      <c r="K17" s="1603"/>
      <c r="L17" s="1723"/>
      <c r="M17" s="1603"/>
      <c r="N17" s="1662"/>
      <c r="O17" s="1603"/>
      <c r="P17" s="1723"/>
      <c r="Q17" s="1603"/>
      <c r="R17" s="1662"/>
      <c r="S17" s="1603"/>
      <c r="T17" s="1723"/>
      <c r="U17" s="1603"/>
      <c r="V17" s="1662"/>
      <c r="W17" s="1603"/>
      <c r="X17" s="1723"/>
      <c r="Y17" s="1603"/>
      <c r="Z17" s="1662"/>
      <c r="AA17" s="1603"/>
      <c r="AB17" s="1723"/>
      <c r="AC17" s="1603"/>
      <c r="AD17" s="1662"/>
      <c r="AE17" s="1603"/>
      <c r="AF17" s="1723"/>
      <c r="AG17" s="1603"/>
      <c r="AH17" s="1662"/>
      <c r="AI17" s="1603"/>
      <c r="AJ17" s="1723"/>
      <c r="AK17" s="1603"/>
      <c r="AL17" s="1662"/>
      <c r="AM17" s="1603"/>
      <c r="AN17" s="1723"/>
      <c r="AO17" s="1603"/>
      <c r="AP17" s="1662"/>
      <c r="AQ17" s="1603"/>
      <c r="AR17" s="1723"/>
      <c r="AS17" s="1603"/>
      <c r="AT17" s="1662"/>
      <c r="AU17" s="1723"/>
      <c r="AV17" s="1723"/>
      <c r="AW17" s="1723"/>
      <c r="AX17" s="1663"/>
      <c r="AY17" s="1660"/>
      <c r="AZ17" s="1660"/>
      <c r="BA17" s="1660"/>
      <c r="BB17" s="1660"/>
      <c r="BC17" s="1666"/>
      <c r="BD17" s="1662"/>
      <c r="BE17" s="1662"/>
      <c r="BF17" s="1662"/>
      <c r="BG17" s="1629"/>
      <c r="BH17" s="1603"/>
      <c r="BI17" s="1603"/>
      <c r="BJ17" s="1596"/>
      <c r="BK17" s="1536"/>
      <c r="BL17" s="1539"/>
      <c r="BM17" s="2896"/>
      <c r="BN17" s="2895"/>
      <c r="BO17" s="1724"/>
      <c r="BP17" s="1724"/>
      <c r="BQ17" s="1724"/>
      <c r="BR17" s="1724"/>
      <c r="BS17" s="1724"/>
      <c r="BT17" s="1724"/>
      <c r="BU17" s="2138"/>
      <c r="BV17" s="2138"/>
      <c r="BW17" s="2138"/>
      <c r="BX17" s="2079"/>
      <c r="BY17" s="2079"/>
      <c r="BZ17" s="2084"/>
      <c r="CA17" s="2084"/>
      <c r="CB17" s="2077"/>
      <c r="CC17" s="2065"/>
      <c r="CE17" s="2742"/>
      <c r="CF17" s="2742"/>
      <c r="CG17" s="2742"/>
    </row>
    <row r="18" spans="1:104" ht="12.75" hidden="1" customHeight="1" x14ac:dyDescent="0.2">
      <c r="A18" s="1531"/>
      <c r="B18" s="1528" t="s">
        <v>292</v>
      </c>
      <c r="C18" s="1533">
        <v>12863</v>
      </c>
      <c r="D18" s="1536">
        <v>0.31676804491836386</v>
      </c>
      <c r="E18" s="2208"/>
      <c r="F18" s="2905">
        <v>53470</v>
      </c>
      <c r="G18" s="2905">
        <v>22546</v>
      </c>
      <c r="H18" s="1603">
        <v>43200</v>
      </c>
      <c r="I18" s="1603">
        <v>37305</v>
      </c>
      <c r="J18" s="1662">
        <v>40607</v>
      </c>
      <c r="K18" s="1603">
        <v>31861</v>
      </c>
      <c r="L18" s="1603">
        <v>32770</v>
      </c>
      <c r="M18" s="1603">
        <v>23780</v>
      </c>
      <c r="N18" s="1662">
        <v>26638</v>
      </c>
      <c r="O18" s="1603">
        <v>32135</v>
      </c>
      <c r="P18" s="1603">
        <v>29367</v>
      </c>
      <c r="Q18" s="1603">
        <v>25665</v>
      </c>
      <c r="R18" s="1662">
        <v>25919</v>
      </c>
      <c r="S18" s="1603">
        <v>30932</v>
      </c>
      <c r="T18" s="1603">
        <v>28638</v>
      </c>
      <c r="U18" s="1603">
        <v>25773</v>
      </c>
      <c r="V18" s="1662">
        <v>24077</v>
      </c>
      <c r="W18" s="1603">
        <v>28159</v>
      </c>
      <c r="X18" s="1603">
        <v>21078</v>
      </c>
      <c r="Y18" s="1603">
        <v>19404</v>
      </c>
      <c r="Z18" s="1662">
        <v>28394</v>
      </c>
      <c r="AA18" s="1603">
        <v>31384</v>
      </c>
      <c r="AB18" s="1603">
        <v>24519</v>
      </c>
      <c r="AC18" s="1603">
        <v>21953</v>
      </c>
      <c r="AD18" s="1662">
        <v>25374</v>
      </c>
      <c r="AE18" s="1603">
        <v>23498</v>
      </c>
      <c r="AF18" s="1603">
        <v>18709</v>
      </c>
      <c r="AG18" s="1603">
        <v>19610</v>
      </c>
      <c r="AH18" s="1662">
        <v>18095</v>
      </c>
      <c r="AI18" s="1603">
        <v>11934</v>
      </c>
      <c r="AJ18" s="1603">
        <v>8230</v>
      </c>
      <c r="AK18" s="1603">
        <v>8694</v>
      </c>
      <c r="AL18" s="1662">
        <v>13018</v>
      </c>
      <c r="AM18" s="1603" t="e">
        <v>#REF!</v>
      </c>
      <c r="AN18" s="1603" t="e">
        <v>#REF!</v>
      </c>
      <c r="AO18" s="1603" t="e">
        <v>#REF!</v>
      </c>
      <c r="AP18" s="1662"/>
      <c r="AQ18" s="1603"/>
      <c r="AR18" s="1603"/>
      <c r="AS18" s="1603"/>
      <c r="AT18" s="1662"/>
      <c r="AU18" s="1603"/>
      <c r="AV18" s="1603"/>
      <c r="AW18" s="1603"/>
      <c r="AX18" s="1662"/>
      <c r="AY18" s="1660"/>
      <c r="AZ18" s="1660"/>
      <c r="BA18" s="1660"/>
      <c r="BB18" s="1660"/>
      <c r="BC18" s="1666"/>
      <c r="BD18" s="1662"/>
      <c r="BE18" s="1662"/>
      <c r="BF18" s="1662"/>
      <c r="BG18" s="1629"/>
      <c r="BH18" s="1603">
        <v>143658</v>
      </c>
      <c r="BI18" s="1603">
        <v>115049</v>
      </c>
      <c r="BJ18" s="1596">
        <v>28609</v>
      </c>
      <c r="BK18" s="1536">
        <v>0.248667958869699</v>
      </c>
      <c r="BL18" s="1539"/>
      <c r="BM18" s="1684">
        <v>143658</v>
      </c>
      <c r="BN18" s="1678">
        <v>115049</v>
      </c>
      <c r="BO18" s="1665">
        <v>113086</v>
      </c>
      <c r="BP18" s="1665">
        <v>109420</v>
      </c>
      <c r="BQ18" s="1665">
        <v>97035</v>
      </c>
      <c r="BR18" s="1665">
        <v>103230</v>
      </c>
      <c r="BS18" s="1684">
        <v>79912</v>
      </c>
      <c r="BT18" s="1684">
        <v>41876</v>
      </c>
      <c r="BU18" s="2035">
        <v>54480</v>
      </c>
      <c r="BV18" s="2015">
        <v>53240</v>
      </c>
      <c r="BW18" s="2015">
        <v>34505</v>
      </c>
      <c r="BX18" s="2015" t="e">
        <v>#REF!</v>
      </c>
      <c r="BY18" s="2079"/>
      <c r="BZ18" s="2084"/>
      <c r="CA18" s="2084"/>
      <c r="CB18" s="2077"/>
      <c r="CC18" s="2065"/>
      <c r="CE18" s="1920">
        <v>3403</v>
      </c>
      <c r="CF18" s="1180">
        <v>0.11587836687438281</v>
      </c>
      <c r="CG18" s="1180">
        <v>9460</v>
      </c>
      <c r="CH18" s="1180">
        <v>0.20088967804398106</v>
      </c>
      <c r="CI18" s="1180"/>
      <c r="CJ18" s="1920">
        <v>83188</v>
      </c>
      <c r="CK18" s="1315">
        <v>60470</v>
      </c>
      <c r="CL18" s="1920"/>
      <c r="CM18" s="1315">
        <v>28609</v>
      </c>
      <c r="CN18" s="1315">
        <v>0.248667958869699</v>
      </c>
      <c r="CO18" s="1315">
        <v>0</v>
      </c>
      <c r="CP18" s="1180">
        <v>0</v>
      </c>
    </row>
    <row r="19" spans="1:104" ht="12.75" hidden="1" customHeight="1" x14ac:dyDescent="0.2">
      <c r="A19" s="1531"/>
      <c r="B19" s="946" t="s">
        <v>293</v>
      </c>
      <c r="C19" s="1537">
        <v>-262</v>
      </c>
      <c r="D19" s="1538">
        <v>-0.23582358235823583</v>
      </c>
      <c r="E19" s="2208"/>
      <c r="F19" s="2985">
        <v>849</v>
      </c>
      <c r="G19" s="2906">
        <v>13731</v>
      </c>
      <c r="H19" s="1612">
        <v>877</v>
      </c>
      <c r="I19" s="1612">
        <v>838</v>
      </c>
      <c r="J19" s="1674">
        <v>1111</v>
      </c>
      <c r="K19" s="1612">
        <v>1936</v>
      </c>
      <c r="L19" s="1612">
        <v>3824</v>
      </c>
      <c r="M19" s="1612">
        <v>3497</v>
      </c>
      <c r="N19" s="1674">
        <v>3717</v>
      </c>
      <c r="O19" s="1612">
        <v>3145</v>
      </c>
      <c r="P19" s="1612">
        <v>3497</v>
      </c>
      <c r="Q19" s="1612">
        <v>3439</v>
      </c>
      <c r="R19" s="1674">
        <v>3801</v>
      </c>
      <c r="S19" s="1612">
        <v>3237</v>
      </c>
      <c r="T19" s="1612">
        <v>2735</v>
      </c>
      <c r="U19" s="1612">
        <v>2780</v>
      </c>
      <c r="V19" s="1674">
        <v>3276</v>
      </c>
      <c r="W19" s="1612">
        <v>3202</v>
      </c>
      <c r="X19" s="1612">
        <v>2803</v>
      </c>
      <c r="Y19" s="1612">
        <v>2641</v>
      </c>
      <c r="Z19" s="1674">
        <v>2106</v>
      </c>
      <c r="AA19" s="1612">
        <v>1286</v>
      </c>
      <c r="AB19" s="1612">
        <v>953</v>
      </c>
      <c r="AC19" s="1612">
        <v>924</v>
      </c>
      <c r="AD19" s="1674">
        <v>850</v>
      </c>
      <c r="AE19" s="1612">
        <v>803</v>
      </c>
      <c r="AF19" s="1612">
        <v>207</v>
      </c>
      <c r="AG19" s="1612">
        <v>506</v>
      </c>
      <c r="AH19" s="1674">
        <v>925</v>
      </c>
      <c r="AI19" s="1612">
        <v>1237</v>
      </c>
      <c r="AJ19" s="1612">
        <v>1164</v>
      </c>
      <c r="AK19" s="1612">
        <v>942</v>
      </c>
      <c r="AL19" s="1674">
        <v>1100</v>
      </c>
      <c r="AM19" s="1603">
        <v>327</v>
      </c>
      <c r="AN19" s="1603">
        <v>390</v>
      </c>
      <c r="AO19" s="1603">
        <v>1291</v>
      </c>
      <c r="AP19" s="1662"/>
      <c r="AQ19" s="1603"/>
      <c r="AR19" s="1603"/>
      <c r="AS19" s="1603"/>
      <c r="AT19" s="1662"/>
      <c r="AU19" s="1603"/>
      <c r="AV19" s="1603"/>
      <c r="AW19" s="1603"/>
      <c r="AX19" s="1662"/>
      <c r="AY19" s="1660"/>
      <c r="AZ19" s="1660"/>
      <c r="BA19" s="1660"/>
      <c r="BB19" s="1660"/>
      <c r="BC19" s="1666"/>
      <c r="BD19" s="1662"/>
      <c r="BE19" s="1662"/>
      <c r="BF19" s="1662"/>
      <c r="BG19" s="1629"/>
      <c r="BH19" s="2200">
        <v>16557</v>
      </c>
      <c r="BI19" s="1612">
        <v>12974</v>
      </c>
      <c r="BJ19" s="1613">
        <v>3583</v>
      </c>
      <c r="BK19" s="1538">
        <v>0.27616772005549561</v>
      </c>
      <c r="BL19" s="1539"/>
      <c r="BM19" s="1694">
        <v>16557</v>
      </c>
      <c r="BN19" s="1693">
        <v>12974</v>
      </c>
      <c r="BO19" s="1675">
        <v>13882</v>
      </c>
      <c r="BP19" s="1675">
        <v>12028</v>
      </c>
      <c r="BQ19" s="1675">
        <v>10752</v>
      </c>
      <c r="BR19" s="1675">
        <v>4013</v>
      </c>
      <c r="BS19" s="1694">
        <v>2441</v>
      </c>
      <c r="BT19" s="1694">
        <v>4443</v>
      </c>
      <c r="BU19" s="2043">
        <v>2859</v>
      </c>
      <c r="BV19" s="2017">
        <v>586</v>
      </c>
      <c r="BW19" s="2017">
        <v>151</v>
      </c>
      <c r="BX19" s="2015">
        <v>-803</v>
      </c>
      <c r="BY19" s="2079"/>
      <c r="BZ19" s="2084"/>
      <c r="CA19" s="2084"/>
      <c r="CB19" s="2077"/>
      <c r="CC19" s="2065"/>
      <c r="CD19" s="2742"/>
      <c r="CE19" s="1920">
        <v>327</v>
      </c>
      <c r="CF19" s="1180">
        <v>9.3508721761509872E-2</v>
      </c>
      <c r="CG19" s="1180">
        <v>-589</v>
      </c>
      <c r="CH19" s="1180">
        <v>-0.32933230411974568</v>
      </c>
      <c r="CI19" s="1180"/>
      <c r="CJ19" s="1920">
        <v>11038</v>
      </c>
      <c r="CK19" s="1315">
        <v>5519</v>
      </c>
      <c r="CL19" s="1920"/>
      <c r="CM19" s="1315">
        <v>3583</v>
      </c>
      <c r="CN19" s="1315">
        <v>0.27616772005549561</v>
      </c>
      <c r="CO19" s="1315">
        <v>0</v>
      </c>
      <c r="CP19" s="1180">
        <v>0</v>
      </c>
      <c r="CQ19" s="2742"/>
      <c r="CR19" s="2742"/>
      <c r="CS19" s="2742"/>
      <c r="CT19" s="2742"/>
      <c r="CU19" s="2742"/>
      <c r="CV19" s="2742"/>
      <c r="CW19" s="2742"/>
      <c r="CX19" s="2742"/>
      <c r="CY19" s="2742"/>
      <c r="CZ19" s="2742"/>
    </row>
    <row r="20" spans="1:104" ht="12.75" hidden="1" customHeight="1" x14ac:dyDescent="0.2">
      <c r="A20" s="1532"/>
      <c r="B20" s="946" t="s">
        <v>620</v>
      </c>
      <c r="C20" s="1533">
        <v>12601</v>
      </c>
      <c r="D20" s="1536">
        <v>0.3020518720935807</v>
      </c>
      <c r="E20" s="2208"/>
      <c r="F20" s="1502">
        <v>54319</v>
      </c>
      <c r="G20" s="2905">
        <v>36277</v>
      </c>
      <c r="H20" s="1603">
        <v>44077</v>
      </c>
      <c r="I20" s="1603">
        <v>38143</v>
      </c>
      <c r="J20" s="1662">
        <v>41718</v>
      </c>
      <c r="K20" s="1603">
        <v>33797</v>
      </c>
      <c r="L20" s="1603">
        <v>36594</v>
      </c>
      <c r="M20" s="1603">
        <v>27277</v>
      </c>
      <c r="N20" s="1662">
        <v>30355</v>
      </c>
      <c r="O20" s="1603">
        <v>35280</v>
      </c>
      <c r="P20" s="1603">
        <v>32864</v>
      </c>
      <c r="Q20" s="1603">
        <v>29104</v>
      </c>
      <c r="R20" s="1662">
        <v>29720</v>
      </c>
      <c r="S20" s="1603">
        <v>34169</v>
      </c>
      <c r="T20" s="1603">
        <v>31373</v>
      </c>
      <c r="U20" s="1603">
        <v>28553</v>
      </c>
      <c r="V20" s="1662">
        <v>27353</v>
      </c>
      <c r="W20" s="1398">
        <v>31361</v>
      </c>
      <c r="X20" s="1398">
        <v>23881</v>
      </c>
      <c r="Y20" s="1603">
        <v>22045</v>
      </c>
      <c r="Z20" s="1662">
        <v>30500</v>
      </c>
      <c r="AA20" s="1398">
        <v>32670</v>
      </c>
      <c r="AB20" s="1398">
        <v>25472</v>
      </c>
      <c r="AC20" s="1603">
        <v>22877</v>
      </c>
      <c r="AD20" s="1662">
        <v>26224</v>
      </c>
      <c r="AE20" s="1398">
        <v>24301</v>
      </c>
      <c r="AF20" s="1398">
        <v>18916</v>
      </c>
      <c r="AG20" s="1603">
        <v>20116</v>
      </c>
      <c r="AH20" s="1662">
        <v>19020</v>
      </c>
      <c r="AI20" s="1603">
        <v>13171</v>
      </c>
      <c r="AJ20" s="1398">
        <v>9394</v>
      </c>
      <c r="AK20" s="1398">
        <v>9636</v>
      </c>
      <c r="AL20" s="1397">
        <v>14118</v>
      </c>
      <c r="AM20" s="1398">
        <v>14656</v>
      </c>
      <c r="AN20" s="1398">
        <v>17670</v>
      </c>
      <c r="AO20" s="1398">
        <v>11063</v>
      </c>
      <c r="AP20" s="1397"/>
      <c r="AQ20" s="1603"/>
      <c r="AR20" s="1603"/>
      <c r="AS20" s="1603"/>
      <c r="AT20" s="1662"/>
      <c r="AU20" s="1603"/>
      <c r="AV20" s="1603"/>
      <c r="AW20" s="1603"/>
      <c r="AX20" s="1662"/>
      <c r="AY20" s="1660"/>
      <c r="AZ20" s="1660"/>
      <c r="BA20" s="1660"/>
      <c r="BB20" s="1660"/>
      <c r="BC20" s="1666"/>
      <c r="BD20" s="1662"/>
      <c r="BE20" s="1662"/>
      <c r="BF20" s="1662"/>
      <c r="BG20" s="1629"/>
      <c r="BH20" s="1603">
        <v>160215</v>
      </c>
      <c r="BI20" s="1660">
        <v>128023</v>
      </c>
      <c r="BJ20" s="1596">
        <v>32192</v>
      </c>
      <c r="BK20" s="1536">
        <v>0.25145481671262193</v>
      </c>
      <c r="BL20" s="1539"/>
      <c r="BM20" s="1684">
        <v>160215</v>
      </c>
      <c r="BN20" s="1773">
        <v>128023</v>
      </c>
      <c r="BO20" s="1937">
        <v>126968</v>
      </c>
      <c r="BP20" s="1937">
        <v>121448</v>
      </c>
      <c r="BQ20" s="1684">
        <v>107787</v>
      </c>
      <c r="BR20" s="1684">
        <v>107243</v>
      </c>
      <c r="BS20" s="1684">
        <v>82353</v>
      </c>
      <c r="BT20" s="1684">
        <v>46319</v>
      </c>
      <c r="BU20" s="2136">
        <v>57339</v>
      </c>
      <c r="BV20" s="1317">
        <v>53826</v>
      </c>
      <c r="BW20" s="1317">
        <v>34656</v>
      </c>
      <c r="BX20" s="1317">
        <v>47146</v>
      </c>
      <c r="BY20" s="2079">
        <v>98642</v>
      </c>
      <c r="BZ20" s="2084">
        <v>82259</v>
      </c>
      <c r="CA20" s="2084">
        <v>47759</v>
      </c>
      <c r="CB20" s="2077">
        <v>120298</v>
      </c>
      <c r="CC20" s="2065"/>
      <c r="CE20" s="1920">
        <v>3730</v>
      </c>
      <c r="CF20" s="1180">
        <v>0.11349805258033106</v>
      </c>
      <c r="CG20" s="1180">
        <v>8871</v>
      </c>
      <c r="CH20" s="1180">
        <v>0.18855381951324962</v>
      </c>
      <c r="CI20" s="1180"/>
      <c r="CJ20" s="1920">
        <v>94226</v>
      </c>
      <c r="CK20" s="1315">
        <v>65989</v>
      </c>
      <c r="CL20" s="1920"/>
      <c r="CM20" s="1315">
        <v>32192</v>
      </c>
      <c r="CN20" s="1315">
        <v>0.25145481671262193</v>
      </c>
      <c r="CO20" s="1315">
        <v>0</v>
      </c>
      <c r="CP20" s="1180">
        <v>0</v>
      </c>
    </row>
    <row r="21" spans="1:104" ht="12.75" hidden="1" customHeight="1" x14ac:dyDescent="0.2">
      <c r="A21" s="1532"/>
      <c r="B21" s="1528" t="s">
        <v>64</v>
      </c>
      <c r="C21" s="1533">
        <v>716</v>
      </c>
      <c r="D21" s="1536">
        <v>0.29296235679214405</v>
      </c>
      <c r="E21" s="2208"/>
      <c r="F21" s="2905">
        <v>3160</v>
      </c>
      <c r="G21" s="2905">
        <v>2350</v>
      </c>
      <c r="H21" s="1603">
        <v>2902</v>
      </c>
      <c r="I21" s="1603">
        <v>2707</v>
      </c>
      <c r="J21" s="1662">
        <v>2444</v>
      </c>
      <c r="K21" s="1603">
        <v>3048</v>
      </c>
      <c r="L21" s="1398">
        <v>3028</v>
      </c>
      <c r="M21" s="1603">
        <v>2763</v>
      </c>
      <c r="N21" s="1662">
        <v>3051</v>
      </c>
      <c r="O21" s="1603">
        <v>3266</v>
      </c>
      <c r="P21" s="1398">
        <v>3147</v>
      </c>
      <c r="Q21" s="1603">
        <v>3138</v>
      </c>
      <c r="R21" s="1662">
        <v>3000</v>
      </c>
      <c r="S21" s="1603">
        <v>3338</v>
      </c>
      <c r="T21" s="1398">
        <v>3179</v>
      </c>
      <c r="U21" s="1603">
        <v>2833</v>
      </c>
      <c r="V21" s="1662">
        <v>2319</v>
      </c>
      <c r="W21" s="1603">
        <v>2737</v>
      </c>
      <c r="X21" s="1398">
        <v>2522</v>
      </c>
      <c r="Y21" s="1603">
        <v>2298</v>
      </c>
      <c r="Z21" s="1662">
        <v>2429</v>
      </c>
      <c r="AA21" s="1603">
        <v>2431</v>
      </c>
      <c r="AB21" s="1398">
        <v>2445</v>
      </c>
      <c r="AC21" s="1603">
        <v>2608</v>
      </c>
      <c r="AD21" s="1662">
        <v>2449</v>
      </c>
      <c r="AE21" s="1603">
        <v>3061</v>
      </c>
      <c r="AF21" s="1398">
        <v>2093</v>
      </c>
      <c r="AG21" s="1603">
        <v>2346</v>
      </c>
      <c r="AH21" s="1662">
        <v>2564</v>
      </c>
      <c r="AI21" s="1603">
        <v>1303</v>
      </c>
      <c r="AJ21" s="1398">
        <v>1048</v>
      </c>
      <c r="AK21" s="1398">
        <v>1128</v>
      </c>
      <c r="AL21" s="1397">
        <v>1093</v>
      </c>
      <c r="AM21" s="1398">
        <v>1169</v>
      </c>
      <c r="AN21" s="1398">
        <v>1250</v>
      </c>
      <c r="AO21" s="1398">
        <v>1315</v>
      </c>
      <c r="AP21" s="1397"/>
      <c r="AQ21" s="1603"/>
      <c r="AR21" s="1603"/>
      <c r="AS21" s="1603"/>
      <c r="AT21" s="1662"/>
      <c r="AU21" s="1603"/>
      <c r="AV21" s="1603"/>
      <c r="AW21" s="1603"/>
      <c r="AX21" s="1662"/>
      <c r="AY21" s="1660"/>
      <c r="AZ21" s="1660"/>
      <c r="BA21" s="1660"/>
      <c r="BB21" s="1660"/>
      <c r="BC21" s="1666"/>
      <c r="BD21" s="1662"/>
      <c r="BE21" s="1662"/>
      <c r="BF21" s="1662"/>
      <c r="BG21" s="1629"/>
      <c r="BH21" s="1603">
        <v>10403</v>
      </c>
      <c r="BI21" s="1603">
        <v>11890</v>
      </c>
      <c r="BJ21" s="1596">
        <v>-1487</v>
      </c>
      <c r="BK21" s="1669">
        <v>-0.12506307821698906</v>
      </c>
      <c r="BL21" s="1539"/>
      <c r="BM21" s="1684">
        <v>10403</v>
      </c>
      <c r="BN21" s="1678">
        <v>11890</v>
      </c>
      <c r="BO21" s="1665">
        <v>12551</v>
      </c>
      <c r="BP21" s="1665">
        <v>11669</v>
      </c>
      <c r="BQ21" s="1665">
        <v>9986</v>
      </c>
      <c r="BR21" s="1665">
        <v>9933</v>
      </c>
      <c r="BS21" s="1684">
        <v>10064</v>
      </c>
      <c r="BT21" s="1684">
        <v>4572</v>
      </c>
      <c r="BU21" s="2003">
        <v>4921</v>
      </c>
      <c r="BV21" s="2003">
        <v>4348</v>
      </c>
      <c r="BW21" s="1317">
        <v>5162</v>
      </c>
      <c r="BX21" s="1317">
        <v>4483</v>
      </c>
      <c r="BY21" s="2079">
        <v>1847</v>
      </c>
      <c r="BZ21" s="2084">
        <v>2414</v>
      </c>
      <c r="CA21" s="2084">
        <v>6699</v>
      </c>
      <c r="CB21" s="2077">
        <v>12517</v>
      </c>
      <c r="CC21" s="2065"/>
      <c r="CE21" s="1920">
        <v>-119</v>
      </c>
      <c r="CF21" s="1180">
        <v>-3.7813790911979665E-2</v>
      </c>
      <c r="CG21" s="1180">
        <v>835</v>
      </c>
      <c r="CH21" s="1180">
        <v>0.33077614770412372</v>
      </c>
      <c r="CI21" s="1180"/>
      <c r="CJ21" s="1920">
        <v>8842</v>
      </c>
      <c r="CK21" s="1315">
        <v>1561</v>
      </c>
      <c r="CL21" s="1920"/>
      <c r="CM21" s="1315">
        <v>-1487</v>
      </c>
      <c r="CN21" s="1315">
        <v>-0.12506307821698906</v>
      </c>
      <c r="CO21" s="1315">
        <v>0</v>
      </c>
      <c r="CP21" s="1180">
        <v>0</v>
      </c>
    </row>
    <row r="22" spans="1:104" ht="12.75" customHeight="1" x14ac:dyDescent="0.2">
      <c r="A22" s="1532"/>
      <c r="B22" s="1201" t="s">
        <v>715</v>
      </c>
      <c r="C22" s="1533">
        <v>13317</v>
      </c>
      <c r="D22" s="1536">
        <v>0.30154884289660794</v>
      </c>
      <c r="E22" s="2208"/>
      <c r="F22" s="2905">
        <v>57479</v>
      </c>
      <c r="G22" s="2905">
        <v>38627</v>
      </c>
      <c r="H22" s="1603">
        <v>46979</v>
      </c>
      <c r="I22" s="1603">
        <v>40850</v>
      </c>
      <c r="J22" s="1662">
        <v>44162</v>
      </c>
      <c r="K22" s="2905">
        <v>36845</v>
      </c>
      <c r="L22" s="1603">
        <v>39622</v>
      </c>
      <c r="M22" s="1603">
        <v>30040</v>
      </c>
      <c r="N22" s="1662">
        <v>33406</v>
      </c>
      <c r="O22" s="1603"/>
      <c r="P22" s="1398"/>
      <c r="Q22" s="1603"/>
      <c r="R22" s="1662"/>
      <c r="S22" s="1603"/>
      <c r="T22" s="1398"/>
      <c r="U22" s="1603"/>
      <c r="V22" s="1662"/>
      <c r="W22" s="1603"/>
      <c r="X22" s="1398"/>
      <c r="Y22" s="1603"/>
      <c r="Z22" s="1662"/>
      <c r="AA22" s="1603"/>
      <c r="AB22" s="1398"/>
      <c r="AC22" s="1603"/>
      <c r="AD22" s="1662"/>
      <c r="AE22" s="1603"/>
      <c r="AF22" s="1398"/>
      <c r="AG22" s="1603"/>
      <c r="AH22" s="1662"/>
      <c r="AI22" s="1603"/>
      <c r="AJ22" s="1398"/>
      <c r="AK22" s="1398"/>
      <c r="AL22" s="1397"/>
      <c r="AM22" s="1398"/>
      <c r="AN22" s="1398"/>
      <c r="AO22" s="1398"/>
      <c r="AP22" s="1397"/>
      <c r="AQ22" s="1603"/>
      <c r="AR22" s="1603"/>
      <c r="AS22" s="1603"/>
      <c r="AT22" s="1662"/>
      <c r="AU22" s="1603"/>
      <c r="AV22" s="1603"/>
      <c r="AW22" s="1603"/>
      <c r="AX22" s="1662"/>
      <c r="AY22" s="1660"/>
      <c r="AZ22" s="1660"/>
      <c r="BA22" s="1660"/>
      <c r="BB22" s="1660"/>
      <c r="BC22" s="1666"/>
      <c r="BD22" s="1662"/>
      <c r="BE22" s="1662"/>
      <c r="BF22" s="1662"/>
      <c r="BG22" s="1629"/>
      <c r="BH22" s="1603"/>
      <c r="BI22" s="1603"/>
      <c r="BJ22" s="1596"/>
      <c r="BK22" s="1669"/>
      <c r="BL22" s="1539"/>
      <c r="BM22" s="1684">
        <v>170618</v>
      </c>
      <c r="BN22" s="1678">
        <v>139913</v>
      </c>
      <c r="BO22" s="1665">
        <v>139519</v>
      </c>
      <c r="BP22" s="1665">
        <v>133117</v>
      </c>
      <c r="BQ22" s="1665">
        <v>117773</v>
      </c>
      <c r="BR22" s="1665"/>
      <c r="BS22" s="1684"/>
      <c r="BT22" s="1684"/>
      <c r="BU22" s="2003"/>
      <c r="BV22" s="2003"/>
      <c r="BW22" s="1317"/>
      <c r="BX22" s="1317"/>
      <c r="BY22" s="2079"/>
      <c r="BZ22" s="2084"/>
      <c r="CA22" s="2084"/>
      <c r="CB22" s="2077"/>
      <c r="CC22" s="2065"/>
      <c r="CE22" s="1920"/>
      <c r="CF22" s="1180"/>
      <c r="CG22" s="1180"/>
      <c r="CH22" s="1180"/>
      <c r="CI22" s="1180"/>
      <c r="CJ22" s="1920"/>
      <c r="CK22" s="1315"/>
      <c r="CL22" s="1920"/>
      <c r="CM22" s="1315"/>
      <c r="CN22" s="1315"/>
      <c r="CO22" s="1315"/>
      <c r="CP22" s="1180"/>
    </row>
    <row r="23" spans="1:104" x14ac:dyDescent="0.2">
      <c r="A23" s="1532"/>
      <c r="B23" s="1528" t="s">
        <v>93</v>
      </c>
      <c r="C23" s="1533">
        <v>-1029</v>
      </c>
      <c r="D23" s="1536">
        <v>-9.6267190569744601E-2</v>
      </c>
      <c r="E23" s="2208"/>
      <c r="F23" s="2905">
        <v>9660</v>
      </c>
      <c r="G23" s="2905">
        <v>10054</v>
      </c>
      <c r="H23" s="1603">
        <v>13695</v>
      </c>
      <c r="I23" s="1603">
        <v>12039</v>
      </c>
      <c r="J23" s="1662">
        <v>10689</v>
      </c>
      <c r="K23" s="1603">
        <v>10461</v>
      </c>
      <c r="L23" s="1398">
        <v>8539</v>
      </c>
      <c r="M23" s="1603">
        <v>7434</v>
      </c>
      <c r="N23" s="1662">
        <v>9648</v>
      </c>
      <c r="O23" s="1603">
        <v>10119</v>
      </c>
      <c r="P23" s="1398">
        <v>9722</v>
      </c>
      <c r="Q23" s="1603">
        <v>8944</v>
      </c>
      <c r="R23" s="1662">
        <v>7208</v>
      </c>
      <c r="S23" s="1603">
        <v>7782</v>
      </c>
      <c r="T23" s="1398">
        <v>9077</v>
      </c>
      <c r="U23" s="1603">
        <v>7884</v>
      </c>
      <c r="V23" s="1662">
        <v>7419</v>
      </c>
      <c r="W23" s="1603">
        <v>7565</v>
      </c>
      <c r="X23" s="1398">
        <v>7710</v>
      </c>
      <c r="Y23" s="1603">
        <v>6212</v>
      </c>
      <c r="Z23" s="1662">
        <v>6491</v>
      </c>
      <c r="AA23" s="1603">
        <v>7866</v>
      </c>
      <c r="AB23" s="1398">
        <v>5509</v>
      </c>
      <c r="AC23" s="1603">
        <v>5109</v>
      </c>
      <c r="AD23" s="1662">
        <v>6136</v>
      </c>
      <c r="AE23" s="1603">
        <v>3964</v>
      </c>
      <c r="AF23" s="1398">
        <v>3708</v>
      </c>
      <c r="AG23" s="1603">
        <v>4437</v>
      </c>
      <c r="AH23" s="1662">
        <v>5699</v>
      </c>
      <c r="AI23" s="1603">
        <v>545</v>
      </c>
      <c r="AJ23" s="1398">
        <v>1034</v>
      </c>
      <c r="AK23" s="1398">
        <v>1593</v>
      </c>
      <c r="AL23" s="1397">
        <v>1112</v>
      </c>
      <c r="AM23" s="1398">
        <v>999</v>
      </c>
      <c r="AN23" s="1398">
        <v>931</v>
      </c>
      <c r="AO23" s="1398">
        <v>997</v>
      </c>
      <c r="AP23" s="1397"/>
      <c r="AQ23" s="1603"/>
      <c r="AR23" s="1603"/>
      <c r="AS23" s="1603"/>
      <c r="AT23" s="1662"/>
      <c r="AU23" s="1603"/>
      <c r="AV23" s="1603"/>
      <c r="AW23" s="1603"/>
      <c r="AX23" s="1662"/>
      <c r="AY23" s="1660"/>
      <c r="AZ23" s="1660"/>
      <c r="BA23" s="1660"/>
      <c r="BB23" s="1660"/>
      <c r="BC23" s="1666"/>
      <c r="BD23" s="1662"/>
      <c r="BE23" s="1662"/>
      <c r="BF23" s="1662"/>
      <c r="BG23" s="1629"/>
      <c r="BH23" s="1603">
        <v>46477</v>
      </c>
      <c r="BI23" s="1603">
        <v>36082</v>
      </c>
      <c r="BJ23" s="1596">
        <v>10395</v>
      </c>
      <c r="BK23" s="1536">
        <v>0.28809378637547806</v>
      </c>
      <c r="BL23" s="1539"/>
      <c r="BM23" s="1684">
        <v>46477</v>
      </c>
      <c r="BN23" s="1678">
        <v>36082</v>
      </c>
      <c r="BO23" s="1665">
        <v>35993</v>
      </c>
      <c r="BP23" s="1665">
        <v>32162</v>
      </c>
      <c r="BQ23" s="1665">
        <v>27978</v>
      </c>
      <c r="BR23" s="1665">
        <v>24620</v>
      </c>
      <c r="BS23" s="1684">
        <v>17808</v>
      </c>
      <c r="BT23" s="1684">
        <v>4284</v>
      </c>
      <c r="BU23" s="2003">
        <v>3997</v>
      </c>
      <c r="BV23" s="2003">
        <v>5370</v>
      </c>
      <c r="BW23" s="1317">
        <v>8618</v>
      </c>
      <c r="BX23" s="1317">
        <v>8531</v>
      </c>
      <c r="BY23" s="2079">
        <v>2191</v>
      </c>
      <c r="BZ23" s="2084">
        <v>2896</v>
      </c>
      <c r="CA23" s="2084">
        <v>1887</v>
      </c>
      <c r="CB23" s="2077">
        <v>3440</v>
      </c>
      <c r="CC23" s="2065"/>
      <c r="CE23" s="1920">
        <v>-1183</v>
      </c>
      <c r="CF23" s="1180">
        <v>-0.1216827813207159</v>
      </c>
      <c r="CG23" s="1180">
        <v>154</v>
      </c>
      <c r="CH23" s="1180">
        <v>2.5415590750971301E-2</v>
      </c>
      <c r="CI23" s="1180"/>
      <c r="CJ23" s="1920">
        <v>25621</v>
      </c>
      <c r="CK23" s="1315">
        <v>20856</v>
      </c>
      <c r="CL23" s="1920"/>
      <c r="CM23" s="1315">
        <v>10395</v>
      </c>
      <c r="CN23" s="1315">
        <v>0.28809378637547806</v>
      </c>
      <c r="CO23" s="1315">
        <v>0</v>
      </c>
      <c r="CP23" s="1180">
        <v>0</v>
      </c>
    </row>
    <row r="24" spans="1:104" ht="12.75" customHeight="1" x14ac:dyDescent="0.2">
      <c r="A24" s="1532"/>
      <c r="B24" s="1528" t="s">
        <v>66</v>
      </c>
      <c r="C24" s="1533">
        <v>-1228</v>
      </c>
      <c r="D24" s="1536">
        <v>-0.44236311239193082</v>
      </c>
      <c r="E24" s="2208"/>
      <c r="F24" s="2905">
        <v>1548</v>
      </c>
      <c r="G24" s="2905">
        <v>3037</v>
      </c>
      <c r="H24" s="1603">
        <v>2892</v>
      </c>
      <c r="I24" s="1603">
        <v>2916</v>
      </c>
      <c r="J24" s="1662">
        <v>2776</v>
      </c>
      <c r="K24" s="1603">
        <v>2736</v>
      </c>
      <c r="L24" s="1398">
        <v>2636</v>
      </c>
      <c r="M24" s="1603">
        <v>2398</v>
      </c>
      <c r="N24" s="1662">
        <v>2637</v>
      </c>
      <c r="O24" s="1603">
        <v>2651</v>
      </c>
      <c r="P24" s="1398">
        <v>2703</v>
      </c>
      <c r="Q24" s="1603">
        <v>2666</v>
      </c>
      <c r="R24" s="1662">
        <v>2515</v>
      </c>
      <c r="S24" s="1603">
        <v>2809</v>
      </c>
      <c r="T24" s="1398">
        <v>2362</v>
      </c>
      <c r="U24" s="1603">
        <v>2808</v>
      </c>
      <c r="V24" s="1662">
        <v>2750</v>
      </c>
      <c r="W24" s="1603">
        <v>2480</v>
      </c>
      <c r="X24" s="1398">
        <v>2348</v>
      </c>
      <c r="Y24" s="1603">
        <v>2159</v>
      </c>
      <c r="Z24" s="1662">
        <v>2265</v>
      </c>
      <c r="AA24" s="1603">
        <v>2216</v>
      </c>
      <c r="AB24" s="1398">
        <v>2022</v>
      </c>
      <c r="AC24" s="1603">
        <v>2084</v>
      </c>
      <c r="AD24" s="1662">
        <v>1969</v>
      </c>
      <c r="AE24" s="1603">
        <v>1846</v>
      </c>
      <c r="AF24" s="1398">
        <v>1927</v>
      </c>
      <c r="AG24" s="1603">
        <v>2385</v>
      </c>
      <c r="AH24" s="1662">
        <v>2263</v>
      </c>
      <c r="AI24" s="1603">
        <v>1345</v>
      </c>
      <c r="AJ24" s="1398">
        <v>1204</v>
      </c>
      <c r="AK24" s="1398">
        <v>1323</v>
      </c>
      <c r="AL24" s="1397">
        <v>1159</v>
      </c>
      <c r="AM24" s="1398">
        <v>1182</v>
      </c>
      <c r="AN24" s="1398">
        <v>1109</v>
      </c>
      <c r="AO24" s="1398">
        <v>1096</v>
      </c>
      <c r="AP24" s="1397"/>
      <c r="AQ24" s="1603"/>
      <c r="AR24" s="1603"/>
      <c r="AS24" s="1603"/>
      <c r="AT24" s="1662"/>
      <c r="AU24" s="1603"/>
      <c r="AV24" s="1603"/>
      <c r="AW24" s="1603"/>
      <c r="AX24" s="1662"/>
      <c r="AY24" s="1660"/>
      <c r="AZ24" s="1660"/>
      <c r="BA24" s="1660"/>
      <c r="BB24" s="1660"/>
      <c r="BC24" s="1666"/>
      <c r="BD24" s="1662"/>
      <c r="BE24" s="1662"/>
      <c r="BF24" s="1662"/>
      <c r="BG24" s="1629"/>
      <c r="BH24" s="1603">
        <v>11621</v>
      </c>
      <c r="BI24" s="1603">
        <v>10407</v>
      </c>
      <c r="BJ24" s="1596">
        <v>1214</v>
      </c>
      <c r="BK24" s="1536">
        <v>0.11665225329105409</v>
      </c>
      <c r="BL24" s="1539"/>
      <c r="BM24" s="1684">
        <v>11621</v>
      </c>
      <c r="BN24" s="1678">
        <v>10407</v>
      </c>
      <c r="BO24" s="1665">
        <v>10535</v>
      </c>
      <c r="BP24" s="1665">
        <v>10729</v>
      </c>
      <c r="BQ24" s="1665">
        <v>9252</v>
      </c>
      <c r="BR24" s="1665">
        <v>8291</v>
      </c>
      <c r="BS24" s="1684">
        <v>8421</v>
      </c>
      <c r="BT24" s="1684">
        <v>5031</v>
      </c>
      <c r="BU24" s="2003">
        <v>4451</v>
      </c>
      <c r="BV24" s="2003">
        <v>4811</v>
      </c>
      <c r="BW24" s="1317">
        <v>5141</v>
      </c>
      <c r="BX24" s="1317">
        <v>4966</v>
      </c>
      <c r="BY24" s="2079">
        <v>3000</v>
      </c>
      <c r="BZ24" s="2084">
        <v>2293</v>
      </c>
      <c r="CA24" s="2084">
        <v>1365</v>
      </c>
      <c r="CB24" s="2077">
        <v>4236</v>
      </c>
      <c r="CC24" s="2065"/>
      <c r="CE24" s="1920">
        <v>-67</v>
      </c>
      <c r="CF24" s="1180">
        <v>-2.4787273399926008E-2</v>
      </c>
      <c r="CG24" s="1180">
        <v>-1161</v>
      </c>
      <c r="CH24" s="1180">
        <v>-0.41757583899200479</v>
      </c>
      <c r="CI24" s="1180"/>
      <c r="CJ24" s="1920">
        <v>7671</v>
      </c>
      <c r="CK24" s="1315">
        <v>3950</v>
      </c>
      <c r="CL24" s="1920"/>
      <c r="CM24" s="1315">
        <v>1214</v>
      </c>
      <c r="CN24" s="1315">
        <v>0.11665225329105409</v>
      </c>
      <c r="CO24" s="1315">
        <v>0</v>
      </c>
      <c r="CP24" s="1180">
        <v>0</v>
      </c>
    </row>
    <row r="25" spans="1:104" ht="12.75" customHeight="1" x14ac:dyDescent="0.2">
      <c r="A25" s="1532"/>
      <c r="B25" s="1528" t="s">
        <v>67</v>
      </c>
      <c r="C25" s="1533">
        <v>277</v>
      </c>
      <c r="D25" s="1536">
        <v>6.5376445598300678E-2</v>
      </c>
      <c r="E25" s="2208"/>
      <c r="F25" s="2905">
        <v>4514</v>
      </c>
      <c r="G25" s="2905">
        <v>4548</v>
      </c>
      <c r="H25" s="1603">
        <v>4749</v>
      </c>
      <c r="I25" s="1603">
        <v>4185</v>
      </c>
      <c r="J25" s="1662">
        <v>4237</v>
      </c>
      <c r="K25" s="1603">
        <v>4074</v>
      </c>
      <c r="L25" s="1398">
        <v>4567</v>
      </c>
      <c r="M25" s="1603">
        <v>4363</v>
      </c>
      <c r="N25" s="1662">
        <v>4046</v>
      </c>
      <c r="O25" s="1603">
        <v>4212</v>
      </c>
      <c r="P25" s="1398">
        <v>3941</v>
      </c>
      <c r="Q25" s="1603">
        <v>4810</v>
      </c>
      <c r="R25" s="1662">
        <v>3567</v>
      </c>
      <c r="S25" s="1603">
        <v>3888</v>
      </c>
      <c r="T25" s="1398">
        <v>4251</v>
      </c>
      <c r="U25" s="1603">
        <v>4108</v>
      </c>
      <c r="V25" s="1662">
        <v>3746</v>
      </c>
      <c r="W25" s="1603">
        <v>3902</v>
      </c>
      <c r="X25" s="1398">
        <v>3140</v>
      </c>
      <c r="Y25" s="1603">
        <v>3516</v>
      </c>
      <c r="Z25" s="1662">
        <v>3328</v>
      </c>
      <c r="AA25" s="1603">
        <v>2974</v>
      </c>
      <c r="AB25" s="1398">
        <v>3141</v>
      </c>
      <c r="AC25" s="1603">
        <v>2699</v>
      </c>
      <c r="AD25" s="1662">
        <v>2676</v>
      </c>
      <c r="AE25" s="1603">
        <v>2527</v>
      </c>
      <c r="AF25" s="1398">
        <v>3290</v>
      </c>
      <c r="AG25" s="1603">
        <v>3084</v>
      </c>
      <c r="AH25" s="1662">
        <v>3406</v>
      </c>
      <c r="AI25" s="1603">
        <v>1587</v>
      </c>
      <c r="AJ25" s="1398">
        <v>1370</v>
      </c>
      <c r="AK25" s="1398">
        <v>1347</v>
      </c>
      <c r="AL25" s="1397">
        <v>1265</v>
      </c>
      <c r="AM25" s="1398">
        <v>1249</v>
      </c>
      <c r="AN25" s="1398">
        <v>1371</v>
      </c>
      <c r="AO25" s="1398">
        <v>1427</v>
      </c>
      <c r="AP25" s="1397"/>
      <c r="AQ25" s="1603"/>
      <c r="AR25" s="1603"/>
      <c r="AS25" s="1603"/>
      <c r="AT25" s="1662"/>
      <c r="AU25" s="1603"/>
      <c r="AV25" s="1603"/>
      <c r="AW25" s="1603"/>
      <c r="AX25" s="1662"/>
      <c r="AY25" s="1660"/>
      <c r="AZ25" s="1660"/>
      <c r="BA25" s="1660"/>
      <c r="BB25" s="1660"/>
      <c r="BC25" s="1666"/>
      <c r="BD25" s="1662"/>
      <c r="BE25" s="1662"/>
      <c r="BF25" s="1662"/>
      <c r="BG25" s="1629"/>
      <c r="BH25" s="1603">
        <v>17719</v>
      </c>
      <c r="BI25" s="1603">
        <v>17050</v>
      </c>
      <c r="BJ25" s="1596">
        <v>669</v>
      </c>
      <c r="BK25" s="1536">
        <v>3.9237536656891496E-2</v>
      </c>
      <c r="BL25" s="1539"/>
      <c r="BM25" s="1684">
        <v>17719</v>
      </c>
      <c r="BN25" s="1678">
        <v>17050</v>
      </c>
      <c r="BO25" s="1665">
        <v>16530</v>
      </c>
      <c r="BP25" s="1665">
        <v>15993</v>
      </c>
      <c r="BQ25" s="1665">
        <v>13886</v>
      </c>
      <c r="BR25" s="1665">
        <v>11490</v>
      </c>
      <c r="BS25" s="1684">
        <v>12307</v>
      </c>
      <c r="BT25" s="1684">
        <v>5569</v>
      </c>
      <c r="BU25" s="2003">
        <v>5470</v>
      </c>
      <c r="BV25" s="2003">
        <v>5005</v>
      </c>
      <c r="BW25" s="1317">
        <v>5056</v>
      </c>
      <c r="BX25" s="1317">
        <v>2571</v>
      </c>
      <c r="BY25" s="2079">
        <v>3930</v>
      </c>
      <c r="BZ25" s="2084">
        <v>2980</v>
      </c>
      <c r="CA25" s="2084">
        <v>2274</v>
      </c>
      <c r="CB25" s="2077">
        <v>4205</v>
      </c>
      <c r="CC25" s="2065"/>
      <c r="CE25" s="1920">
        <v>626</v>
      </c>
      <c r="CF25" s="1180">
        <v>0.15884293326566862</v>
      </c>
      <c r="CG25" s="1180">
        <v>-349</v>
      </c>
      <c r="CH25" s="1180">
        <v>-9.346648766736794E-2</v>
      </c>
      <c r="CI25" s="1180"/>
      <c r="CJ25" s="1920">
        <v>12976</v>
      </c>
      <c r="CK25" s="1315">
        <v>4743</v>
      </c>
      <c r="CL25" s="1920"/>
      <c r="CM25" s="1315">
        <v>669</v>
      </c>
      <c r="CN25" s="1315">
        <v>3.9237536656891496E-2</v>
      </c>
      <c r="CO25" s="1315">
        <v>0</v>
      </c>
      <c r="CP25" s="1180">
        <v>0</v>
      </c>
    </row>
    <row r="26" spans="1:104" ht="12.75" customHeight="1" x14ac:dyDescent="0.2">
      <c r="A26" s="1532"/>
      <c r="B26" s="1528" t="s">
        <v>62</v>
      </c>
      <c r="C26" s="1533">
        <v>329</v>
      </c>
      <c r="D26" s="1536">
        <v>0.20536828963795256</v>
      </c>
      <c r="E26" s="2208"/>
      <c r="F26" s="2905">
        <v>1931</v>
      </c>
      <c r="G26" s="2905">
        <v>1129</v>
      </c>
      <c r="H26" s="1603">
        <v>822</v>
      </c>
      <c r="I26" s="1603">
        <v>1074</v>
      </c>
      <c r="J26" s="1662">
        <v>1602</v>
      </c>
      <c r="K26" s="1603">
        <v>1413</v>
      </c>
      <c r="L26" s="1398">
        <v>619</v>
      </c>
      <c r="M26" s="1603">
        <v>1245</v>
      </c>
      <c r="N26" s="1662">
        <v>1465</v>
      </c>
      <c r="O26" s="1603">
        <v>1211</v>
      </c>
      <c r="P26" s="1398">
        <v>773</v>
      </c>
      <c r="Q26" s="1603">
        <v>1022</v>
      </c>
      <c r="R26" s="1662">
        <v>1939</v>
      </c>
      <c r="S26" s="1603">
        <v>559</v>
      </c>
      <c r="T26" s="1398">
        <v>667</v>
      </c>
      <c r="U26" s="1603">
        <v>830</v>
      </c>
      <c r="V26" s="1662">
        <v>1093</v>
      </c>
      <c r="W26" s="1603">
        <v>699</v>
      </c>
      <c r="X26" s="1398">
        <v>481</v>
      </c>
      <c r="Y26" s="1603">
        <v>750</v>
      </c>
      <c r="Z26" s="1662">
        <v>1778</v>
      </c>
      <c r="AA26" s="1603">
        <v>1121</v>
      </c>
      <c r="AB26" s="1398">
        <v>965</v>
      </c>
      <c r="AC26" s="1603">
        <v>817</v>
      </c>
      <c r="AD26" s="1662">
        <v>1237</v>
      </c>
      <c r="AE26" s="1603">
        <v>393</v>
      </c>
      <c r="AF26" s="1398">
        <v>442</v>
      </c>
      <c r="AG26" s="1603">
        <v>502</v>
      </c>
      <c r="AH26" s="1662">
        <v>562</v>
      </c>
      <c r="AI26" s="1603">
        <v>81</v>
      </c>
      <c r="AJ26" s="1398">
        <v>48</v>
      </c>
      <c r="AK26" s="1398">
        <v>56</v>
      </c>
      <c r="AL26" s="1397">
        <v>38</v>
      </c>
      <c r="AM26" s="1398">
        <v>41</v>
      </c>
      <c r="AN26" s="1398">
        <v>52</v>
      </c>
      <c r="AO26" s="1398">
        <v>30</v>
      </c>
      <c r="AP26" s="1397"/>
      <c r="AQ26" s="1603"/>
      <c r="AR26" s="1603"/>
      <c r="AS26" s="1603"/>
      <c r="AT26" s="1662"/>
      <c r="AU26" s="1603"/>
      <c r="AV26" s="1603"/>
      <c r="AW26" s="1603"/>
      <c r="AX26" s="1662"/>
      <c r="AY26" s="1660"/>
      <c r="AZ26" s="1660"/>
      <c r="BA26" s="1660"/>
      <c r="BB26" s="1660"/>
      <c r="BC26" s="1666"/>
      <c r="BD26" s="1662"/>
      <c r="BE26" s="1662"/>
      <c r="BF26" s="1662"/>
      <c r="BG26" s="1629"/>
      <c r="BH26" s="1603">
        <v>4627</v>
      </c>
      <c r="BI26" s="1603">
        <v>4742</v>
      </c>
      <c r="BJ26" s="1596">
        <v>-115</v>
      </c>
      <c r="BK26" s="1536">
        <v>-2.4251370729649935E-2</v>
      </c>
      <c r="BL26" s="1539"/>
      <c r="BM26" s="1684">
        <v>4627</v>
      </c>
      <c r="BN26" s="1678">
        <v>4742</v>
      </c>
      <c r="BO26" s="1665">
        <v>4945</v>
      </c>
      <c r="BP26" s="1665">
        <v>3149</v>
      </c>
      <c r="BQ26" s="1665">
        <v>3708</v>
      </c>
      <c r="BR26" s="1665">
        <v>4140</v>
      </c>
      <c r="BS26" s="1684">
        <v>1899</v>
      </c>
      <c r="BT26" s="1684">
        <v>223</v>
      </c>
      <c r="BU26" s="2003">
        <v>181</v>
      </c>
      <c r="BV26" s="2003">
        <v>238</v>
      </c>
      <c r="BW26" s="1317">
        <v>170</v>
      </c>
      <c r="BX26" s="1317">
        <v>129</v>
      </c>
      <c r="BY26" s="2079">
        <v>551</v>
      </c>
      <c r="BZ26" s="2084">
        <v>175</v>
      </c>
      <c r="CA26" s="2084">
        <v>114</v>
      </c>
      <c r="CB26" s="2077">
        <v>35</v>
      </c>
      <c r="CC26" s="2065"/>
      <c r="CE26" s="1920">
        <v>-154</v>
      </c>
      <c r="CF26" s="1180">
        <v>-0.19922380336351875</v>
      </c>
      <c r="CG26" s="1180">
        <v>483</v>
      </c>
      <c r="CH26" s="1180">
        <v>0.40459209300147131</v>
      </c>
      <c r="CI26" s="1180"/>
      <c r="CJ26" s="1920">
        <v>3329</v>
      </c>
      <c r="CK26" s="1315">
        <v>1298</v>
      </c>
      <c r="CL26" s="1920"/>
      <c r="CM26" s="1315">
        <v>-115</v>
      </c>
      <c r="CN26" s="1315">
        <v>-2.4251370729649935E-2</v>
      </c>
      <c r="CO26" s="1315">
        <v>0</v>
      </c>
      <c r="CP26" s="1180">
        <v>0</v>
      </c>
    </row>
    <row r="27" spans="1:104" ht="12.75" customHeight="1" x14ac:dyDescent="0.2">
      <c r="A27" s="1532"/>
      <c r="B27" s="1528" t="s">
        <v>68</v>
      </c>
      <c r="C27" s="1533">
        <v>2246</v>
      </c>
      <c r="D27" s="1536">
        <v>0.57991221275497029</v>
      </c>
      <c r="E27" s="2208"/>
      <c r="F27" s="2905">
        <v>6119</v>
      </c>
      <c r="G27" s="2905">
        <v>5468</v>
      </c>
      <c r="H27" s="1603">
        <v>5575</v>
      </c>
      <c r="I27" s="1603">
        <v>4408</v>
      </c>
      <c r="J27" s="1662">
        <v>3873</v>
      </c>
      <c r="K27" s="1603">
        <v>4343</v>
      </c>
      <c r="L27" s="1398">
        <v>4232</v>
      </c>
      <c r="M27" s="1603">
        <v>3608</v>
      </c>
      <c r="N27" s="1662">
        <v>4785</v>
      </c>
      <c r="O27" s="1603">
        <v>3690</v>
      </c>
      <c r="P27" s="1398">
        <v>5573</v>
      </c>
      <c r="Q27" s="1603">
        <v>4241</v>
      </c>
      <c r="R27" s="1662">
        <v>4852</v>
      </c>
      <c r="S27" s="1603">
        <v>3649</v>
      </c>
      <c r="T27" s="1398">
        <v>6520</v>
      </c>
      <c r="U27" s="1603">
        <v>6568</v>
      </c>
      <c r="V27" s="1662">
        <v>4895</v>
      </c>
      <c r="W27" s="1603">
        <v>4169</v>
      </c>
      <c r="X27" s="1398">
        <v>6518</v>
      </c>
      <c r="Y27" s="1603">
        <v>4524</v>
      </c>
      <c r="Z27" s="1662">
        <v>5014</v>
      </c>
      <c r="AA27" s="1603">
        <v>5105</v>
      </c>
      <c r="AB27" s="1398">
        <v>3641</v>
      </c>
      <c r="AC27" s="1603">
        <v>2765</v>
      </c>
      <c r="AD27" s="1662">
        <v>4603</v>
      </c>
      <c r="AE27" s="1603">
        <v>4060</v>
      </c>
      <c r="AF27" s="1398">
        <v>4237</v>
      </c>
      <c r="AG27" s="1603">
        <v>3965</v>
      </c>
      <c r="AH27" s="1662">
        <v>4820</v>
      </c>
      <c r="AI27" s="1603">
        <v>3382</v>
      </c>
      <c r="AJ27" s="1398">
        <v>3078</v>
      </c>
      <c r="AK27" s="1398">
        <v>3287</v>
      </c>
      <c r="AL27" s="1397">
        <v>3054</v>
      </c>
      <c r="AM27" s="1398">
        <v>2838</v>
      </c>
      <c r="AN27" s="1398">
        <v>3018</v>
      </c>
      <c r="AO27" s="1398">
        <v>2680</v>
      </c>
      <c r="AP27" s="1397"/>
      <c r="AQ27" s="1603"/>
      <c r="AR27" s="1603"/>
      <c r="AS27" s="1603"/>
      <c r="AT27" s="1662"/>
      <c r="AU27" s="1603"/>
      <c r="AV27" s="1603"/>
      <c r="AW27" s="1603"/>
      <c r="AX27" s="1662"/>
      <c r="AY27" s="1660"/>
      <c r="AZ27" s="1660"/>
      <c r="BA27" s="1660"/>
      <c r="BB27" s="1660"/>
      <c r="BC27" s="1666"/>
      <c r="BD27" s="1662"/>
      <c r="BE27" s="1662"/>
      <c r="BF27" s="1662"/>
      <c r="BG27" s="1629"/>
      <c r="BH27" s="1603">
        <v>19324</v>
      </c>
      <c r="BI27" s="1603">
        <v>16968</v>
      </c>
      <c r="BJ27" s="1596">
        <v>2356</v>
      </c>
      <c r="BK27" s="1536">
        <v>0.13884959924563886</v>
      </c>
      <c r="BL27" s="1539"/>
      <c r="BM27" s="1684">
        <v>19324</v>
      </c>
      <c r="BN27" s="1678">
        <v>16968</v>
      </c>
      <c r="BO27" s="1665">
        <v>18356</v>
      </c>
      <c r="BP27" s="1665">
        <v>21632</v>
      </c>
      <c r="BQ27" s="1665">
        <v>20225</v>
      </c>
      <c r="BR27" s="1665">
        <v>16114</v>
      </c>
      <c r="BS27" s="1684">
        <v>17082</v>
      </c>
      <c r="BT27" s="1684">
        <v>12801</v>
      </c>
      <c r="BU27" s="2003">
        <v>11446</v>
      </c>
      <c r="BV27" s="2003">
        <v>8776</v>
      </c>
      <c r="BW27" s="1317">
        <v>13146</v>
      </c>
      <c r="BX27" s="1317">
        <v>12344</v>
      </c>
      <c r="BY27" s="2079">
        <v>12437</v>
      </c>
      <c r="BZ27" s="2084">
        <v>11037</v>
      </c>
      <c r="CA27" s="2084">
        <v>6277</v>
      </c>
      <c r="CB27" s="2077">
        <v>7632</v>
      </c>
      <c r="CC27" s="2065"/>
      <c r="CE27" s="1920">
        <v>-1341</v>
      </c>
      <c r="CF27" s="1180">
        <v>-0.24062443926072133</v>
      </c>
      <c r="CG27" s="1180">
        <v>3587</v>
      </c>
      <c r="CH27" s="1180">
        <v>0.82053665201569159</v>
      </c>
      <c r="CI27" s="1180"/>
      <c r="CJ27" s="1920">
        <v>12625</v>
      </c>
      <c r="CK27" s="1315">
        <v>6699</v>
      </c>
      <c r="CL27" s="1920"/>
      <c r="CM27" s="1315">
        <v>2356</v>
      </c>
      <c r="CN27" s="1315">
        <v>0.13884959924563886</v>
      </c>
      <c r="CO27" s="1315">
        <v>0</v>
      </c>
      <c r="CP27" s="1180">
        <v>0</v>
      </c>
    </row>
    <row r="28" spans="1:104" ht="12.75" customHeight="1" x14ac:dyDescent="0.2">
      <c r="A28" s="1532"/>
      <c r="B28" s="1528" t="s">
        <v>69</v>
      </c>
      <c r="C28" s="1533">
        <v>1784</v>
      </c>
      <c r="D28" s="1536" t="s">
        <v>41</v>
      </c>
      <c r="E28" s="2855"/>
      <c r="F28" s="2905">
        <v>2249</v>
      </c>
      <c r="G28" s="2905">
        <v>427</v>
      </c>
      <c r="H28" s="1603">
        <v>427</v>
      </c>
      <c r="I28" s="1603">
        <v>446</v>
      </c>
      <c r="J28" s="1662">
        <v>465</v>
      </c>
      <c r="K28" s="1603">
        <v>460</v>
      </c>
      <c r="L28" s="1398">
        <v>457</v>
      </c>
      <c r="M28" s="1603">
        <v>449</v>
      </c>
      <c r="N28" s="1662">
        <v>484</v>
      </c>
      <c r="O28" s="1603">
        <v>473</v>
      </c>
      <c r="P28" s="1398">
        <v>501</v>
      </c>
      <c r="Q28" s="1603">
        <v>507</v>
      </c>
      <c r="R28" s="1662">
        <v>497</v>
      </c>
      <c r="S28" s="1603">
        <v>436</v>
      </c>
      <c r="T28" s="1398">
        <v>421</v>
      </c>
      <c r="U28" s="1603">
        <v>355</v>
      </c>
      <c r="V28" s="1662">
        <v>368</v>
      </c>
      <c r="W28" s="1603">
        <v>410</v>
      </c>
      <c r="X28" s="1398">
        <v>334</v>
      </c>
      <c r="Y28" s="1603">
        <v>317</v>
      </c>
      <c r="Z28" s="1662">
        <v>309</v>
      </c>
      <c r="AA28" s="1603">
        <v>309</v>
      </c>
      <c r="AB28" s="1398">
        <v>290</v>
      </c>
      <c r="AC28" s="1603">
        <v>273</v>
      </c>
      <c r="AD28" s="1662">
        <v>262</v>
      </c>
      <c r="AE28" s="1603">
        <v>201</v>
      </c>
      <c r="AF28" s="1398">
        <v>213</v>
      </c>
      <c r="AG28" s="1603">
        <v>406</v>
      </c>
      <c r="AH28" s="1662">
        <v>442</v>
      </c>
      <c r="AI28" s="1603">
        <v>552</v>
      </c>
      <c r="AJ28" s="1398">
        <v>320</v>
      </c>
      <c r="AK28" s="1398">
        <v>313</v>
      </c>
      <c r="AL28" s="1397">
        <v>243</v>
      </c>
      <c r="AM28" s="1398">
        <v>201</v>
      </c>
      <c r="AN28" s="1398">
        <v>258</v>
      </c>
      <c r="AO28" s="1398">
        <v>276</v>
      </c>
      <c r="AP28" s="1397"/>
      <c r="AQ28" s="1603"/>
      <c r="AR28" s="1603"/>
      <c r="AS28" s="1603"/>
      <c r="AT28" s="1662"/>
      <c r="AU28" s="1603"/>
      <c r="AV28" s="1603"/>
      <c r="AW28" s="1603"/>
      <c r="AX28" s="1662"/>
      <c r="AY28" s="1660"/>
      <c r="AZ28" s="1660"/>
      <c r="BA28" s="1660"/>
      <c r="BB28" s="1660"/>
      <c r="BC28" s="1666"/>
      <c r="BD28" s="1662"/>
      <c r="BE28" s="1662"/>
      <c r="BF28" s="1662"/>
      <c r="BG28" s="1629"/>
      <c r="BH28" s="1603">
        <v>1765</v>
      </c>
      <c r="BI28" s="1603">
        <v>1850</v>
      </c>
      <c r="BJ28" s="1596">
        <v>-85</v>
      </c>
      <c r="BK28" s="1536">
        <v>-4.5945945945945948E-2</v>
      </c>
      <c r="BL28" s="1539"/>
      <c r="BM28" s="1684">
        <v>1765</v>
      </c>
      <c r="BN28" s="1678">
        <v>1850</v>
      </c>
      <c r="BO28" s="1665">
        <v>1978</v>
      </c>
      <c r="BP28" s="1665">
        <v>1580</v>
      </c>
      <c r="BQ28" s="1665">
        <v>1370</v>
      </c>
      <c r="BR28" s="1665">
        <v>1134</v>
      </c>
      <c r="BS28" s="1684">
        <v>1262</v>
      </c>
      <c r="BT28" s="1684">
        <v>1428</v>
      </c>
      <c r="BU28" s="2003">
        <v>997</v>
      </c>
      <c r="BV28" s="2003">
        <v>1123</v>
      </c>
      <c r="BW28" s="1317">
        <v>1098</v>
      </c>
      <c r="BX28" s="1317">
        <v>1106</v>
      </c>
      <c r="BY28" s="2079">
        <v>1063</v>
      </c>
      <c r="BZ28" s="2084">
        <v>893</v>
      </c>
      <c r="CA28" s="2084">
        <v>470</v>
      </c>
      <c r="CB28" s="2077">
        <v>1291</v>
      </c>
      <c r="CC28" s="2065"/>
      <c r="CE28" s="1920">
        <v>-44</v>
      </c>
      <c r="CF28" s="1180">
        <v>-8.7824351297405193E-2</v>
      </c>
      <c r="CG28" s="1180">
        <v>1828</v>
      </c>
      <c r="CH28" s="1180" t="e">
        <v>#VALUE!</v>
      </c>
      <c r="CI28" s="1180"/>
      <c r="CJ28" s="1920">
        <v>1390</v>
      </c>
      <c r="CK28" s="1315">
        <v>375</v>
      </c>
      <c r="CL28" s="1920"/>
      <c r="CM28" s="1315">
        <v>-85</v>
      </c>
      <c r="CN28" s="1315">
        <v>-4.5945945945945948E-2</v>
      </c>
      <c r="CO28" s="1315">
        <v>0</v>
      </c>
      <c r="CP28" s="1180">
        <v>0</v>
      </c>
    </row>
    <row r="29" spans="1:104" ht="12.75" customHeight="1" x14ac:dyDescent="0.2">
      <c r="A29" s="1532"/>
      <c r="B29" s="1528" t="s">
        <v>684</v>
      </c>
      <c r="C29" s="1533">
        <v>1926</v>
      </c>
      <c r="D29" s="1536" t="s">
        <v>41</v>
      </c>
      <c r="E29" s="2855"/>
      <c r="F29" s="2905">
        <v>1926</v>
      </c>
      <c r="G29" s="2972">
        <v>0</v>
      </c>
      <c r="H29" s="1548">
        <v>0</v>
      </c>
      <c r="I29" s="1548">
        <v>0</v>
      </c>
      <c r="J29" s="1037">
        <v>0</v>
      </c>
      <c r="K29" s="2972">
        <v>0</v>
      </c>
      <c r="L29" s="1548">
        <v>0</v>
      </c>
      <c r="M29" s="1548">
        <v>0</v>
      </c>
      <c r="N29" s="1037">
        <v>0</v>
      </c>
      <c r="O29" s="1603"/>
      <c r="P29" s="1398"/>
      <c r="Q29" s="1603"/>
      <c r="R29" s="1662"/>
      <c r="S29" s="1603"/>
      <c r="T29" s="1398"/>
      <c r="U29" s="1603"/>
      <c r="V29" s="1662"/>
      <c r="W29" s="1603"/>
      <c r="X29" s="1398"/>
      <c r="Y29" s="1603"/>
      <c r="Z29" s="1662"/>
      <c r="AA29" s="1603"/>
      <c r="AB29" s="1398"/>
      <c r="AC29" s="1603"/>
      <c r="AD29" s="1662"/>
      <c r="AE29" s="1603"/>
      <c r="AF29" s="1398"/>
      <c r="AG29" s="1603"/>
      <c r="AH29" s="1662"/>
      <c r="AI29" s="1603"/>
      <c r="AJ29" s="1398"/>
      <c r="AK29" s="1398"/>
      <c r="AL29" s="1397"/>
      <c r="AM29" s="1398"/>
      <c r="AN29" s="1398"/>
      <c r="AO29" s="1398"/>
      <c r="AP29" s="1397"/>
      <c r="AQ29" s="1603"/>
      <c r="AR29" s="1603"/>
      <c r="AS29" s="1603"/>
      <c r="AT29" s="1662"/>
      <c r="AU29" s="1603"/>
      <c r="AV29" s="1603"/>
      <c r="AW29" s="1603"/>
      <c r="AX29" s="1662"/>
      <c r="AY29" s="1660"/>
      <c r="AZ29" s="1660"/>
      <c r="BA29" s="1660"/>
      <c r="BB29" s="1660"/>
      <c r="BC29" s="1666"/>
      <c r="BD29" s="1662"/>
      <c r="BE29" s="1662"/>
      <c r="BF29" s="1662"/>
      <c r="BG29" s="1629"/>
      <c r="BH29" s="1603"/>
      <c r="BI29" s="1603"/>
      <c r="BJ29" s="1596"/>
      <c r="BK29" s="1536"/>
      <c r="BL29" s="1539"/>
      <c r="BM29" s="1263">
        <v>0</v>
      </c>
      <c r="BN29" s="2025">
        <v>0</v>
      </c>
      <c r="BO29" s="1775">
        <v>0</v>
      </c>
      <c r="BP29" s="1775">
        <v>0</v>
      </c>
      <c r="BQ29" s="1775">
        <v>0</v>
      </c>
      <c r="BR29" s="1665"/>
      <c r="BS29" s="1684"/>
      <c r="BT29" s="1684"/>
      <c r="BU29" s="2003"/>
      <c r="BV29" s="2003"/>
      <c r="BW29" s="1317"/>
      <c r="BX29" s="1317"/>
      <c r="BY29" s="2079"/>
      <c r="BZ29" s="2084"/>
      <c r="CA29" s="2084"/>
      <c r="CB29" s="2077"/>
      <c r="CC29" s="2065"/>
      <c r="CE29" s="1920"/>
      <c r="CF29" s="1180"/>
      <c r="CG29" s="1180"/>
      <c r="CH29" s="1180"/>
      <c r="CI29" s="1180"/>
      <c r="CJ29" s="1920"/>
      <c r="CK29" s="1315"/>
      <c r="CL29" s="1920"/>
      <c r="CM29" s="1315"/>
      <c r="CN29" s="1315"/>
      <c r="CO29" s="1315"/>
      <c r="CP29" s="1180"/>
    </row>
    <row r="30" spans="1:104" ht="12.75" customHeight="1" x14ac:dyDescent="0.2">
      <c r="A30" s="1528"/>
      <c r="B30" s="1528" t="s">
        <v>70</v>
      </c>
      <c r="C30" s="1533">
        <v>115</v>
      </c>
      <c r="D30" s="1536">
        <v>2.6744186046511627</v>
      </c>
      <c r="E30" s="2208"/>
      <c r="F30" s="2905">
        <v>158</v>
      </c>
      <c r="G30" s="2905">
        <v>77</v>
      </c>
      <c r="H30" s="1603">
        <v>109</v>
      </c>
      <c r="I30" s="1603">
        <v>55</v>
      </c>
      <c r="J30" s="1725">
        <v>43</v>
      </c>
      <c r="K30" s="1595">
        <v>108</v>
      </c>
      <c r="L30" s="1398">
        <v>73</v>
      </c>
      <c r="M30" s="1603">
        <v>208</v>
      </c>
      <c r="N30" s="1725">
        <v>77</v>
      </c>
      <c r="O30" s="1595">
        <v>269</v>
      </c>
      <c r="P30" s="1398">
        <v>397</v>
      </c>
      <c r="Q30" s="1603">
        <v>375</v>
      </c>
      <c r="R30" s="1725">
        <v>433</v>
      </c>
      <c r="S30" s="1595">
        <v>874</v>
      </c>
      <c r="T30" s="1398">
        <v>624</v>
      </c>
      <c r="U30" s="1603">
        <v>699</v>
      </c>
      <c r="V30" s="1725">
        <v>647</v>
      </c>
      <c r="W30" s="1595">
        <v>591</v>
      </c>
      <c r="X30" s="1398">
        <v>1793</v>
      </c>
      <c r="Y30" s="1603">
        <v>1133</v>
      </c>
      <c r="Z30" s="1725">
        <v>1429</v>
      </c>
      <c r="AA30" s="1595">
        <v>1196</v>
      </c>
      <c r="AB30" s="1398">
        <v>1202</v>
      </c>
      <c r="AC30" s="1603">
        <v>917</v>
      </c>
      <c r="AD30" s="1725">
        <v>614</v>
      </c>
      <c r="AE30" s="1595">
        <v>762</v>
      </c>
      <c r="AF30" s="1398">
        <v>1031</v>
      </c>
      <c r="AG30" s="1603">
        <v>1301</v>
      </c>
      <c r="AH30" s="1725">
        <v>1665</v>
      </c>
      <c r="AI30" s="1595">
        <v>1123</v>
      </c>
      <c r="AJ30" s="1398">
        <v>1039</v>
      </c>
      <c r="AK30" s="1398">
        <v>1211</v>
      </c>
      <c r="AL30" s="1397">
        <v>1162</v>
      </c>
      <c r="AM30" s="1398">
        <v>503</v>
      </c>
      <c r="AN30" s="1398">
        <v>1204</v>
      </c>
      <c r="AO30" s="1398">
        <v>1025</v>
      </c>
      <c r="AP30" s="1397"/>
      <c r="AQ30" s="1603"/>
      <c r="AR30" s="1603"/>
      <c r="AS30" s="1603"/>
      <c r="AT30" s="1662"/>
      <c r="AU30" s="1603"/>
      <c r="AV30" s="1603"/>
      <c r="AW30" s="1603"/>
      <c r="AX30" s="1662"/>
      <c r="AY30" s="1660"/>
      <c r="AZ30" s="1660"/>
      <c r="BA30" s="1660"/>
      <c r="BB30" s="1660"/>
      <c r="BC30" s="1666"/>
      <c r="BD30" s="1662"/>
      <c r="BE30" s="1662"/>
      <c r="BF30" s="1662"/>
      <c r="BG30" s="1629"/>
      <c r="BH30" s="1603">
        <v>284</v>
      </c>
      <c r="BI30" s="1603">
        <v>466</v>
      </c>
      <c r="BJ30" s="1596">
        <v>-182</v>
      </c>
      <c r="BK30" s="1536">
        <v>-0.3905579399141631</v>
      </c>
      <c r="BL30" s="1539"/>
      <c r="BM30" s="1684">
        <v>284</v>
      </c>
      <c r="BN30" s="1678">
        <v>466</v>
      </c>
      <c r="BO30" s="1665">
        <v>1474</v>
      </c>
      <c r="BP30" s="1665">
        <v>2844</v>
      </c>
      <c r="BQ30" s="1665">
        <v>4946</v>
      </c>
      <c r="BR30" s="1665">
        <v>3929</v>
      </c>
      <c r="BS30" s="1684">
        <v>4759</v>
      </c>
      <c r="BT30" s="1684">
        <v>4535</v>
      </c>
      <c r="BU30" s="2003">
        <v>3033</v>
      </c>
      <c r="BV30" s="2003">
        <v>4075</v>
      </c>
      <c r="BW30" s="1317">
        <v>11506</v>
      </c>
      <c r="BX30" s="1317">
        <v>16878</v>
      </c>
      <c r="BY30" s="2079">
        <v>1510</v>
      </c>
      <c r="BZ30" s="2084">
        <v>538</v>
      </c>
      <c r="CA30" s="2084">
        <v>590</v>
      </c>
      <c r="CB30" s="2077">
        <v>836</v>
      </c>
      <c r="CC30" s="2065"/>
      <c r="CE30" s="1920">
        <v>-324</v>
      </c>
      <c r="CF30" s="1180">
        <v>-0.81612090680100757</v>
      </c>
      <c r="CG30" s="1180">
        <v>439</v>
      </c>
      <c r="CH30" s="1180">
        <v>3.4905395114521705</v>
      </c>
      <c r="CI30" s="1180"/>
      <c r="CJ30" s="1920">
        <v>358</v>
      </c>
      <c r="CK30" s="1315">
        <v>-74</v>
      </c>
      <c r="CL30" s="1920"/>
      <c r="CM30" s="1315">
        <v>-182</v>
      </c>
      <c r="CN30" s="1315">
        <v>-0.3905579399141631</v>
      </c>
      <c r="CO30" s="1315">
        <v>0</v>
      </c>
      <c r="CP30" s="1180">
        <v>0</v>
      </c>
    </row>
    <row r="31" spans="1:104" ht="12.75" customHeight="1" x14ac:dyDescent="0.2">
      <c r="A31" s="1532"/>
      <c r="B31" s="1528" t="s">
        <v>164</v>
      </c>
      <c r="C31" s="1533">
        <v>0</v>
      </c>
      <c r="D31" s="1536">
        <v>0</v>
      </c>
      <c r="E31" s="2208"/>
      <c r="F31" s="2035">
        <v>0</v>
      </c>
      <c r="G31" s="2972">
        <v>0</v>
      </c>
      <c r="H31" s="1548">
        <v>0</v>
      </c>
      <c r="I31" s="1548">
        <v>0</v>
      </c>
      <c r="J31" s="1037">
        <v>0</v>
      </c>
      <c r="K31" s="1625">
        <v>0</v>
      </c>
      <c r="L31" s="1009">
        <v>0</v>
      </c>
      <c r="M31" s="1548">
        <v>1890</v>
      </c>
      <c r="N31" s="1037">
        <v>0</v>
      </c>
      <c r="O31" s="1625">
        <v>0</v>
      </c>
      <c r="P31" s="1009">
        <v>0</v>
      </c>
      <c r="Q31" s="1548">
        <v>0</v>
      </c>
      <c r="R31" s="1037">
        <v>0</v>
      </c>
      <c r="S31" s="1625">
        <v>407</v>
      </c>
      <c r="T31" s="1009">
        <v>1632</v>
      </c>
      <c r="U31" s="1548">
        <v>0</v>
      </c>
      <c r="V31" s="1037">
        <v>0</v>
      </c>
      <c r="W31" s="1625">
        <v>7348</v>
      </c>
      <c r="X31" s="1009">
        <v>0</v>
      </c>
      <c r="Y31" s="1548">
        <v>0</v>
      </c>
      <c r="Z31" s="1037">
        <v>0</v>
      </c>
      <c r="AA31" s="1625">
        <v>0</v>
      </c>
      <c r="AB31" s="1009">
        <v>0</v>
      </c>
      <c r="AC31" s="1548">
        <v>0</v>
      </c>
      <c r="AD31" s="1037">
        <v>0</v>
      </c>
      <c r="AE31" s="1625">
        <v>0</v>
      </c>
      <c r="AF31" s="1009">
        <v>2985</v>
      </c>
      <c r="AG31" s="1548">
        <v>3820</v>
      </c>
      <c r="AH31" s="1037">
        <v>0</v>
      </c>
      <c r="AI31" s="1625">
        <v>2758</v>
      </c>
      <c r="AJ31" s="1009">
        <v>408</v>
      </c>
      <c r="AK31" s="1009">
        <v>0</v>
      </c>
      <c r="AL31" s="1037">
        <v>0</v>
      </c>
      <c r="AM31" s="1625">
        <v>0</v>
      </c>
      <c r="AN31" s="1009">
        <v>0</v>
      </c>
      <c r="AO31" s="1009">
        <v>0</v>
      </c>
      <c r="AP31" s="1726"/>
      <c r="AQ31" s="1727"/>
      <c r="AR31" s="1728"/>
      <c r="AS31" s="1728"/>
      <c r="AT31" s="1729"/>
      <c r="AU31" s="1603"/>
      <c r="AV31" s="1603"/>
      <c r="AW31" s="1728"/>
      <c r="AX31" s="1729"/>
      <c r="AY31" s="1730"/>
      <c r="AZ31" s="1548"/>
      <c r="BA31" s="1548"/>
      <c r="BB31" s="1548"/>
      <c r="BC31" s="1731"/>
      <c r="BD31" s="1732"/>
      <c r="BE31" s="1662"/>
      <c r="BF31" s="1662"/>
      <c r="BG31" s="1629"/>
      <c r="BH31" s="1065">
        <v>0</v>
      </c>
      <c r="BI31" s="1603">
        <v>1890</v>
      </c>
      <c r="BJ31" s="1596">
        <v>-1890</v>
      </c>
      <c r="BK31" s="1536">
        <v>-1</v>
      </c>
      <c r="BL31" s="1539"/>
      <c r="BM31" s="1263">
        <v>0</v>
      </c>
      <c r="BN31" s="1245">
        <v>1890</v>
      </c>
      <c r="BO31" s="1775">
        <v>0</v>
      </c>
      <c r="BP31" s="1665">
        <v>2039</v>
      </c>
      <c r="BQ31" s="1733">
        <v>7348</v>
      </c>
      <c r="BR31" s="1733">
        <v>0</v>
      </c>
      <c r="BS31" s="1734">
        <v>6805</v>
      </c>
      <c r="BT31" s="1734">
        <v>3166</v>
      </c>
      <c r="BU31" s="926">
        <v>0</v>
      </c>
      <c r="BV31" s="2139">
        <v>0</v>
      </c>
      <c r="BW31" s="2139">
        <v>0</v>
      </c>
      <c r="BX31" s="2099">
        <v>0</v>
      </c>
      <c r="BY31" s="2093">
        <v>0</v>
      </c>
      <c r="BZ31" s="2093">
        <v>0</v>
      </c>
      <c r="CA31" s="2084">
        <v>0</v>
      </c>
      <c r="CB31" s="2077">
        <v>0</v>
      </c>
      <c r="CC31" s="2065"/>
      <c r="CE31" s="1920">
        <v>0</v>
      </c>
      <c r="CF31" s="1180" t="e">
        <v>#DIV/0!</v>
      </c>
      <c r="CG31" s="1180">
        <v>0</v>
      </c>
      <c r="CH31" s="1180" t="e">
        <v>#DIV/0!</v>
      </c>
      <c r="CI31" s="1180"/>
      <c r="CJ31" s="1920">
        <v>1890</v>
      </c>
      <c r="CK31" s="1315">
        <v>-1890</v>
      </c>
      <c r="CL31" s="1920"/>
      <c r="CM31" s="1315">
        <v>-1890</v>
      </c>
      <c r="CN31" s="1315">
        <v>-1</v>
      </c>
      <c r="CO31" s="1315">
        <v>0</v>
      </c>
      <c r="CP31" s="1180">
        <v>0</v>
      </c>
    </row>
    <row r="32" spans="1:104" ht="12.75" customHeight="1" x14ac:dyDescent="0.2">
      <c r="A32" s="1532"/>
      <c r="B32" s="954" t="s">
        <v>185</v>
      </c>
      <c r="C32" s="1533">
        <v>177</v>
      </c>
      <c r="D32" s="1536" t="s">
        <v>41</v>
      </c>
      <c r="E32" s="2208"/>
      <c r="F32" s="2035">
        <v>177</v>
      </c>
      <c r="G32" s="2905">
        <v>803</v>
      </c>
      <c r="H32" s="1548">
        <v>0</v>
      </c>
      <c r="I32" s="1548">
        <v>0</v>
      </c>
      <c r="J32" s="1037">
        <v>0</v>
      </c>
      <c r="K32" s="1625">
        <v>0</v>
      </c>
      <c r="L32" s="1009">
        <v>0</v>
      </c>
      <c r="M32" s="1548">
        <v>0</v>
      </c>
      <c r="N32" s="1037">
        <v>0</v>
      </c>
      <c r="O32" s="1625">
        <v>0</v>
      </c>
      <c r="P32" s="1009">
        <v>0</v>
      </c>
      <c r="Q32" s="1548">
        <v>0</v>
      </c>
      <c r="R32" s="1037">
        <v>0</v>
      </c>
      <c r="S32" s="1625">
        <v>407</v>
      </c>
      <c r="T32" s="1009">
        <v>1632</v>
      </c>
      <c r="U32" s="1548">
        <v>0</v>
      </c>
      <c r="V32" s="1037">
        <v>0</v>
      </c>
      <c r="W32" s="1625">
        <v>7348</v>
      </c>
      <c r="X32" s="1009">
        <v>0</v>
      </c>
      <c r="Y32" s="1548">
        <v>0</v>
      </c>
      <c r="Z32" s="1037">
        <v>0</v>
      </c>
      <c r="AA32" s="1625">
        <v>0</v>
      </c>
      <c r="AB32" s="1009">
        <v>0</v>
      </c>
      <c r="AC32" s="1548">
        <v>0</v>
      </c>
      <c r="AD32" s="1037">
        <v>0</v>
      </c>
      <c r="AE32" s="1625">
        <v>0</v>
      </c>
      <c r="AF32" s="1009">
        <v>2985</v>
      </c>
      <c r="AG32" s="1548">
        <v>3820</v>
      </c>
      <c r="AH32" s="1037">
        <v>0</v>
      </c>
      <c r="AI32" s="1625">
        <v>2758</v>
      </c>
      <c r="AJ32" s="1009">
        <v>408</v>
      </c>
      <c r="AK32" s="1009">
        <v>0</v>
      </c>
      <c r="AL32" s="1037">
        <v>0</v>
      </c>
      <c r="AM32" s="1625">
        <v>0</v>
      </c>
      <c r="AN32" s="1009">
        <v>0</v>
      </c>
      <c r="AO32" s="1009">
        <v>0</v>
      </c>
      <c r="AP32" s="1726"/>
      <c r="AQ32" s="1727"/>
      <c r="AR32" s="1728"/>
      <c r="AS32" s="1728"/>
      <c r="AT32" s="1729"/>
      <c r="AU32" s="1603"/>
      <c r="AV32" s="1603"/>
      <c r="AW32" s="1728"/>
      <c r="AX32" s="1729"/>
      <c r="AY32" s="1730"/>
      <c r="AZ32" s="1548"/>
      <c r="BA32" s="1548"/>
      <c r="BB32" s="1548"/>
      <c r="BC32" s="1731"/>
      <c r="BD32" s="1732"/>
      <c r="BE32" s="1662"/>
      <c r="BF32" s="1662"/>
      <c r="BG32" s="1629"/>
      <c r="BH32" s="1603">
        <v>803</v>
      </c>
      <c r="BI32" s="1065">
        <v>0</v>
      </c>
      <c r="BJ32" s="1596">
        <v>803</v>
      </c>
      <c r="BK32" s="1536" t="s">
        <v>41</v>
      </c>
      <c r="BL32" s="1539"/>
      <c r="BM32" s="1265">
        <v>803</v>
      </c>
      <c r="BN32" s="1245">
        <v>0</v>
      </c>
      <c r="BO32" s="1775">
        <v>0</v>
      </c>
      <c r="BP32" s="1665">
        <v>0</v>
      </c>
      <c r="BQ32" s="1733">
        <v>0</v>
      </c>
      <c r="BR32" s="1733"/>
      <c r="BS32" s="1734"/>
      <c r="BT32" s="1734"/>
      <c r="BU32" s="926"/>
      <c r="BV32" s="2139"/>
      <c r="BW32" s="2139"/>
      <c r="BX32" s="2099"/>
      <c r="BY32" s="2090"/>
      <c r="BZ32" s="2090"/>
      <c r="CA32" s="2084"/>
      <c r="CB32" s="2077"/>
      <c r="CC32" s="2065"/>
      <c r="CE32" s="1920"/>
      <c r="CF32" s="1180"/>
      <c r="CG32" s="1180"/>
      <c r="CH32" s="1180"/>
      <c r="CI32" s="1180"/>
      <c r="CJ32" s="1920"/>
      <c r="CK32" s="1315"/>
      <c r="CL32" s="1920"/>
      <c r="CM32" s="1315"/>
      <c r="CN32" s="1315"/>
      <c r="CO32" s="1315"/>
      <c r="CP32" s="1180"/>
    </row>
    <row r="33" spans="1:94" ht="12.75" customHeight="1" x14ac:dyDescent="0.2">
      <c r="A33" s="1532"/>
      <c r="B33" s="1201" t="s">
        <v>621</v>
      </c>
      <c r="C33" s="1533">
        <v>0</v>
      </c>
      <c r="D33" s="1536">
        <v>0</v>
      </c>
      <c r="E33" s="2208"/>
      <c r="F33" s="2035">
        <v>0</v>
      </c>
      <c r="G33" s="2972">
        <v>0</v>
      </c>
      <c r="H33" s="1548">
        <v>0</v>
      </c>
      <c r="I33" s="1548">
        <v>0</v>
      </c>
      <c r="J33" s="1037">
        <v>0</v>
      </c>
      <c r="K33" s="1625">
        <v>17872</v>
      </c>
      <c r="L33" s="1009"/>
      <c r="M33" s="1548"/>
      <c r="N33" s="1037"/>
      <c r="O33" s="1625"/>
      <c r="P33" s="1009"/>
      <c r="Q33" s="1548"/>
      <c r="R33" s="1037"/>
      <c r="S33" s="1625"/>
      <c r="T33" s="1009"/>
      <c r="U33" s="1548"/>
      <c r="V33" s="1037"/>
      <c r="W33" s="1625"/>
      <c r="X33" s="1009"/>
      <c r="Y33" s="1548"/>
      <c r="Z33" s="1037"/>
      <c r="AA33" s="1625"/>
      <c r="AB33" s="1009"/>
      <c r="AC33" s="1548"/>
      <c r="AD33" s="1037"/>
      <c r="AE33" s="1625"/>
      <c r="AF33" s="1009"/>
      <c r="AG33" s="1548"/>
      <c r="AH33" s="1037"/>
      <c r="AI33" s="1625"/>
      <c r="AJ33" s="1009"/>
      <c r="AK33" s="1009"/>
      <c r="AL33" s="1037"/>
      <c r="AM33" s="1625"/>
      <c r="AN33" s="1009"/>
      <c r="AO33" s="1009"/>
      <c r="AP33" s="1037"/>
      <c r="AQ33" s="1727"/>
      <c r="AR33" s="1727"/>
      <c r="AS33" s="1727"/>
      <c r="AT33" s="1735"/>
      <c r="AU33" s="1603"/>
      <c r="AV33" s="1603"/>
      <c r="AW33" s="1727"/>
      <c r="AX33" s="1735"/>
      <c r="AY33" s="1548"/>
      <c r="AZ33" s="1548"/>
      <c r="BA33" s="1548"/>
      <c r="BB33" s="1548"/>
      <c r="BC33" s="1731"/>
      <c r="BD33" s="1732"/>
      <c r="BE33" s="1662"/>
      <c r="BF33" s="1662"/>
      <c r="BG33" s="1629"/>
      <c r="BH33" s="1065">
        <v>0</v>
      </c>
      <c r="BI33" s="1603">
        <v>17872</v>
      </c>
      <c r="BJ33" s="1596">
        <v>-17872</v>
      </c>
      <c r="BK33" s="1536">
        <v>0</v>
      </c>
      <c r="BL33" s="1539"/>
      <c r="BM33" s="1263">
        <v>0</v>
      </c>
      <c r="BN33" s="1245">
        <v>17872</v>
      </c>
      <c r="BO33" s="1775">
        <v>0</v>
      </c>
      <c r="BP33" s="1775">
        <v>0</v>
      </c>
      <c r="BQ33" s="1775">
        <v>0</v>
      </c>
      <c r="BR33" s="1733">
        <v>0</v>
      </c>
      <c r="BS33" s="1734"/>
      <c r="BT33" s="1734"/>
      <c r="BU33" s="926"/>
      <c r="BV33" s="2139"/>
      <c r="BW33" s="2139"/>
      <c r="BX33" s="2099"/>
      <c r="BY33" s="2090"/>
      <c r="BZ33" s="2090"/>
      <c r="CA33" s="2084"/>
      <c r="CB33" s="2077"/>
      <c r="CC33" s="2065"/>
      <c r="CE33" s="1920"/>
      <c r="CF33" s="1180"/>
      <c r="CG33" s="1180"/>
      <c r="CH33" s="1180"/>
      <c r="CI33" s="1180"/>
      <c r="CJ33" s="1920"/>
      <c r="CK33" s="1315"/>
      <c r="CL33" s="1920"/>
      <c r="CM33" s="1315"/>
      <c r="CN33" s="1315"/>
      <c r="CO33" s="1315"/>
      <c r="CP33" s="1180"/>
    </row>
    <row r="34" spans="1:94" ht="12.75" customHeight="1" x14ac:dyDescent="0.2">
      <c r="A34" s="1528"/>
      <c r="B34" s="1528" t="s">
        <v>380</v>
      </c>
      <c r="C34" s="1533">
        <v>0</v>
      </c>
      <c r="D34" s="1536">
        <v>0</v>
      </c>
      <c r="E34" s="2208"/>
      <c r="F34" s="2972">
        <v>0</v>
      </c>
      <c r="G34" s="2972">
        <v>0</v>
      </c>
      <c r="H34" s="1615">
        <v>0</v>
      </c>
      <c r="I34" s="1615">
        <v>0</v>
      </c>
      <c r="J34" s="1725">
        <v>0</v>
      </c>
      <c r="K34" s="1009">
        <v>0</v>
      </c>
      <c r="L34" s="1009">
        <v>0</v>
      </c>
      <c r="M34" s="1615">
        <v>0</v>
      </c>
      <c r="N34" s="1725">
        <v>0</v>
      </c>
      <c r="O34" s="1009">
        <v>0</v>
      </c>
      <c r="P34" s="1009">
        <v>0</v>
      </c>
      <c r="Q34" s="1615">
        <v>0</v>
      </c>
      <c r="R34" s="1725">
        <v>0</v>
      </c>
      <c r="S34" s="1009">
        <v>0</v>
      </c>
      <c r="T34" s="1009">
        <v>15957</v>
      </c>
      <c r="U34" s="1615">
        <v>0</v>
      </c>
      <c r="V34" s="1725">
        <v>0</v>
      </c>
      <c r="W34" s="1009">
        <v>0</v>
      </c>
      <c r="X34" s="1009">
        <v>0</v>
      </c>
      <c r="Y34" s="1615">
        <v>0</v>
      </c>
      <c r="Z34" s="1725">
        <v>0</v>
      </c>
      <c r="AA34" s="1009">
        <v>0</v>
      </c>
      <c r="AB34" s="1009">
        <v>0</v>
      </c>
      <c r="AC34" s="1615">
        <v>0</v>
      </c>
      <c r="AD34" s="1725">
        <v>0</v>
      </c>
      <c r="AE34" s="1009">
        <v>0</v>
      </c>
      <c r="AF34" s="1009">
        <v>0</v>
      </c>
      <c r="AG34" s="1615">
        <v>0</v>
      </c>
      <c r="AH34" s="1725">
        <v>0</v>
      </c>
      <c r="AI34" s="1009">
        <v>438</v>
      </c>
      <c r="AJ34" s="1009">
        <v>0</v>
      </c>
      <c r="AK34" s="1625">
        <v>0</v>
      </c>
      <c r="AL34" s="1725">
        <v>0</v>
      </c>
      <c r="AM34" s="1009">
        <v>0</v>
      </c>
      <c r="AN34" s="1009">
        <v>0</v>
      </c>
      <c r="AO34" s="1625">
        <v>0</v>
      </c>
      <c r="AP34" s="1725"/>
      <c r="AQ34" s="1603"/>
      <c r="AR34" s="1727"/>
      <c r="AS34" s="1727"/>
      <c r="AT34" s="1735"/>
      <c r="AU34" s="1727"/>
      <c r="AV34" s="1727"/>
      <c r="AW34" s="1727"/>
      <c r="AX34" s="1736"/>
      <c r="AY34" s="1687"/>
      <c r="AZ34" s="1687"/>
      <c r="BA34" s="1687"/>
      <c r="BB34" s="1687"/>
      <c r="BC34" s="1737"/>
      <c r="BD34" s="1736"/>
      <c r="BE34" s="1736"/>
      <c r="BF34" s="1736"/>
      <c r="BG34" s="1621"/>
      <c r="BH34" s="1065">
        <v>0</v>
      </c>
      <c r="BI34" s="1065">
        <v>0</v>
      </c>
      <c r="BJ34" s="1596">
        <v>0</v>
      </c>
      <c r="BK34" s="1536">
        <v>0</v>
      </c>
      <c r="BL34" s="1738"/>
      <c r="BM34" s="1263">
        <v>0</v>
      </c>
      <c r="BN34" s="2025">
        <v>0</v>
      </c>
      <c r="BO34" s="1775">
        <v>0</v>
      </c>
      <c r="BP34" s="1665">
        <v>15957</v>
      </c>
      <c r="BQ34" s="1733">
        <v>0</v>
      </c>
      <c r="BR34" s="1733">
        <v>0</v>
      </c>
      <c r="BS34" s="1038">
        <v>0</v>
      </c>
      <c r="BT34" s="1038">
        <v>438</v>
      </c>
      <c r="BU34" s="926">
        <v>0</v>
      </c>
      <c r="BV34" s="2099">
        <v>0</v>
      </c>
      <c r="BW34" s="2099">
        <v>0</v>
      </c>
      <c r="BX34" s="2099">
        <v>0</v>
      </c>
      <c r="BY34" s="2090">
        <v>0</v>
      </c>
      <c r="BZ34" s="2091">
        <v>0</v>
      </c>
      <c r="CA34" s="2084"/>
      <c r="CB34" s="2077">
        <v>0</v>
      </c>
      <c r="CC34" s="2065"/>
      <c r="CE34" s="1920">
        <v>0</v>
      </c>
      <c r="CF34" s="1180" t="e">
        <v>#DIV/0!</v>
      </c>
      <c r="CG34" s="1180">
        <v>0</v>
      </c>
      <c r="CH34" s="1180" t="e">
        <v>#DIV/0!</v>
      </c>
      <c r="CI34" s="1180"/>
      <c r="CJ34" s="1920">
        <v>0</v>
      </c>
      <c r="CK34" s="1315">
        <v>0</v>
      </c>
      <c r="CL34" s="1920"/>
      <c r="CM34" s="1315">
        <v>0</v>
      </c>
      <c r="CN34" s="1315" t="e">
        <v>#DIV/0!</v>
      </c>
      <c r="CO34" s="1315">
        <v>0</v>
      </c>
      <c r="CP34" s="1180" t="e">
        <v>#DIV/0!</v>
      </c>
    </row>
    <row r="35" spans="1:94" ht="12.75" customHeight="1" x14ac:dyDescent="0.2">
      <c r="A35" s="1532"/>
      <c r="B35" s="1528"/>
      <c r="C35" s="1534">
        <v>17914</v>
      </c>
      <c r="D35" s="1535">
        <v>0.26403525579612952</v>
      </c>
      <c r="E35" s="2208"/>
      <c r="F35" s="1712">
        <v>85761</v>
      </c>
      <c r="G35" s="1722">
        <v>64170</v>
      </c>
      <c r="H35" s="1720">
        <v>75248</v>
      </c>
      <c r="I35" s="1720">
        <v>65973</v>
      </c>
      <c r="J35" s="1663">
        <v>67847</v>
      </c>
      <c r="K35" s="1720">
        <v>78312</v>
      </c>
      <c r="L35" s="1720">
        <v>60745</v>
      </c>
      <c r="M35" s="1720">
        <v>51635</v>
      </c>
      <c r="N35" s="1663">
        <v>56548</v>
      </c>
      <c r="O35" s="1720">
        <v>61171</v>
      </c>
      <c r="P35" s="1720">
        <v>59621</v>
      </c>
      <c r="Q35" s="1720">
        <v>54807</v>
      </c>
      <c r="R35" s="1663">
        <v>53731</v>
      </c>
      <c r="S35" s="1720">
        <v>57911</v>
      </c>
      <c r="T35" s="1720">
        <v>76063</v>
      </c>
      <c r="U35" s="1720">
        <v>54638</v>
      </c>
      <c r="V35" s="1663">
        <v>50590</v>
      </c>
      <c r="W35" s="1720">
        <v>61262</v>
      </c>
      <c r="X35" s="1720">
        <v>48727</v>
      </c>
      <c r="Y35" s="1720">
        <v>42954</v>
      </c>
      <c r="Z35" s="1663">
        <v>53543</v>
      </c>
      <c r="AA35" s="1720">
        <v>55888</v>
      </c>
      <c r="AB35" s="1720">
        <v>44687</v>
      </c>
      <c r="AC35" s="1720">
        <v>40149</v>
      </c>
      <c r="AD35" s="1663">
        <v>46170</v>
      </c>
      <c r="AE35" s="1720">
        <v>41115</v>
      </c>
      <c r="AF35" s="1720">
        <v>41827</v>
      </c>
      <c r="AG35" s="1720">
        <v>46182</v>
      </c>
      <c r="AH35" s="1663">
        <v>40441</v>
      </c>
      <c r="AI35" s="1720">
        <v>29043</v>
      </c>
      <c r="AJ35" s="1720">
        <v>19351</v>
      </c>
      <c r="AK35" s="1720">
        <v>19894</v>
      </c>
      <c r="AL35" s="1663">
        <v>23244</v>
      </c>
      <c r="AM35" s="1739">
        <v>22838</v>
      </c>
      <c r="AN35" s="1739">
        <v>26863</v>
      </c>
      <c r="AO35" s="1720">
        <v>19909</v>
      </c>
      <c r="AP35" s="1663">
        <v>0</v>
      </c>
      <c r="AQ35" s="1720">
        <v>27693</v>
      </c>
      <c r="AR35" s="1739">
        <v>37922</v>
      </c>
      <c r="AS35" s="1720">
        <v>19480</v>
      </c>
      <c r="AT35" s="1663">
        <v>22187</v>
      </c>
      <c r="AU35" s="1739">
        <v>0</v>
      </c>
      <c r="AV35" s="1739">
        <v>0</v>
      </c>
      <c r="AW35" s="1739">
        <v>0</v>
      </c>
      <c r="AX35" s="1663">
        <v>0</v>
      </c>
      <c r="AY35" s="1739">
        <v>0</v>
      </c>
      <c r="AZ35" s="1739">
        <v>87449</v>
      </c>
      <c r="BA35" s="1721">
        <v>74128</v>
      </c>
      <c r="BB35" s="1739">
        <v>106349</v>
      </c>
      <c r="BC35" s="1661">
        <v>100905</v>
      </c>
      <c r="BD35" s="1663">
        <v>75317</v>
      </c>
      <c r="BE35" s="1663">
        <v>70703</v>
      </c>
      <c r="BF35" s="1739">
        <v>91522</v>
      </c>
      <c r="BG35" s="1629"/>
      <c r="BH35" s="1720">
        <v>273238</v>
      </c>
      <c r="BI35" s="1720">
        <v>247240</v>
      </c>
      <c r="BJ35" s="1630">
        <v>25998</v>
      </c>
      <c r="BK35" s="1631">
        <v>0.1051528878822197</v>
      </c>
      <c r="BL35" s="1528"/>
      <c r="BM35" s="2479">
        <v>273238</v>
      </c>
      <c r="BN35" s="1721">
        <v>247240</v>
      </c>
      <c r="BO35" s="1938">
        <v>229330</v>
      </c>
      <c r="BP35" s="1938">
        <v>239202</v>
      </c>
      <c r="BQ35" s="1632">
        <v>206486</v>
      </c>
      <c r="BR35" s="1632">
        <v>186894</v>
      </c>
      <c r="BS35" s="1632">
        <v>162760</v>
      </c>
      <c r="BT35" s="1632">
        <v>88366</v>
      </c>
      <c r="BU35" s="2094">
        <v>91835</v>
      </c>
      <c r="BV35" s="2094">
        <v>87572</v>
      </c>
      <c r="BW35" s="2094">
        <v>84553</v>
      </c>
      <c r="BX35" s="2094">
        <v>98154</v>
      </c>
      <c r="BY35" s="2094">
        <v>125171</v>
      </c>
      <c r="BZ35" s="2095">
        <v>105485</v>
      </c>
      <c r="CA35" s="2095">
        <v>67435</v>
      </c>
      <c r="CB35" s="2080">
        <v>154490</v>
      </c>
      <c r="CC35" s="2065"/>
      <c r="CE35" s="1920">
        <v>1124</v>
      </c>
      <c r="CF35" s="1180">
        <v>1.8852417772261452E-2</v>
      </c>
      <c r="CG35" s="1180">
        <v>16790</v>
      </c>
      <c r="CH35" s="1180">
        <v>0.24518283802386806</v>
      </c>
      <c r="CI35" s="1180"/>
      <c r="CJ35" s="1920">
        <v>168928</v>
      </c>
      <c r="CK35" s="1315">
        <v>104310</v>
      </c>
      <c r="CL35" s="1920"/>
      <c r="CM35" s="1315">
        <v>25998</v>
      </c>
      <c r="CN35" s="1315">
        <v>0.1051528878822197</v>
      </c>
      <c r="CO35" s="1315">
        <v>0</v>
      </c>
      <c r="CP35" s="1180">
        <v>0</v>
      </c>
    </row>
    <row r="36" spans="1:94" s="2304" customFormat="1" ht="24.95" customHeight="1" thickBot="1" x14ac:dyDescent="0.25">
      <c r="A36" s="3157" t="s">
        <v>183</v>
      </c>
      <c r="B36" s="3151"/>
      <c r="C36" s="1534">
        <v>-60</v>
      </c>
      <c r="D36" s="1535">
        <v>-7.177892092355545E-3</v>
      </c>
      <c r="E36" s="1498"/>
      <c r="F36" s="1508">
        <v>8299</v>
      </c>
      <c r="G36" s="2196">
        <v>9273</v>
      </c>
      <c r="H36" s="1633">
        <v>5960</v>
      </c>
      <c r="I36" s="1633">
        <v>6757</v>
      </c>
      <c r="J36" s="1634">
        <v>8359</v>
      </c>
      <c r="K36" s="1633">
        <v>-10154</v>
      </c>
      <c r="L36" s="1633">
        <v>5858</v>
      </c>
      <c r="M36" s="1633">
        <v>-5523</v>
      </c>
      <c r="N36" s="1634">
        <v>-1479</v>
      </c>
      <c r="O36" s="1633">
        <v>3555</v>
      </c>
      <c r="P36" s="1633">
        <v>1217</v>
      </c>
      <c r="Q36" s="1633">
        <v>141</v>
      </c>
      <c r="R36" s="1634">
        <v>-32</v>
      </c>
      <c r="S36" s="1633">
        <v>-2649</v>
      </c>
      <c r="T36" s="1633">
        <v>-24621</v>
      </c>
      <c r="U36" s="1633">
        <v>1294</v>
      </c>
      <c r="V36" s="1634">
        <v>4185</v>
      </c>
      <c r="W36" s="1633">
        <v>-4747</v>
      </c>
      <c r="X36" s="1633">
        <v>-5234</v>
      </c>
      <c r="Y36" s="1633">
        <v>-2251</v>
      </c>
      <c r="Z36" s="1634">
        <v>8718</v>
      </c>
      <c r="AA36" s="1633">
        <v>15385</v>
      </c>
      <c r="AB36" s="1633">
        <v>3582</v>
      </c>
      <c r="AC36" s="1633">
        <v>3851</v>
      </c>
      <c r="AD36" s="1634">
        <v>6773</v>
      </c>
      <c r="AE36" s="1633">
        <v>4091</v>
      </c>
      <c r="AF36" s="1633">
        <v>-4202</v>
      </c>
      <c r="AG36" s="1633">
        <v>-6708</v>
      </c>
      <c r="AH36" s="1634">
        <v>-9391</v>
      </c>
      <c r="AI36" s="1633">
        <v>-10556</v>
      </c>
      <c r="AJ36" s="1633">
        <v>-2154</v>
      </c>
      <c r="AK36" s="1633">
        <v>-2104</v>
      </c>
      <c r="AL36" s="1634">
        <v>2768</v>
      </c>
      <c r="AM36" s="1633">
        <v>4874</v>
      </c>
      <c r="AN36" s="1633">
        <v>5755</v>
      </c>
      <c r="AO36" s="1615">
        <v>174</v>
      </c>
      <c r="AP36" s="1634">
        <v>0</v>
      </c>
      <c r="AQ36" s="1615">
        <v>-27693</v>
      </c>
      <c r="AR36" s="1633">
        <v>-37922</v>
      </c>
      <c r="AS36" s="1615">
        <v>-19480</v>
      </c>
      <c r="AT36" s="1634">
        <v>-22187</v>
      </c>
      <c r="AU36" s="1633">
        <v>0</v>
      </c>
      <c r="AV36" s="1633">
        <v>0</v>
      </c>
      <c r="AW36" s="1633">
        <v>0</v>
      </c>
      <c r="AX36" s="1634">
        <v>0</v>
      </c>
      <c r="AY36" s="1633">
        <v>0</v>
      </c>
      <c r="AZ36" s="1599">
        <v>22134</v>
      </c>
      <c r="BA36" s="1598">
        <v>14943</v>
      </c>
      <c r="BB36" s="1599">
        <v>48674</v>
      </c>
      <c r="BC36" s="1599">
        <v>29246</v>
      </c>
      <c r="BD36" s="1599">
        <v>26110</v>
      </c>
      <c r="BE36" s="1599">
        <v>22330</v>
      </c>
      <c r="BF36" s="1599">
        <v>33584</v>
      </c>
      <c r="BG36" s="1618"/>
      <c r="BH36" s="1633">
        <v>30349</v>
      </c>
      <c r="BI36" s="1633">
        <v>-11298</v>
      </c>
      <c r="BJ36" s="1395">
        <v>41647</v>
      </c>
      <c r="BK36" s="1535" t="s">
        <v>41</v>
      </c>
      <c r="BL36" s="1549"/>
      <c r="BM36" s="1684">
        <v>30349</v>
      </c>
      <c r="BN36" s="1634">
        <v>-11298</v>
      </c>
      <c r="BO36" s="1933">
        <v>4881</v>
      </c>
      <c r="BP36" s="1933">
        <v>-21791</v>
      </c>
      <c r="BQ36" s="1403">
        <v>-3514</v>
      </c>
      <c r="BR36" s="1602">
        <v>29591</v>
      </c>
      <c r="BS36" s="1403">
        <v>-9405</v>
      </c>
      <c r="BT36" s="1403">
        <v>-8880</v>
      </c>
      <c r="BU36" s="2081">
        <v>14384</v>
      </c>
      <c r="BV36" s="2081">
        <v>10057</v>
      </c>
      <c r="BW36" s="2081">
        <v>-9759</v>
      </c>
      <c r="BX36" s="2096">
        <v>-7366</v>
      </c>
      <c r="BY36" s="2096">
        <v>62391</v>
      </c>
      <c r="BZ36" s="2082">
        <v>44985</v>
      </c>
      <c r="CA36" s="2082">
        <v>28124</v>
      </c>
      <c r="CB36" s="2140">
        <v>57268</v>
      </c>
      <c r="CC36" s="2141"/>
      <c r="CE36" s="1920">
        <v>4641</v>
      </c>
      <c r="CF36" s="1180">
        <v>3.8134757600657356</v>
      </c>
      <c r="CG36" s="1180">
        <v>-4701</v>
      </c>
      <c r="CH36" s="1180">
        <v>-3.8206536521580912</v>
      </c>
      <c r="CI36" s="1180"/>
      <c r="CJ36" s="1920">
        <v>-1144</v>
      </c>
      <c r="CK36" s="1315">
        <v>31493</v>
      </c>
      <c r="CL36" s="1920"/>
      <c r="CM36" s="1315">
        <v>41647</v>
      </c>
      <c r="CN36" s="1315">
        <v>-3.6862276509116656</v>
      </c>
      <c r="CO36" s="1315">
        <v>0</v>
      </c>
      <c r="CP36" s="1180" t="e">
        <v>#VALUE!</v>
      </c>
    </row>
    <row r="37" spans="1:94" s="2304" customFormat="1" ht="12.75" customHeight="1" thickTop="1" x14ac:dyDescent="0.2">
      <c r="A37" s="2992"/>
      <c r="B37" s="2232" t="s">
        <v>332</v>
      </c>
      <c r="C37" s="1534">
        <v>36</v>
      </c>
      <c r="D37" s="1535">
        <v>4.8257372654155493E-2</v>
      </c>
      <c r="E37" s="1498"/>
      <c r="F37" s="1713">
        <v>782</v>
      </c>
      <c r="G37" s="2980">
        <v>792</v>
      </c>
      <c r="H37" s="1742">
        <v>745</v>
      </c>
      <c r="I37" s="1742">
        <v>754</v>
      </c>
      <c r="J37" s="1400">
        <v>746</v>
      </c>
      <c r="K37" s="1742">
        <v>878</v>
      </c>
      <c r="L37" s="1742">
        <v>747</v>
      </c>
      <c r="M37" s="1742">
        <v>734</v>
      </c>
      <c r="N37" s="1400">
        <v>754</v>
      </c>
      <c r="O37" s="1742">
        <v>749</v>
      </c>
      <c r="P37" s="1742">
        <v>746</v>
      </c>
      <c r="Q37" s="1742">
        <v>748</v>
      </c>
      <c r="R37" s="1400">
        <v>750</v>
      </c>
      <c r="S37" s="1742">
        <v>750</v>
      </c>
      <c r="T37" s="1742">
        <v>750</v>
      </c>
      <c r="U37" s="1742">
        <v>748</v>
      </c>
      <c r="V37" s="1400">
        <v>753</v>
      </c>
      <c r="W37" s="1742">
        <v>752</v>
      </c>
      <c r="X37" s="1742">
        <v>752</v>
      </c>
      <c r="Y37" s="1742">
        <v>752</v>
      </c>
      <c r="Z37" s="1400">
        <v>748</v>
      </c>
      <c r="AA37" s="1742">
        <v>749</v>
      </c>
      <c r="AB37" s="1742">
        <v>676</v>
      </c>
      <c r="AC37" s="1742">
        <v>751</v>
      </c>
      <c r="AD37" s="1400">
        <v>525</v>
      </c>
      <c r="AE37" s="1741">
        <v>0</v>
      </c>
      <c r="AF37" s="1743">
        <v>0</v>
      </c>
      <c r="AG37" s="1743">
        <v>0</v>
      </c>
      <c r="AH37" s="1744">
        <v>0</v>
      </c>
      <c r="AI37" s="1743">
        <v>0</v>
      </c>
      <c r="AJ37" s="1743">
        <v>0</v>
      </c>
      <c r="AK37" s="1743">
        <v>0</v>
      </c>
      <c r="AL37" s="1409">
        <v>0</v>
      </c>
      <c r="AM37" s="1395"/>
      <c r="AN37" s="1205"/>
      <c r="AO37" s="1395"/>
      <c r="AP37" s="1409"/>
      <c r="AQ37" s="1395"/>
      <c r="AR37" s="1205"/>
      <c r="AS37" s="1395"/>
      <c r="AT37" s="1409"/>
      <c r="AU37" s="1205"/>
      <c r="AV37" s="1205"/>
      <c r="AW37" s="1205"/>
      <c r="AX37" s="1409"/>
      <c r="AY37" s="1205"/>
      <c r="AZ37" s="1048"/>
      <c r="BA37" s="1745"/>
      <c r="BB37" s="1048"/>
      <c r="BC37" s="1048"/>
      <c r="BD37" s="1048"/>
      <c r="BE37" s="1048"/>
      <c r="BF37" s="1048"/>
      <c r="BG37" s="1746"/>
      <c r="BH37" s="1395">
        <v>3037</v>
      </c>
      <c r="BI37" s="1743">
        <v>3113</v>
      </c>
      <c r="BJ37" s="1395">
        <v>-76</v>
      </c>
      <c r="BK37" s="1535">
        <v>-2.4413748795374238E-2</v>
      </c>
      <c r="BL37" s="1814"/>
      <c r="BM37" s="2479">
        <v>3037</v>
      </c>
      <c r="BN37" s="1678">
        <v>3113</v>
      </c>
      <c r="BO37" s="1665">
        <v>2993</v>
      </c>
      <c r="BP37" s="1665">
        <v>3001</v>
      </c>
      <c r="BQ37" s="1747">
        <v>3004</v>
      </c>
      <c r="BR37" s="1747">
        <v>2701</v>
      </c>
      <c r="BS37" s="1747">
        <v>0</v>
      </c>
      <c r="BT37" s="1747">
        <v>0</v>
      </c>
      <c r="BU37" s="2142">
        <v>0</v>
      </c>
      <c r="BV37" s="2142">
        <v>0</v>
      </c>
      <c r="BW37" s="2142">
        <v>0</v>
      </c>
      <c r="BX37" s="2079"/>
      <c r="BY37" s="2086"/>
      <c r="BZ37" s="2099"/>
      <c r="CA37" s="2084"/>
      <c r="CB37" s="1504"/>
      <c r="CC37" s="2141"/>
      <c r="CE37" s="1920">
        <v>1</v>
      </c>
      <c r="CF37" s="1180">
        <v>1.3404825737265416E-3</v>
      </c>
      <c r="CG37" s="1180">
        <v>35</v>
      </c>
      <c r="CH37" s="1180">
        <v>4.6916890080428951E-2</v>
      </c>
      <c r="CI37" s="1180"/>
      <c r="CJ37" s="1920">
        <v>2235</v>
      </c>
      <c r="CK37" s="1315">
        <v>802</v>
      </c>
      <c r="CL37" s="1920"/>
      <c r="CM37" s="1315">
        <v>-76</v>
      </c>
      <c r="CN37" s="1315">
        <v>-2.4413748795374238E-2</v>
      </c>
      <c r="CO37" s="1315">
        <v>0</v>
      </c>
      <c r="CP37" s="1180">
        <v>0</v>
      </c>
    </row>
    <row r="38" spans="1:94" s="2304" customFormat="1" ht="18.75" customHeight="1" thickBot="1" x14ac:dyDescent="0.25">
      <c r="A38" s="3157" t="s">
        <v>72</v>
      </c>
      <c r="B38" s="3191"/>
      <c r="C38" s="1534">
        <v>-96</v>
      </c>
      <c r="D38" s="1535">
        <v>-1.2610009194798372E-2</v>
      </c>
      <c r="E38" s="1498"/>
      <c r="F38" s="1332">
        <v>7517</v>
      </c>
      <c r="G38" s="2197">
        <v>8481</v>
      </c>
      <c r="H38" s="1435">
        <v>5215</v>
      </c>
      <c r="I38" s="1435">
        <v>6003</v>
      </c>
      <c r="J38" s="1439">
        <v>7613</v>
      </c>
      <c r="K38" s="1435">
        <v>-11032</v>
      </c>
      <c r="L38" s="1435">
        <v>5111</v>
      </c>
      <c r="M38" s="1435">
        <v>-6257</v>
      </c>
      <c r="N38" s="1439">
        <v>-2233</v>
      </c>
      <c r="O38" s="1435">
        <v>2806</v>
      </c>
      <c r="P38" s="1435">
        <v>471</v>
      </c>
      <c r="Q38" s="1435">
        <v>-607</v>
      </c>
      <c r="R38" s="1439">
        <v>-782</v>
      </c>
      <c r="S38" s="1435">
        <v>-3399</v>
      </c>
      <c r="T38" s="1435">
        <v>-25371</v>
      </c>
      <c r="U38" s="1435">
        <v>546</v>
      </c>
      <c r="V38" s="1646">
        <v>3432</v>
      </c>
      <c r="W38" s="1435">
        <v>-5499</v>
      </c>
      <c r="X38" s="1435">
        <v>-5986</v>
      </c>
      <c r="Y38" s="1435">
        <v>-3003</v>
      </c>
      <c r="Z38" s="1646">
        <v>7970</v>
      </c>
      <c r="AA38" s="1748">
        <v>14636</v>
      </c>
      <c r="AB38" s="1748">
        <v>2906</v>
      </c>
      <c r="AC38" s="1748">
        <v>3100</v>
      </c>
      <c r="AD38" s="1646">
        <v>6248</v>
      </c>
      <c r="AE38" s="1748">
        <v>4091</v>
      </c>
      <c r="AF38" s="1435">
        <v>-4202</v>
      </c>
      <c r="AG38" s="1435">
        <v>-6708</v>
      </c>
      <c r="AH38" s="1439">
        <v>-9391</v>
      </c>
      <c r="AI38" s="1435">
        <v>-10556</v>
      </c>
      <c r="AJ38" s="1435">
        <v>-2154</v>
      </c>
      <c r="AK38" s="1435">
        <v>-2104</v>
      </c>
      <c r="AL38" s="1439">
        <v>2768</v>
      </c>
      <c r="AM38" s="1435">
        <v>4874</v>
      </c>
      <c r="AN38" s="1435">
        <v>5755</v>
      </c>
      <c r="AO38" s="1435">
        <v>174</v>
      </c>
      <c r="AP38" s="1439">
        <v>0</v>
      </c>
      <c r="AQ38" s="1435">
        <v>-27693</v>
      </c>
      <c r="AR38" s="1435">
        <v>-37922</v>
      </c>
      <c r="AS38" s="1435">
        <v>-19480</v>
      </c>
      <c r="AT38" s="1439">
        <v>-22187</v>
      </c>
      <c r="AU38" s="1435">
        <v>0</v>
      </c>
      <c r="AV38" s="1435">
        <v>0</v>
      </c>
      <c r="AW38" s="1435">
        <v>0</v>
      </c>
      <c r="AX38" s="1439">
        <v>0</v>
      </c>
      <c r="AY38" s="1435">
        <v>0</v>
      </c>
      <c r="AZ38" s="1749" t="s">
        <v>181</v>
      </c>
      <c r="BA38" s="1750" t="s">
        <v>181</v>
      </c>
      <c r="BB38" s="1749"/>
      <c r="BC38" s="1749"/>
      <c r="BD38" s="1749"/>
      <c r="BE38" s="1749"/>
      <c r="BF38" s="1749"/>
      <c r="BG38" s="1746"/>
      <c r="BH38" s="1435">
        <v>27312</v>
      </c>
      <c r="BI38" s="1435">
        <v>-14411</v>
      </c>
      <c r="BJ38" s="1435">
        <v>41723</v>
      </c>
      <c r="BK38" s="1542">
        <v>2.8952189299840398</v>
      </c>
      <c r="BL38" s="1638"/>
      <c r="BM38" s="2897">
        <v>27312</v>
      </c>
      <c r="BN38" s="1439">
        <v>-14411</v>
      </c>
      <c r="BO38" s="1443">
        <v>1888</v>
      </c>
      <c r="BP38" s="1443">
        <v>-24792</v>
      </c>
      <c r="BQ38" s="1443">
        <v>-6518</v>
      </c>
      <c r="BR38" s="1443">
        <v>26890</v>
      </c>
      <c r="BS38" s="1443">
        <v>-9405</v>
      </c>
      <c r="BT38" s="1443">
        <v>-8880</v>
      </c>
      <c r="BU38" s="2048">
        <v>14384</v>
      </c>
      <c r="BV38" s="2048">
        <v>10057</v>
      </c>
      <c r="BW38" s="2048">
        <v>-9759</v>
      </c>
      <c r="BX38" s="2100">
        <v>-7366</v>
      </c>
      <c r="BY38" s="2101">
        <v>62391</v>
      </c>
      <c r="BZ38" s="2102">
        <v>44985</v>
      </c>
      <c r="CA38" s="2082">
        <v>28124</v>
      </c>
      <c r="CB38" s="1504"/>
      <c r="CC38" s="2141"/>
      <c r="CE38" s="1920">
        <v>4640</v>
      </c>
      <c r="CF38" s="1180">
        <v>9.8513800424628446</v>
      </c>
      <c r="CG38" s="1180">
        <v>-4736</v>
      </c>
      <c r="CH38" s="1180">
        <v>-9.8639900516576429</v>
      </c>
      <c r="CI38" s="1180"/>
      <c r="CJ38" s="1920">
        <v>-3379</v>
      </c>
      <c r="CK38" s="1315">
        <v>30691</v>
      </c>
      <c r="CL38" s="1920"/>
      <c r="CM38" s="1315">
        <v>41723</v>
      </c>
      <c r="CN38" s="1315">
        <v>-2.8952189299840398</v>
      </c>
      <c r="CO38" s="1315">
        <v>0</v>
      </c>
      <c r="CP38" s="1180">
        <v>5.7904378599680797</v>
      </c>
    </row>
    <row r="39" spans="1:94" ht="12.75" customHeight="1" thickTop="1" x14ac:dyDescent="0.2">
      <c r="A39" s="1539"/>
      <c r="B39" s="1539"/>
      <c r="C39" s="1543"/>
      <c r="D39" s="1544"/>
      <c r="E39" s="1513"/>
      <c r="F39" s="1513"/>
      <c r="G39" s="1513"/>
      <c r="H39" s="1647"/>
      <c r="I39" s="1647"/>
      <c r="J39" s="1528"/>
      <c r="K39" s="1544"/>
      <c r="L39" s="1647"/>
      <c r="M39" s="1647"/>
      <c r="N39" s="1528"/>
      <c r="O39" s="1544"/>
      <c r="P39" s="1647"/>
      <c r="Q39" s="1647"/>
      <c r="R39" s="1528"/>
      <c r="S39" s="1544"/>
      <c r="T39" s="1647"/>
      <c r="U39" s="1647"/>
      <c r="V39" s="1528"/>
      <c r="W39" s="1544"/>
      <c r="X39" s="1647"/>
      <c r="Y39" s="1647"/>
      <c r="Z39" s="1528"/>
      <c r="AA39" s="1544"/>
      <c r="AB39" s="1647"/>
      <c r="AC39" s="1647"/>
      <c r="AD39" s="1528"/>
      <c r="AE39" s="1544"/>
      <c r="AF39" s="1647"/>
      <c r="AG39" s="1647"/>
      <c r="AH39" s="1528"/>
      <c r="AI39" s="1544"/>
      <c r="AJ39" s="1544"/>
      <c r="AK39" s="1647"/>
      <c r="AL39" s="1528"/>
      <c r="AM39" s="1544"/>
      <c r="AN39" s="1544"/>
      <c r="AO39" s="1544"/>
      <c r="AP39" s="1528"/>
      <c r="AQ39" s="1544"/>
      <c r="AR39" s="1544"/>
      <c r="AS39" s="1544"/>
      <c r="AT39" s="1528"/>
      <c r="AU39" s="1544"/>
      <c r="AV39" s="1544"/>
      <c r="AW39" s="1544"/>
      <c r="AX39" s="1528"/>
      <c r="AY39" s="1539"/>
      <c r="AZ39" s="1539"/>
      <c r="BA39" s="1539"/>
      <c r="BB39" s="1539"/>
      <c r="BC39" s="1648"/>
      <c r="BD39" s="1648"/>
      <c r="BE39" s="1648"/>
      <c r="BF39" s="1648"/>
      <c r="BG39" s="1528"/>
      <c r="BH39" s="1528"/>
      <c r="BI39" s="1549"/>
      <c r="BJ39" s="1596"/>
      <c r="BK39" s="1544"/>
      <c r="BL39" s="1549"/>
      <c r="BM39" s="1549"/>
      <c r="BN39" s="1549"/>
      <c r="BO39" s="1549"/>
      <c r="BP39" s="1549"/>
      <c r="BQ39" s="1549"/>
      <c r="BR39" s="1549"/>
      <c r="BS39" s="1549"/>
      <c r="BT39" s="1549"/>
      <c r="BU39" s="1497"/>
      <c r="BV39" s="1497"/>
      <c r="BW39" s="1497"/>
      <c r="BX39" s="1504"/>
      <c r="BY39" s="1504"/>
      <c r="BZ39" s="1504"/>
      <c r="CA39" s="1504"/>
      <c r="CB39" s="1504"/>
      <c r="CC39" s="1484"/>
      <c r="CE39" s="2742"/>
      <c r="CF39" s="2742"/>
      <c r="CG39" s="2742"/>
    </row>
    <row r="40" spans="1:94" ht="12.75" customHeight="1" x14ac:dyDescent="0.2">
      <c r="A40" s="1204" t="s">
        <v>623</v>
      </c>
      <c r="B40" s="1547"/>
      <c r="C40" s="1545">
        <v>3.158049159911902</v>
      </c>
      <c r="D40" s="1544"/>
      <c r="E40" s="1513"/>
      <c r="F40" s="1514">
        <v>0.61108866680842011</v>
      </c>
      <c r="G40" s="1514">
        <v>0.52594529090587261</v>
      </c>
      <c r="H40" s="1559">
        <v>0.57850211801792928</v>
      </c>
      <c r="I40" s="1559">
        <v>0.56166643750859346</v>
      </c>
      <c r="J40" s="1559">
        <v>0.57950817520930109</v>
      </c>
      <c r="K40" s="1559">
        <v>0.54058217670706299</v>
      </c>
      <c r="L40" s="1559">
        <v>0.59489812771196493</v>
      </c>
      <c r="M40" s="1559">
        <v>0.65145732130464951</v>
      </c>
      <c r="N40" s="1559">
        <v>0.6066207848335724</v>
      </c>
      <c r="O40" s="1559">
        <v>0.59552575471989622</v>
      </c>
      <c r="P40" s="1559">
        <v>0.59191623656267467</v>
      </c>
      <c r="Q40" s="1559">
        <v>0.58677294896993526</v>
      </c>
      <c r="R40" s="1559">
        <v>0.60932233374923184</v>
      </c>
      <c r="S40" s="1559">
        <v>0.67871231587709457</v>
      </c>
      <c r="T40" s="1559">
        <v>0.67166906418879513</v>
      </c>
      <c r="U40" s="1559">
        <v>0.56114567689337047</v>
      </c>
      <c r="V40" s="1559">
        <v>0.54170698311273391</v>
      </c>
      <c r="W40" s="1559">
        <v>0.60334424489073701</v>
      </c>
      <c r="X40" s="1559">
        <v>0.60706320557331062</v>
      </c>
      <c r="Y40" s="1559">
        <v>0.59806402476475939</v>
      </c>
      <c r="Z40" s="1559">
        <v>0.52888646183003807</v>
      </c>
      <c r="AA40" s="1559">
        <v>0.49248663589297492</v>
      </c>
      <c r="AB40" s="1559">
        <v>0.5783629244442603</v>
      </c>
      <c r="AC40" s="1559">
        <v>0.57920454545454547</v>
      </c>
      <c r="AD40" s="1559">
        <v>0.54158245660427251</v>
      </c>
      <c r="AE40" s="1559">
        <v>0.60527363624297659</v>
      </c>
      <c r="AF40" s="1559">
        <v>0.55837873754152823</v>
      </c>
      <c r="AG40" s="1559">
        <v>0.56903278107108479</v>
      </c>
      <c r="AH40" s="1559">
        <v>0.69513687600644125</v>
      </c>
      <c r="AI40" s="1559">
        <v>0.78292854438253912</v>
      </c>
      <c r="AJ40" s="1559">
        <v>0.60719893004593828</v>
      </c>
      <c r="AK40" s="1559">
        <v>0.60505902192242833</v>
      </c>
      <c r="AL40" s="1559">
        <v>0.58476856835306779</v>
      </c>
      <c r="AM40" s="1559">
        <v>0.57105225173210161</v>
      </c>
      <c r="AN40" s="1559">
        <v>0.58004782635354712</v>
      </c>
      <c r="AO40" s="1559">
        <v>0.61634217995319429</v>
      </c>
      <c r="AP40" s="1559" t="e">
        <v>#DIV/0!</v>
      </c>
      <c r="AQ40" s="1559">
        <v>0.53972862294480772</v>
      </c>
      <c r="AR40" s="1559">
        <v>0.55773363383825147</v>
      </c>
      <c r="AS40" s="1559">
        <v>0.58128301886792455</v>
      </c>
      <c r="AT40" s="1559">
        <v>0.58840753310707394</v>
      </c>
      <c r="AU40" s="1559" t="e">
        <v>#DIV/0!</v>
      </c>
      <c r="AV40" s="1559" t="e">
        <v>#DIV/0!</v>
      </c>
      <c r="AW40" s="1559" t="e">
        <v>#DIV/0!</v>
      </c>
      <c r="AX40" s="1559" t="e">
        <v>#DIV/0!</v>
      </c>
      <c r="AY40" s="1559" t="e">
        <v>#DIV/0!</v>
      </c>
      <c r="AZ40" s="1650">
        <v>0.55900000000000005</v>
      </c>
      <c r="BA40" s="1650">
        <v>0.51</v>
      </c>
      <c r="BB40" s="1650">
        <v>0.51700000000000002</v>
      </c>
      <c r="BC40" s="1650">
        <v>0.56399999999999995</v>
      </c>
      <c r="BD40" s="1650">
        <v>0.53900000000000003</v>
      </c>
      <c r="BE40" s="1650">
        <v>0.51100000000000001</v>
      </c>
      <c r="BF40" s="1650">
        <v>0.55300000000000005</v>
      </c>
      <c r="BG40" s="1528"/>
      <c r="BH40" s="1559">
        <v>0.56200693705593452</v>
      </c>
      <c r="BI40" s="1649">
        <v>0.592997431572166</v>
      </c>
      <c r="BJ40" s="1545">
        <v>-3.0990494516231482</v>
      </c>
      <c r="BK40" s="1544"/>
      <c r="BL40" s="1549"/>
      <c r="BM40" s="1559">
        <v>0.56200693705593452</v>
      </c>
      <c r="BN40" s="1559">
        <v>0.592997431572166</v>
      </c>
      <c r="BO40" s="1559">
        <v>0.59569789634133319</v>
      </c>
      <c r="BP40" s="1559">
        <v>0.61228272718491705</v>
      </c>
      <c r="BQ40" s="1649">
        <v>0.58024259503773923</v>
      </c>
      <c r="BR40" s="1649">
        <v>0.54126613853153793</v>
      </c>
      <c r="BS40" s="1649">
        <v>0.60263441035505849</v>
      </c>
      <c r="BT40" s="1649">
        <v>0.64025111340361829</v>
      </c>
      <c r="BU40" s="2103">
        <v>0.58614748773759873</v>
      </c>
      <c r="BV40" s="2103">
        <v>0.59586803101537456</v>
      </c>
      <c r="BW40" s="2106">
        <v>0.53236890659678582</v>
      </c>
      <c r="BX40" s="2106">
        <v>0.56867647706745383</v>
      </c>
      <c r="BY40" s="2106">
        <v>0.53576417397980403</v>
      </c>
      <c r="BZ40" s="2107">
        <v>0.56272346647172189</v>
      </c>
      <c r="CA40" s="2107">
        <v>0.56988875982377385</v>
      </c>
      <c r="CB40" s="2107">
        <v>0.627</v>
      </c>
      <c r="CC40" s="1484"/>
      <c r="CE40" s="2742"/>
      <c r="CF40" s="2742"/>
      <c r="CG40" s="2742"/>
    </row>
    <row r="41" spans="1:94" ht="12.75" customHeight="1" x14ac:dyDescent="0.2">
      <c r="A41" s="1547" t="s">
        <v>75</v>
      </c>
      <c r="B41" s="1547"/>
      <c r="C41" s="1545">
        <v>-1.0121882276309724</v>
      </c>
      <c r="D41" s="1544"/>
      <c r="E41" s="1513"/>
      <c r="F41" s="1514">
        <v>0.30068041675526258</v>
      </c>
      <c r="G41" s="1514">
        <v>0.34779352695287502</v>
      </c>
      <c r="H41" s="1559">
        <v>0.34810609792138708</v>
      </c>
      <c r="I41" s="1559">
        <v>0.34542829643888356</v>
      </c>
      <c r="J41" s="1559">
        <v>0.3108022990315723</v>
      </c>
      <c r="K41" s="1559">
        <v>0.60839519938965347</v>
      </c>
      <c r="L41" s="1559">
        <v>0.3171478762217918</v>
      </c>
      <c r="M41" s="1559">
        <v>0.46831627342123527</v>
      </c>
      <c r="N41" s="1559">
        <v>0.42023643065971783</v>
      </c>
      <c r="O41" s="1559">
        <v>0.34955041250811114</v>
      </c>
      <c r="P41" s="1559">
        <v>0.3880798185344686</v>
      </c>
      <c r="Q41" s="1559">
        <v>0.41066098857101258</v>
      </c>
      <c r="R41" s="1559">
        <v>0.39127358051360361</v>
      </c>
      <c r="S41" s="1559">
        <v>0.36922297419564981</v>
      </c>
      <c r="T41" s="1559">
        <v>0.8069476303409665</v>
      </c>
      <c r="U41" s="1559">
        <v>0.41571908746334835</v>
      </c>
      <c r="V41" s="1559">
        <v>0.38188954815152898</v>
      </c>
      <c r="W41" s="1559">
        <v>0.48065115456073609</v>
      </c>
      <c r="X41" s="1559">
        <v>0.51327799875842095</v>
      </c>
      <c r="Y41" s="1559">
        <v>0.45723902415055401</v>
      </c>
      <c r="Z41" s="1559">
        <v>0.33109008849841792</v>
      </c>
      <c r="AA41" s="1559">
        <v>0.29165322071471667</v>
      </c>
      <c r="AB41" s="1559">
        <v>0.34742795583086455</v>
      </c>
      <c r="AC41" s="1559">
        <v>0.33327272727272728</v>
      </c>
      <c r="AD41" s="1559">
        <v>0.33048750543036853</v>
      </c>
      <c r="AE41" s="1559">
        <v>0.30422952705393091</v>
      </c>
      <c r="AF41" s="1559">
        <v>0.55330232558139536</v>
      </c>
      <c r="AG41" s="1559">
        <v>0.60090185945179109</v>
      </c>
      <c r="AH41" s="1559">
        <v>0.60731078904991953</v>
      </c>
      <c r="AI41" s="1559">
        <v>0.78806729052847946</v>
      </c>
      <c r="AJ41" s="1559">
        <v>0.51805547479211489</v>
      </c>
      <c r="AK41" s="1559">
        <v>0.5132096683530073</v>
      </c>
      <c r="AL41" s="1559">
        <v>0.30881900661233275</v>
      </c>
      <c r="AM41" s="1559">
        <v>0.25306726327944573</v>
      </c>
      <c r="AN41" s="1559">
        <v>0.24351585014409222</v>
      </c>
      <c r="AO41" s="1559">
        <v>0.37499377583030424</v>
      </c>
      <c r="AP41" s="1559" t="e">
        <v>#DIV/0!</v>
      </c>
      <c r="AQ41" s="1559" t="e">
        <v>#DIV/0!</v>
      </c>
      <c r="AR41" s="1559" t="e">
        <v>#DIV/0!</v>
      </c>
      <c r="AS41" s="1559" t="e">
        <v>#DIV/0!</v>
      </c>
      <c r="AT41" s="1559" t="e">
        <v>#DIV/0!</v>
      </c>
      <c r="AU41" s="1559" t="e">
        <v>#DIV/0!</v>
      </c>
      <c r="AV41" s="1559" t="e">
        <v>#DIV/0!</v>
      </c>
      <c r="AW41" s="1559" t="e">
        <v>#DIV/0!</v>
      </c>
      <c r="AX41" s="1559" t="e">
        <v>#DIV/0!</v>
      </c>
      <c r="AY41" s="1559" t="e">
        <v>#DIV/0!</v>
      </c>
      <c r="AZ41" s="1559" t="e">
        <v>#DIV/0!</v>
      </c>
      <c r="BA41" s="1559" t="e">
        <v>#DIV/0!</v>
      </c>
      <c r="BB41" s="1559" t="e">
        <v>#DIV/0!</v>
      </c>
      <c r="BC41" s="1559" t="e">
        <v>#DIV/0!</v>
      </c>
      <c r="BD41" s="1559" t="e">
        <v>#DIV/0!</v>
      </c>
      <c r="BE41" s="1559" t="e">
        <v>#DIV/0!</v>
      </c>
      <c r="BF41" s="1559" t="e">
        <v>#DIV/0!</v>
      </c>
      <c r="BG41" s="1559"/>
      <c r="BH41" s="1559">
        <v>0.33802501424632808</v>
      </c>
      <c r="BI41" s="1649">
        <v>0.45488721804511278</v>
      </c>
      <c r="BJ41" s="1545">
        <v>-11.686220379878471</v>
      </c>
      <c r="BK41" s="1544"/>
      <c r="BL41" s="1549"/>
      <c r="BM41" s="1559">
        <v>0.33802501424632808</v>
      </c>
      <c r="BN41" s="1559">
        <v>0.45488721804511278</v>
      </c>
      <c r="BO41" s="1559">
        <v>0.3834619210882495</v>
      </c>
      <c r="BP41" s="1559">
        <v>0.48794679202064295</v>
      </c>
      <c r="BQ41" s="1649">
        <v>0.43707013775299058</v>
      </c>
      <c r="BR41" s="1649">
        <v>0.32204540730304643</v>
      </c>
      <c r="BS41" s="1649">
        <v>0.45869388021257868</v>
      </c>
      <c r="BT41" s="1649">
        <v>0.47146667337644366</v>
      </c>
      <c r="BU41" s="2103">
        <v>0.2784341784426515</v>
      </c>
      <c r="BV41" s="2103">
        <v>0.30111954439766875</v>
      </c>
      <c r="BW41" s="2103">
        <v>0.59810947402198034</v>
      </c>
      <c r="BX41" s="2103">
        <v>0.51245759351456144</v>
      </c>
      <c r="BY41" s="2106" t="e">
        <v>#REF!</v>
      </c>
      <c r="BZ41" s="2107" t="e">
        <v>#REF!</v>
      </c>
      <c r="CA41" s="2107" t="e">
        <v>#REF!</v>
      </c>
      <c r="CB41" s="2107">
        <v>0.10299999999999998</v>
      </c>
      <c r="CC41" s="1484"/>
      <c r="CE41" s="2742"/>
      <c r="CF41" s="2742"/>
      <c r="CG41" s="2742"/>
    </row>
    <row r="42" spans="1:94" ht="12.75" customHeight="1" x14ac:dyDescent="0.2">
      <c r="A42" s="1546" t="s">
        <v>76</v>
      </c>
      <c r="B42" s="1546"/>
      <c r="C42" s="1545">
        <v>2.1458609322809408</v>
      </c>
      <c r="D42" s="1544"/>
      <c r="E42" s="1513"/>
      <c r="F42" s="1514">
        <v>0.9117690835636828</v>
      </c>
      <c r="G42" s="1514">
        <v>0.87373881785874763</v>
      </c>
      <c r="H42" s="1559">
        <v>0.9266082159393163</v>
      </c>
      <c r="I42" s="1559">
        <v>0.90709473394747697</v>
      </c>
      <c r="J42" s="1559">
        <v>0.8903104742408734</v>
      </c>
      <c r="K42" s="1559">
        <v>1.1489773760967164</v>
      </c>
      <c r="L42" s="1559">
        <v>0.91204600393375679</v>
      </c>
      <c r="M42" s="1559">
        <v>1.1197735947258849</v>
      </c>
      <c r="N42" s="1559">
        <v>1.0268572154932902</v>
      </c>
      <c r="O42" s="1559">
        <v>0.94507616722800725</v>
      </c>
      <c r="P42" s="1559">
        <v>0.97999605509714327</v>
      </c>
      <c r="Q42" s="1559">
        <v>0.99743393754094778</v>
      </c>
      <c r="R42" s="1559">
        <v>1.0005959142628353</v>
      </c>
      <c r="S42" s="1559">
        <v>1.0479352900727443</v>
      </c>
      <c r="T42" s="1559">
        <v>1.4786166945297616</v>
      </c>
      <c r="U42" s="1559">
        <v>0.97686476435671887</v>
      </c>
      <c r="V42" s="1559">
        <v>0.92359653126426289</v>
      </c>
      <c r="W42" s="1559">
        <v>1.0839953994514731</v>
      </c>
      <c r="X42" s="1559">
        <v>1.1203412043317316</v>
      </c>
      <c r="Y42" s="1559">
        <v>1.0553030489153135</v>
      </c>
      <c r="Z42" s="1559">
        <v>0.85997655032845599</v>
      </c>
      <c r="AA42" s="1559">
        <v>0.78413985660769159</v>
      </c>
      <c r="AB42" s="1559">
        <v>0.92579088027512479</v>
      </c>
      <c r="AC42" s="1559">
        <v>0.91247727272727275</v>
      </c>
      <c r="AD42" s="1559">
        <v>0.87206996203464104</v>
      </c>
      <c r="AE42" s="1559">
        <v>0.9095031632969075</v>
      </c>
      <c r="AF42" s="1559">
        <v>1.1116810631229237</v>
      </c>
      <c r="AG42" s="1559">
        <v>1.1699346405228759</v>
      </c>
      <c r="AH42" s="1559">
        <v>1.3024476650563608</v>
      </c>
      <c r="AI42" s="1559">
        <v>1.5709958349110185</v>
      </c>
      <c r="AJ42" s="1559">
        <v>1.1252544048380531</v>
      </c>
      <c r="AK42" s="1559">
        <v>1.1182686902754357</v>
      </c>
      <c r="AL42" s="1559">
        <v>0.89358757496540053</v>
      </c>
      <c r="AM42" s="1559">
        <v>0.82411951501154734</v>
      </c>
      <c r="AN42" s="1559">
        <v>0.82356367649763929</v>
      </c>
      <c r="AO42" s="1559">
        <v>0.99133595578349853</v>
      </c>
      <c r="AP42" s="1559" t="e">
        <v>#DIV/0!</v>
      </c>
      <c r="AQ42" s="1559">
        <v>0.84631135016197057</v>
      </c>
      <c r="AR42" s="1559">
        <v>0.66254345965022621</v>
      </c>
      <c r="AS42" s="1559">
        <v>0.73509433962264148</v>
      </c>
      <c r="AT42" s="1559">
        <v>0.73823783855726355</v>
      </c>
      <c r="AU42" s="1559" t="e">
        <v>#DIV/0!</v>
      </c>
      <c r="AV42" s="1559" t="e">
        <v>#DIV/0!</v>
      </c>
      <c r="AW42" s="1559" t="e">
        <v>#DIV/0!</v>
      </c>
      <c r="AX42" s="1559" t="e">
        <v>#DIV/0!</v>
      </c>
      <c r="AY42" s="1559" t="e">
        <v>#DIV/0!</v>
      </c>
      <c r="AZ42" s="1650">
        <v>0.79800000000000004</v>
      </c>
      <c r="BA42" s="1650">
        <v>0.83199999999999996</v>
      </c>
      <c r="BB42" s="1650">
        <v>0.68600000000000005</v>
      </c>
      <c r="BC42" s="1650">
        <v>0.77500000000000002</v>
      </c>
      <c r="BD42" s="1650">
        <v>0.74299999999999999</v>
      </c>
      <c r="BE42" s="1650">
        <v>0.76</v>
      </c>
      <c r="BF42" s="1650">
        <v>0.73199999999999998</v>
      </c>
      <c r="BG42" s="1528"/>
      <c r="BH42" s="1559">
        <v>0.90003195130226266</v>
      </c>
      <c r="BI42" s="1649">
        <v>1.0478846496172789</v>
      </c>
      <c r="BJ42" s="1545">
        <v>-14.785269831501624</v>
      </c>
      <c r="BK42" s="1544"/>
      <c r="BL42" s="1549"/>
      <c r="BM42" s="1559">
        <v>0.90003195130226266</v>
      </c>
      <c r="BN42" s="1559">
        <v>1.0478846496172789</v>
      </c>
      <c r="BO42" s="1559">
        <v>0.97915981742958269</v>
      </c>
      <c r="BP42" s="1559">
        <v>1.10022951920556</v>
      </c>
      <c r="BQ42" s="1649">
        <v>1.0173127327907296</v>
      </c>
      <c r="BR42" s="1649">
        <v>0.86331154583458436</v>
      </c>
      <c r="BS42" s="1649">
        <v>1.0613282905676371</v>
      </c>
      <c r="BT42" s="1649">
        <v>1.1117177867800618</v>
      </c>
      <c r="BU42" s="2103">
        <v>0.86458166618025023</v>
      </c>
      <c r="BV42" s="2103">
        <v>0.8969875754130433</v>
      </c>
      <c r="BW42" s="2106">
        <v>1.1304783806187662</v>
      </c>
      <c r="BX42" s="2106">
        <v>1.0811340705820152</v>
      </c>
      <c r="BY42" s="2106">
        <v>0.66735799362344184</v>
      </c>
      <c r="BZ42" s="2107">
        <v>0.70103675151192923</v>
      </c>
      <c r="CA42" s="2107">
        <v>0.70568967862786336</v>
      </c>
      <c r="CB42" s="2107">
        <v>0.73</v>
      </c>
      <c r="CC42" s="1484"/>
      <c r="CE42" s="2742"/>
      <c r="CF42" s="2742"/>
      <c r="CG42" s="2742"/>
    </row>
    <row r="43" spans="1:94" ht="12.75" customHeight="1" x14ac:dyDescent="0.2">
      <c r="A43" s="1546" t="s">
        <v>182</v>
      </c>
      <c r="B43" s="1546"/>
      <c r="C43" s="1545">
        <v>-2.1458609322809337</v>
      </c>
      <c r="D43" s="1544"/>
      <c r="E43" s="1513"/>
      <c r="F43" s="1514">
        <v>8.8230916436317239E-2</v>
      </c>
      <c r="G43" s="1559">
        <v>0.1262611821412524</v>
      </c>
      <c r="H43" s="1559">
        <v>7.3391784060683682E-2</v>
      </c>
      <c r="I43" s="1559">
        <v>9.2905266052523028E-2</v>
      </c>
      <c r="J43" s="1559">
        <v>0.10968952575912658</v>
      </c>
      <c r="K43" s="1559">
        <v>-0.14897737609671646</v>
      </c>
      <c r="L43" s="1559">
        <v>8.7953996066243267E-2</v>
      </c>
      <c r="M43" s="1559">
        <v>-0.11977359472588481</v>
      </c>
      <c r="N43" s="1559">
        <v>-2.6857215493290235E-2</v>
      </c>
      <c r="O43" s="1559">
        <v>5.4923832771992705E-2</v>
      </c>
      <c r="P43" s="1559">
        <v>2.0003944902856768E-2</v>
      </c>
      <c r="Q43" s="1559">
        <v>2.5660624590521947E-3</v>
      </c>
      <c r="R43" s="1559">
        <v>-5.9591426283543453E-4</v>
      </c>
      <c r="S43" s="1559">
        <v>-4.7935290072744378E-2</v>
      </c>
      <c r="T43" s="1559">
        <v>-0.47861669452976169</v>
      </c>
      <c r="U43" s="1559">
        <v>2.3135235643281127E-2</v>
      </c>
      <c r="V43" s="1559">
        <v>7.6403468735737112E-2</v>
      </c>
      <c r="W43" s="1559">
        <v>-8.3995399451473066E-2</v>
      </c>
      <c r="X43" s="1559">
        <v>-0.12034120433173154</v>
      </c>
      <c r="Y43" s="1559"/>
      <c r="Z43" s="1559"/>
      <c r="AA43" s="1559"/>
      <c r="AB43" s="1559"/>
      <c r="AC43" s="1559"/>
      <c r="AD43" s="1559"/>
      <c r="AE43" s="1559"/>
      <c r="AF43" s="1559"/>
      <c r="AG43" s="1559"/>
      <c r="AH43" s="1559"/>
      <c r="AI43" s="1559"/>
      <c r="AJ43" s="1559"/>
      <c r="AK43" s="1559"/>
      <c r="AL43" s="1559"/>
      <c r="AM43" s="1559"/>
      <c r="AN43" s="1559"/>
      <c r="AO43" s="1559"/>
      <c r="AP43" s="1559"/>
      <c r="AQ43" s="1559"/>
      <c r="AR43" s="1559"/>
      <c r="AS43" s="1559"/>
      <c r="AT43" s="1559"/>
      <c r="AU43" s="1559"/>
      <c r="AV43" s="1559"/>
      <c r="AW43" s="1559"/>
      <c r="AX43" s="1559"/>
      <c r="AY43" s="1559"/>
      <c r="AZ43" s="1650"/>
      <c r="BA43" s="1650"/>
      <c r="BB43" s="1650"/>
      <c r="BC43" s="1650"/>
      <c r="BD43" s="1650"/>
      <c r="BE43" s="1650"/>
      <c r="BF43" s="1650"/>
      <c r="BG43" s="1528"/>
      <c r="BH43" s="1559">
        <v>9.9968048697737386E-2</v>
      </c>
      <c r="BI43" s="1559">
        <v>-4.788464961727882E-2</v>
      </c>
      <c r="BJ43" s="1545">
        <v>14.785269831501621</v>
      </c>
      <c r="BK43" s="1544"/>
      <c r="BL43" s="1549"/>
      <c r="BM43" s="1559">
        <v>9.9968048697737386E-2</v>
      </c>
      <c r="BN43" s="1559">
        <v>-4.788464961727882E-2</v>
      </c>
      <c r="BO43" s="1559">
        <v>2.0840182570417275E-2</v>
      </c>
      <c r="BP43" s="1559">
        <v>-0.10022951920555997</v>
      </c>
      <c r="BQ43" s="1559">
        <v>-1.7312732790729757E-2</v>
      </c>
      <c r="BR43" s="1559">
        <v>0.13668845416541561</v>
      </c>
      <c r="BS43" s="1514">
        <v>-6.1328290567637181E-2</v>
      </c>
      <c r="BT43" s="1514">
        <v>-0.1117177867800619</v>
      </c>
      <c r="BU43" s="2103"/>
      <c r="BV43" s="2103"/>
      <c r="BW43" s="2106"/>
      <c r="BX43" s="2106"/>
      <c r="BY43" s="2106"/>
      <c r="BZ43" s="2107"/>
      <c r="CA43" s="2107"/>
      <c r="CB43" s="2107"/>
      <c r="CC43" s="1484"/>
      <c r="CE43" s="2742"/>
      <c r="CF43" s="2742"/>
      <c r="CG43" s="2742"/>
    </row>
    <row r="44" spans="1:94" ht="12.75" customHeight="1" x14ac:dyDescent="0.2">
      <c r="A44" s="1546" t="s">
        <v>77</v>
      </c>
      <c r="B44" s="1546"/>
      <c r="C44" s="1545">
        <v>-1.9983196111969943</v>
      </c>
      <c r="D44" s="1544"/>
      <c r="E44" s="1513"/>
      <c r="F44" s="1514">
        <v>7.9917074207952368E-2</v>
      </c>
      <c r="G44" s="1559">
        <v>0.1154773089334586</v>
      </c>
      <c r="H44" s="1559">
        <v>6.421781105309822E-2</v>
      </c>
      <c r="I44" s="1559">
        <v>8.2538154819194284E-2</v>
      </c>
      <c r="J44" s="1559">
        <v>9.990027031992231E-2</v>
      </c>
      <c r="K44" s="1559">
        <v>-0.16185920948384636</v>
      </c>
      <c r="L44" s="1559">
        <v>7.6738285062234429E-2</v>
      </c>
      <c r="M44" s="1559">
        <v>-0.13569136016655101</v>
      </c>
      <c r="N44" s="1559">
        <v>-4.0549129274183297E-2</v>
      </c>
      <c r="O44" s="1559">
        <v>4.335197602200043E-2</v>
      </c>
      <c r="P44" s="1559">
        <v>7.7418718564055359E-3</v>
      </c>
      <c r="Q44" s="1559">
        <v>-1.1046807891097037E-2</v>
      </c>
      <c r="R44" s="1559">
        <v>-1.4562654798040931E-2</v>
      </c>
      <c r="S44" s="1559">
        <v>-6.1507003003872462E-2</v>
      </c>
      <c r="T44" s="1559">
        <v>-0.49319622098674237</v>
      </c>
      <c r="U44" s="1559">
        <v>9.7618536794679255E-3</v>
      </c>
      <c r="V44" s="1559">
        <v>6.2656321314468286E-2</v>
      </c>
      <c r="W44" s="1559">
        <v>-9.7301601344775723E-2</v>
      </c>
      <c r="X44" s="1559">
        <v>-0.13763134297473156</v>
      </c>
      <c r="Y44" s="1559">
        <v>-7.377834557649314E-2</v>
      </c>
      <c r="Z44" s="1559">
        <v>0.12800950835996852</v>
      </c>
      <c r="AA44" s="1559">
        <v>0.20535125503346288</v>
      </c>
      <c r="AB44" s="1559">
        <v>6.0204271892933356E-2</v>
      </c>
      <c r="AC44" s="1559">
        <v>7.045454545454545E-2</v>
      </c>
      <c r="AD44" s="1559">
        <v>0.11801371286100146</v>
      </c>
      <c r="AE44" s="1559">
        <v>9.0496836703092512E-2</v>
      </c>
      <c r="AF44" s="1559">
        <v>-0.11168106312292359</v>
      </c>
      <c r="AG44" s="1559">
        <v>-0.16993464052287582</v>
      </c>
      <c r="AH44" s="1559">
        <v>-0.30244766505636073</v>
      </c>
      <c r="AI44" s="1559">
        <v>-0.57099583491101857</v>
      </c>
      <c r="AJ44" s="1559">
        <v>-0.12525440483805314</v>
      </c>
      <c r="AK44" s="1559">
        <v>-0.11826869027543564</v>
      </c>
      <c r="AL44" s="1559">
        <v>0.10641242503459941</v>
      </c>
      <c r="AM44" s="1559">
        <v>0.17588048498845266</v>
      </c>
      <c r="AN44" s="1559">
        <v>0.17643632350236066</v>
      </c>
      <c r="AO44" s="1559">
        <v>8.6640442165015191E-3</v>
      </c>
      <c r="AP44" s="1559" t="e">
        <v>#DIV/0!</v>
      </c>
      <c r="AQ44" s="1559">
        <v>9.9993887904162332E-2</v>
      </c>
      <c r="AR44" s="1559">
        <v>0.31154672676765027</v>
      </c>
      <c r="AS44" s="1559">
        <v>0.2130566037735849</v>
      </c>
      <c r="AT44" s="1559">
        <v>0.21321621082052306</v>
      </c>
      <c r="AU44" s="1559" t="e">
        <v>#DIV/0!</v>
      </c>
      <c r="AV44" s="1559" t="e">
        <v>#DIV/0!</v>
      </c>
      <c r="AW44" s="1559" t="e">
        <v>#DIV/0!</v>
      </c>
      <c r="AX44" s="1559" t="e">
        <v>#DIV/0!</v>
      </c>
      <c r="AY44" s="1559" t="e">
        <v>#DIV/0!</v>
      </c>
      <c r="AZ44" s="1651" t="s">
        <v>181</v>
      </c>
      <c r="BA44" s="1651" t="s">
        <v>181</v>
      </c>
      <c r="BB44" s="1544"/>
      <c r="BC44" s="1544"/>
      <c r="BD44" s="1544"/>
      <c r="BE44" s="1544"/>
      <c r="BF44" s="1544"/>
      <c r="BG44" s="1652"/>
      <c r="BH44" s="1559">
        <v>8.9964326535721229E-2</v>
      </c>
      <c r="BI44" s="1649">
        <v>-6.10785701570725E-2</v>
      </c>
      <c r="BJ44" s="1545">
        <v>15.104289669279373</v>
      </c>
      <c r="BK44" s="1544"/>
      <c r="BL44" s="1653"/>
      <c r="BM44" s="1559">
        <v>8.9964326535721229E-2</v>
      </c>
      <c r="BN44" s="1559">
        <v>-6.10785701570725E-2</v>
      </c>
      <c r="BO44" s="1559">
        <v>8.0611072921425546E-3</v>
      </c>
      <c r="BP44" s="1559">
        <v>-0.11403286862210284</v>
      </c>
      <c r="BQ44" s="1649">
        <v>-3.2112803736475966E-2</v>
      </c>
      <c r="BR44" s="1649">
        <v>0.12421183915744739</v>
      </c>
      <c r="BS44" s="1649">
        <v>-6.1328290567637181E-2</v>
      </c>
      <c r="BT44" s="1649">
        <v>-0.1117177867800619</v>
      </c>
      <c r="BU44" s="2103">
        <v>0.13541833381974977</v>
      </c>
      <c r="BV44" s="2103">
        <v>0.10301242458695674</v>
      </c>
      <c r="BW44" s="2106">
        <v>-0.13047838061876621</v>
      </c>
      <c r="BX44" s="2106">
        <v>-8.1134070582015244E-2</v>
      </c>
      <c r="BY44" s="2106">
        <v>0.33264200637655816</v>
      </c>
      <c r="BZ44" s="2107">
        <v>0.29896324848807071</v>
      </c>
      <c r="CA44" s="2107">
        <v>0.29431032137213659</v>
      </c>
      <c r="CB44" s="2107"/>
      <c r="CC44" s="1484"/>
      <c r="CE44" s="2742"/>
      <c r="CF44" s="2742"/>
      <c r="CG44" s="2742"/>
    </row>
    <row r="45" spans="1:94" ht="12.75" customHeight="1" x14ac:dyDescent="0.2">
      <c r="A45" s="1547"/>
      <c r="B45" s="1547"/>
      <c r="C45" s="1545"/>
      <c r="D45" s="1544"/>
      <c r="E45" s="1513"/>
      <c r="F45" s="1513"/>
      <c r="G45" s="1513"/>
      <c r="H45" s="1544"/>
      <c r="I45" s="1544"/>
      <c r="J45" s="1544"/>
      <c r="K45" s="1544"/>
      <c r="L45" s="1544"/>
      <c r="M45" s="1544"/>
      <c r="N45" s="1544"/>
      <c r="O45" s="1544"/>
      <c r="P45" s="1544"/>
      <c r="Q45" s="1544"/>
      <c r="R45" s="1544"/>
      <c r="S45" s="1544"/>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4"/>
      <c r="AS45" s="1544"/>
      <c r="AT45" s="1544"/>
      <c r="AU45" s="1544"/>
      <c r="AV45" s="1544"/>
      <c r="AW45" s="1544"/>
      <c r="AX45" s="1559"/>
      <c r="AY45" s="1559"/>
      <c r="AZ45" s="1539"/>
      <c r="BA45" s="1539"/>
      <c r="BB45" s="1539"/>
      <c r="BC45" s="1559"/>
      <c r="BD45" s="1559"/>
      <c r="BE45" s="1559"/>
      <c r="BF45" s="1559"/>
      <c r="BG45" s="1528"/>
      <c r="BH45" s="1528"/>
      <c r="BI45" s="1549"/>
      <c r="BJ45" s="1596"/>
      <c r="BK45" s="1544"/>
      <c r="BL45" s="1549"/>
      <c r="BM45" s="1528"/>
      <c r="BN45" s="1528"/>
      <c r="BO45" s="1528"/>
      <c r="BP45" s="1528"/>
      <c r="BQ45" s="1650"/>
      <c r="BR45" s="1650"/>
      <c r="BS45" s="1650"/>
      <c r="BT45" s="1650"/>
      <c r="BU45" s="2106"/>
      <c r="BV45" s="2106"/>
      <c r="BW45" s="2106"/>
      <c r="BX45" s="2106"/>
      <c r="BY45" s="1514"/>
      <c r="BZ45" s="2108"/>
      <c r="CA45" s="2108"/>
      <c r="CB45" s="2108"/>
      <c r="CC45" s="1484"/>
      <c r="CE45" s="2742"/>
      <c r="CF45" s="2742"/>
      <c r="CG45" s="2742"/>
    </row>
    <row r="46" spans="1:94" ht="12.75" customHeight="1" x14ac:dyDescent="0.2">
      <c r="A46" s="1528"/>
      <c r="B46" s="1528"/>
      <c r="C46" s="1549"/>
      <c r="D46" s="1549"/>
      <c r="E46" s="1497"/>
      <c r="F46" s="1497"/>
      <c r="G46" s="1497"/>
      <c r="H46" s="1528"/>
      <c r="I46" s="1528"/>
      <c r="J46" s="1528"/>
      <c r="K46" s="1549"/>
      <c r="L46" s="1528"/>
      <c r="M46" s="1528"/>
      <c r="N46" s="1528"/>
      <c r="O46" s="1549"/>
      <c r="P46" s="1528"/>
      <c r="Q46" s="1528"/>
      <c r="R46" s="1528"/>
      <c r="S46" s="1549"/>
      <c r="T46" s="1528"/>
      <c r="U46" s="1528"/>
      <c r="V46" s="1528"/>
      <c r="W46" s="1528"/>
      <c r="X46" s="1528"/>
      <c r="Y46" s="1528"/>
      <c r="Z46" s="1528"/>
      <c r="AA46" s="1528"/>
      <c r="AB46" s="1528"/>
      <c r="AC46" s="1528"/>
      <c r="AD46" s="1528"/>
      <c r="AE46" s="1528"/>
      <c r="AF46" s="1528"/>
      <c r="AG46" s="1528"/>
      <c r="AH46" s="1528"/>
      <c r="AI46" s="1528"/>
      <c r="AJ46" s="1528"/>
      <c r="AK46" s="1528"/>
      <c r="AL46" s="1528"/>
      <c r="AM46" s="1528"/>
      <c r="AN46" s="1528"/>
      <c r="AO46" s="1528"/>
      <c r="AP46" s="1528"/>
      <c r="AQ46" s="1528"/>
      <c r="AR46" s="1528"/>
      <c r="AS46" s="1528"/>
      <c r="AT46" s="1528"/>
      <c r="AU46" s="1528"/>
      <c r="AV46" s="1528"/>
      <c r="AW46" s="1528"/>
      <c r="AX46" s="1528"/>
      <c r="AY46" s="1528"/>
      <c r="AZ46" s="1528"/>
      <c r="BA46" s="1528"/>
      <c r="BB46" s="1528"/>
      <c r="BC46" s="1528"/>
      <c r="BD46" s="1528"/>
      <c r="BE46" s="1528"/>
      <c r="BF46" s="1528"/>
      <c r="BG46" s="1528"/>
      <c r="BH46" s="1528"/>
      <c r="BI46" s="1549"/>
      <c r="BJ46" s="1590"/>
      <c r="BK46" s="1590"/>
      <c r="BL46" s="1549"/>
      <c r="BM46" s="1528"/>
      <c r="BN46" s="1528"/>
      <c r="BO46" s="1528"/>
      <c r="BP46" s="1528"/>
      <c r="BQ46" s="1549"/>
      <c r="BR46" s="1549"/>
      <c r="BS46" s="1549"/>
      <c r="BT46" s="1549"/>
      <c r="BU46" s="1497"/>
      <c r="BV46" s="1497"/>
      <c r="BW46" s="1497"/>
      <c r="BX46" s="1497"/>
      <c r="BY46" s="1497"/>
      <c r="BZ46" s="2109"/>
      <c r="CA46" s="2109"/>
      <c r="CB46" s="2109"/>
      <c r="CC46" s="1484"/>
      <c r="CE46" s="2742"/>
      <c r="CF46" s="2742"/>
      <c r="CG46" s="2742"/>
    </row>
    <row r="47" spans="1:94" ht="12.75" customHeight="1" x14ac:dyDescent="0.2">
      <c r="A47" s="1547" t="s">
        <v>723</v>
      </c>
      <c r="B47" s="1547"/>
      <c r="C47" s="1205">
        <v>43</v>
      </c>
      <c r="D47" s="1544">
        <v>0.1634980988593156</v>
      </c>
      <c r="E47" s="1513"/>
      <c r="F47" s="1159">
        <v>306</v>
      </c>
      <c r="G47" s="1159">
        <v>308</v>
      </c>
      <c r="H47" s="1205">
        <v>260</v>
      </c>
      <c r="I47" s="1205">
        <v>260</v>
      </c>
      <c r="J47" s="1205">
        <v>263</v>
      </c>
      <c r="K47" s="1205">
        <v>256</v>
      </c>
      <c r="L47" s="1205">
        <v>257</v>
      </c>
      <c r="M47" s="1205">
        <v>258</v>
      </c>
      <c r="N47" s="1205">
        <v>275</v>
      </c>
      <c r="O47" s="1205">
        <v>275</v>
      </c>
      <c r="P47" s="1205">
        <v>282</v>
      </c>
      <c r="Q47" s="1205">
        <v>297</v>
      </c>
      <c r="R47" s="1205">
        <v>303</v>
      </c>
      <c r="S47" s="1205">
        <v>291</v>
      </c>
      <c r="T47" s="1205">
        <v>280</v>
      </c>
      <c r="U47" s="1205">
        <v>285</v>
      </c>
      <c r="V47" s="1205">
        <v>285</v>
      </c>
      <c r="W47" s="1205">
        <v>269</v>
      </c>
      <c r="X47" s="1205">
        <v>294</v>
      </c>
      <c r="Y47" s="1205">
        <v>295</v>
      </c>
      <c r="Z47" s="1205">
        <v>291</v>
      </c>
      <c r="AA47" s="1205">
        <v>286</v>
      </c>
      <c r="AB47" s="1205">
        <v>279</v>
      </c>
      <c r="AC47" s="1205">
        <v>275</v>
      </c>
      <c r="AD47" s="1205">
        <v>264</v>
      </c>
      <c r="AE47" s="1205">
        <v>253</v>
      </c>
      <c r="AF47" s="1205">
        <v>259</v>
      </c>
      <c r="AG47" s="1205">
        <v>252</v>
      </c>
      <c r="AH47" s="1205">
        <v>304</v>
      </c>
      <c r="AI47" s="1205">
        <v>302</v>
      </c>
      <c r="AJ47" s="1205">
        <v>176</v>
      </c>
      <c r="AK47" s="1205">
        <v>186</v>
      </c>
      <c r="AL47" s="1205"/>
      <c r="AM47" s="1205"/>
      <c r="AN47" s="1205"/>
      <c r="AO47" s="1205"/>
      <c r="AP47" s="1205"/>
      <c r="AQ47" s="1205"/>
      <c r="AR47" s="1205"/>
      <c r="AS47" s="1205"/>
      <c r="AT47" s="1205"/>
      <c r="AU47" s="1205"/>
      <c r="AV47" s="1205"/>
      <c r="AW47" s="1205"/>
      <c r="AX47" s="1269"/>
      <c r="AY47" s="1269"/>
      <c r="AZ47" s="1271"/>
      <c r="BA47" s="1271"/>
      <c r="BB47" s="1271"/>
      <c r="BC47" s="1269"/>
      <c r="BD47" s="1269"/>
      <c r="BE47" s="1269"/>
      <c r="BF47" s="1269"/>
      <c r="BG47" s="1269"/>
      <c r="BH47" s="1269">
        <v>308</v>
      </c>
      <c r="BI47" s="1246">
        <v>256</v>
      </c>
      <c r="BJ47" s="1596">
        <v>52</v>
      </c>
      <c r="BK47" s="1544">
        <v>0.203125</v>
      </c>
      <c r="BL47" s="1549"/>
      <c r="BM47" s="1269">
        <v>308</v>
      </c>
      <c r="BN47" s="1269">
        <v>256</v>
      </c>
      <c r="BO47" s="1269">
        <v>275</v>
      </c>
      <c r="BP47" s="1269">
        <v>291</v>
      </c>
      <c r="BQ47" s="1269">
        <v>269</v>
      </c>
      <c r="BR47" s="1269">
        <v>286</v>
      </c>
      <c r="BS47" s="1269">
        <v>253</v>
      </c>
      <c r="BT47" s="1269">
        <v>302</v>
      </c>
      <c r="BU47" s="1169">
        <v>175</v>
      </c>
      <c r="BV47" s="1169">
        <v>163</v>
      </c>
      <c r="BW47" s="1169">
        <v>151</v>
      </c>
      <c r="BX47" s="2106"/>
      <c r="BY47" s="1514"/>
      <c r="BZ47" s="2108"/>
      <c r="CA47" s="2108"/>
      <c r="CB47" s="2108"/>
      <c r="CC47" s="1484"/>
      <c r="CE47" s="2742"/>
      <c r="CF47" s="2742"/>
      <c r="CG47" s="2742"/>
    </row>
    <row r="48" spans="1:94" ht="12.75" customHeight="1" x14ac:dyDescent="0.2">
      <c r="A48" s="1547"/>
      <c r="B48" s="1547"/>
      <c r="C48" s="1545"/>
      <c r="D48" s="1544"/>
      <c r="E48" s="1513"/>
      <c r="F48" s="1513"/>
      <c r="G48" s="1513"/>
      <c r="H48" s="1544"/>
      <c r="I48" s="1544"/>
      <c r="J48" s="1205"/>
      <c r="K48" s="1544"/>
      <c r="L48" s="1544"/>
      <c r="M48" s="1544"/>
      <c r="N48" s="1205"/>
      <c r="O48" s="1544"/>
      <c r="P48" s="1544"/>
      <c r="Q48" s="1544"/>
      <c r="R48" s="1205"/>
      <c r="S48" s="1544"/>
      <c r="T48" s="1544"/>
      <c r="U48" s="1544"/>
      <c r="V48" s="1205"/>
      <c r="W48" s="1544"/>
      <c r="X48" s="1544"/>
      <c r="Y48" s="1544"/>
      <c r="Z48" s="1205"/>
      <c r="AA48" s="1544"/>
      <c r="AB48" s="1544"/>
      <c r="AC48" s="1544"/>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69"/>
      <c r="AY48" s="1269"/>
      <c r="AZ48" s="1271"/>
      <c r="BA48" s="1271"/>
      <c r="BB48" s="1271"/>
      <c r="BC48" s="1269"/>
      <c r="BD48" s="1269"/>
      <c r="BE48" s="1269"/>
      <c r="BF48" s="1269"/>
      <c r="BG48" s="1269"/>
      <c r="BH48" s="1269"/>
      <c r="BI48" s="1246"/>
      <c r="BJ48" s="1596"/>
      <c r="BK48" s="1544"/>
      <c r="BL48" s="1549"/>
      <c r="BM48" s="1269"/>
      <c r="BN48" s="1269"/>
      <c r="BO48" s="1269"/>
      <c r="BP48" s="1269"/>
      <c r="BQ48" s="1269"/>
      <c r="BR48" s="1269"/>
      <c r="BS48" s="1269"/>
      <c r="BT48" s="1269"/>
      <c r="BU48" s="1169"/>
      <c r="BV48" s="1169"/>
      <c r="BW48" s="1169"/>
      <c r="BX48" s="2106"/>
      <c r="BY48" s="1514"/>
      <c r="BZ48" s="2108"/>
      <c r="CA48" s="2108"/>
      <c r="CB48" s="2108"/>
      <c r="CC48" s="1484"/>
      <c r="CE48" s="2742"/>
      <c r="CF48" s="2742"/>
      <c r="CG48" s="2742"/>
    </row>
    <row r="49" spans="1:94" ht="18" customHeight="1" x14ac:dyDescent="0.2">
      <c r="A49" s="1550" t="s">
        <v>619</v>
      </c>
      <c r="B49" s="1528"/>
      <c r="C49" s="1551"/>
      <c r="D49" s="1551"/>
      <c r="E49" s="1497"/>
      <c r="F49" s="1497"/>
      <c r="G49" s="1497"/>
      <c r="H49" s="1549"/>
      <c r="I49" s="1549"/>
      <c r="J49" s="1549"/>
      <c r="K49" s="1549"/>
      <c r="L49" s="1528"/>
      <c r="M49" s="1549"/>
      <c r="N49" s="1549"/>
      <c r="O49" s="1549"/>
      <c r="P49" s="1549"/>
      <c r="Q49" s="1549"/>
      <c r="R49" s="1549"/>
      <c r="S49" s="1549"/>
      <c r="T49" s="1549"/>
      <c r="U49" s="1549"/>
      <c r="V49" s="1549"/>
      <c r="W49" s="1549"/>
      <c r="X49" s="1549"/>
      <c r="Y49" s="1549"/>
      <c r="Z49" s="1549"/>
      <c r="AA49" s="1549"/>
      <c r="AB49" s="1549"/>
      <c r="AC49" s="1549"/>
      <c r="AD49" s="1549"/>
      <c r="AE49" s="1549"/>
      <c r="AF49" s="1549"/>
      <c r="AG49" s="1549"/>
      <c r="AH49" s="1549"/>
      <c r="AI49" s="1549"/>
      <c r="AJ49" s="1549"/>
      <c r="AK49" s="1549"/>
      <c r="AL49" s="1549"/>
      <c r="AM49" s="1549"/>
      <c r="AN49" s="1549"/>
      <c r="AO49" s="1549"/>
      <c r="AP49" s="1549"/>
      <c r="AQ49" s="1549"/>
      <c r="AR49" s="1549"/>
      <c r="AS49" s="1549"/>
      <c r="AT49" s="1549"/>
      <c r="AU49" s="1549"/>
      <c r="AV49" s="1549"/>
      <c r="AW49" s="1549"/>
      <c r="AX49" s="1549"/>
      <c r="AY49" s="1549"/>
      <c r="AZ49" s="1549"/>
      <c r="BA49" s="1551"/>
      <c r="BB49" s="1551"/>
      <c r="BC49" s="1551"/>
      <c r="BD49" s="1551"/>
      <c r="BE49" s="1551"/>
      <c r="BF49" s="1551"/>
      <c r="BG49" s="1549"/>
      <c r="BH49" s="1551"/>
      <c r="BI49" s="1551"/>
      <c r="BJ49" s="1590"/>
      <c r="BK49" s="1590"/>
      <c r="BL49" s="1551"/>
      <c r="BM49" s="1551"/>
      <c r="BN49" s="1551"/>
      <c r="BO49" s="1551"/>
      <c r="BP49" s="1551"/>
      <c r="BQ49" s="1551"/>
      <c r="BR49" s="1551"/>
      <c r="BS49" s="1551"/>
      <c r="BT49" s="1551"/>
      <c r="BU49" s="2074"/>
      <c r="BV49" s="2074"/>
      <c r="BW49" s="2074"/>
      <c r="BX49" s="2074"/>
      <c r="BY49" s="2074"/>
      <c r="BZ49" s="2110"/>
      <c r="CA49" s="2110"/>
      <c r="CB49" s="2110"/>
      <c r="CC49" s="1484"/>
      <c r="CE49" s="2742"/>
      <c r="CF49" s="2742"/>
      <c r="CG49" s="2742"/>
    </row>
    <row r="50" spans="1:94" ht="12.75" customHeight="1" x14ac:dyDescent="0.2">
      <c r="A50" s="1552"/>
      <c r="B50" s="1528"/>
      <c r="C50" s="1551"/>
      <c r="D50" s="1551"/>
      <c r="E50" s="1497"/>
      <c r="F50" s="1497"/>
      <c r="G50" s="1497"/>
      <c r="H50" s="1654"/>
      <c r="I50" s="1654"/>
      <c r="J50" s="1549"/>
      <c r="K50" s="1549"/>
      <c r="L50" s="1528"/>
      <c r="M50" s="1654"/>
      <c r="N50" s="1549"/>
      <c r="O50" s="1549"/>
      <c r="P50" s="1549"/>
      <c r="Q50" s="1654"/>
      <c r="R50" s="1549"/>
      <c r="S50" s="1549"/>
      <c r="T50" s="1549"/>
      <c r="U50" s="1654"/>
      <c r="V50" s="1549"/>
      <c r="W50" s="1549"/>
      <c r="X50" s="1549"/>
      <c r="Y50" s="1654"/>
      <c r="Z50" s="1549"/>
      <c r="AA50" s="1549"/>
      <c r="AB50" s="1549"/>
      <c r="AC50" s="1654"/>
      <c r="AD50" s="1549"/>
      <c r="AE50" s="1549"/>
      <c r="AF50" s="1549"/>
      <c r="AG50" s="1654"/>
      <c r="AH50" s="1549"/>
      <c r="AI50" s="1549"/>
      <c r="AJ50" s="1549"/>
      <c r="AK50" s="1654"/>
      <c r="AL50" s="1549"/>
      <c r="AM50" s="1654"/>
      <c r="AN50" s="1549"/>
      <c r="AO50" s="1654"/>
      <c r="AP50" s="1549"/>
      <c r="AQ50" s="1654"/>
      <c r="AR50" s="1549"/>
      <c r="AS50" s="1654"/>
      <c r="AT50" s="1549"/>
      <c r="AU50" s="1654"/>
      <c r="AV50" s="1549"/>
      <c r="AW50" s="1549"/>
      <c r="AX50" s="1549"/>
      <c r="AY50" s="1549"/>
      <c r="AZ50" s="1549"/>
      <c r="BA50" s="1551"/>
      <c r="BB50" s="1551"/>
      <c r="BC50" s="1551"/>
      <c r="BD50" s="1551"/>
      <c r="BE50" s="1551"/>
      <c r="BF50" s="1551"/>
      <c r="BG50" s="1549"/>
      <c r="BH50" s="1551"/>
      <c r="BI50" s="1551"/>
      <c r="BJ50" s="1590"/>
      <c r="BK50" s="1590"/>
      <c r="BL50" s="1551"/>
      <c r="BM50" s="1551"/>
      <c r="BN50" s="1551"/>
      <c r="BO50" s="1551"/>
      <c r="BP50" s="1551"/>
      <c r="BQ50" s="1551"/>
      <c r="BR50" s="1551"/>
      <c r="BS50" s="1551"/>
      <c r="BT50" s="1551"/>
      <c r="BU50" s="2074"/>
      <c r="BV50" s="2074"/>
      <c r="BW50" s="2074"/>
      <c r="BX50" s="2074"/>
      <c r="BY50" s="2074"/>
      <c r="BZ50" s="2110"/>
      <c r="CA50" s="2110"/>
      <c r="CB50" s="2110"/>
      <c r="CC50" s="1484"/>
      <c r="CE50" s="2742"/>
      <c r="CF50" s="2742"/>
      <c r="CG50" s="2742"/>
    </row>
    <row r="51" spans="1:94" ht="12.75" customHeight="1" x14ac:dyDescent="0.2">
      <c r="A51" s="1527"/>
      <c r="B51" s="1528"/>
      <c r="C51" s="3192" t="s">
        <v>671</v>
      </c>
      <c r="D51" s="3193"/>
      <c r="E51" s="1488"/>
      <c r="F51" s="1489"/>
      <c r="G51" s="1490"/>
      <c r="H51" s="1716"/>
      <c r="I51" s="1716"/>
      <c r="J51" s="1717"/>
      <c r="K51" s="1568"/>
      <c r="L51" s="2443"/>
      <c r="M51" s="1716"/>
      <c r="N51" s="1717"/>
      <c r="O51" s="1568"/>
      <c r="P51" s="1568"/>
      <c r="Q51" s="1716"/>
      <c r="R51" s="1717"/>
      <c r="S51" s="1568"/>
      <c r="T51" s="1568"/>
      <c r="U51" s="1716"/>
      <c r="V51" s="1717"/>
      <c r="W51" s="1568"/>
      <c r="X51" s="1568"/>
      <c r="Y51" s="1716"/>
      <c r="Z51" s="1717"/>
      <c r="AA51" s="1568"/>
      <c r="AB51" s="1568"/>
      <c r="AC51" s="1716"/>
      <c r="AD51" s="1717"/>
      <c r="AE51" s="1716"/>
      <c r="AF51" s="1716"/>
      <c r="AG51" s="1716"/>
      <c r="AH51" s="1717"/>
      <c r="AI51" s="1716"/>
      <c r="AJ51" s="1716"/>
      <c r="AK51" s="1716"/>
      <c r="AL51" s="1716"/>
      <c r="AM51" s="1655"/>
      <c r="AN51" s="1716"/>
      <c r="AO51" s="1716"/>
      <c r="AP51" s="1716"/>
      <c r="AQ51" s="1655"/>
      <c r="AR51" s="1716"/>
      <c r="AS51" s="1716"/>
      <c r="AT51" s="1716"/>
      <c r="AU51" s="1655"/>
      <c r="AV51" s="1716"/>
      <c r="AW51" s="1717"/>
      <c r="AX51" s="1717"/>
      <c r="AY51" s="1717"/>
      <c r="AZ51" s="1549"/>
      <c r="BA51" s="1549"/>
      <c r="BB51" s="1528"/>
      <c r="BC51" s="1549"/>
      <c r="BD51" s="1528"/>
      <c r="BE51" s="1528"/>
      <c r="BF51" s="1549"/>
      <c r="BG51" s="1589"/>
      <c r="BH51" s="988" t="s">
        <v>660</v>
      </c>
      <c r="BI51" s="988"/>
      <c r="BJ51" s="988" t="s">
        <v>563</v>
      </c>
      <c r="BK51" s="989"/>
      <c r="BL51" s="1570"/>
      <c r="BM51" s="1571"/>
      <c r="BN51" s="1571"/>
      <c r="BO51" s="1571"/>
      <c r="BP51" s="1571"/>
      <c r="BQ51" s="1571"/>
      <c r="BR51" s="1571"/>
      <c r="BS51" s="1571"/>
      <c r="BT51" s="1571"/>
      <c r="BU51" s="2062"/>
      <c r="BV51" s="2062"/>
      <c r="BW51" s="2062"/>
      <c r="BX51" s="2112"/>
      <c r="BY51" s="2112"/>
      <c r="BZ51" s="2062"/>
      <c r="CA51" s="2062"/>
      <c r="CB51" s="2062"/>
      <c r="CC51" s="2065"/>
      <c r="CE51" s="2742"/>
      <c r="CF51" s="2742"/>
      <c r="CG51" s="2742"/>
    </row>
    <row r="52" spans="1:94" ht="12.75" customHeight="1" x14ac:dyDescent="0.2">
      <c r="A52" s="1527" t="s">
        <v>2</v>
      </c>
      <c r="B52" s="1528"/>
      <c r="C52" s="3186" t="s">
        <v>38</v>
      </c>
      <c r="D52" s="3187"/>
      <c r="E52" s="1491"/>
      <c r="F52" s="907" t="s">
        <v>670</v>
      </c>
      <c r="G52" s="1948" t="s">
        <v>558</v>
      </c>
      <c r="H52" s="992" t="s">
        <v>559</v>
      </c>
      <c r="I52" s="992" t="s">
        <v>560</v>
      </c>
      <c r="J52" s="993" t="s">
        <v>561</v>
      </c>
      <c r="K52" s="992" t="s">
        <v>508</v>
      </c>
      <c r="L52" s="992" t="s">
        <v>507</v>
      </c>
      <c r="M52" s="992" t="s">
        <v>506</v>
      </c>
      <c r="N52" s="993" t="s">
        <v>505</v>
      </c>
      <c r="O52" s="992" t="s">
        <v>382</v>
      </c>
      <c r="P52" s="992" t="s">
        <v>383</v>
      </c>
      <c r="Q52" s="992" t="s">
        <v>384</v>
      </c>
      <c r="R52" s="993" t="s">
        <v>385</v>
      </c>
      <c r="S52" s="992" t="s">
        <v>368</v>
      </c>
      <c r="T52" s="992" t="s">
        <v>367</v>
      </c>
      <c r="U52" s="992" t="s">
        <v>366</v>
      </c>
      <c r="V52" s="993" t="s">
        <v>364</v>
      </c>
      <c r="W52" s="992" t="s">
        <v>348</v>
      </c>
      <c r="X52" s="992" t="s">
        <v>349</v>
      </c>
      <c r="Y52" s="992" t="s">
        <v>350</v>
      </c>
      <c r="Z52" s="993" t="s">
        <v>351</v>
      </c>
      <c r="AA52" s="1572" t="s">
        <v>315</v>
      </c>
      <c r="AB52" s="1572" t="s">
        <v>314</v>
      </c>
      <c r="AC52" s="1572" t="s">
        <v>313</v>
      </c>
      <c r="AD52" s="1573" t="s">
        <v>311</v>
      </c>
      <c r="AE52" s="1572" t="s">
        <v>270</v>
      </c>
      <c r="AF52" s="1572" t="s">
        <v>271</v>
      </c>
      <c r="AG52" s="1572" t="s">
        <v>272</v>
      </c>
      <c r="AH52" s="1573" t="s">
        <v>273</v>
      </c>
      <c r="AI52" s="1572" t="s">
        <v>223</v>
      </c>
      <c r="AJ52" s="1572" t="s">
        <v>224</v>
      </c>
      <c r="AK52" s="1572" t="s">
        <v>225</v>
      </c>
      <c r="AL52" s="1573" t="s">
        <v>222</v>
      </c>
      <c r="AM52" s="1574" t="s">
        <v>189</v>
      </c>
      <c r="AN52" s="1572" t="s">
        <v>190</v>
      </c>
      <c r="AO52" s="1572" t="s">
        <v>191</v>
      </c>
      <c r="AP52" s="1572" t="e">
        <v>#REF!</v>
      </c>
      <c r="AQ52" s="1574" t="s">
        <v>121</v>
      </c>
      <c r="AR52" s="1572" t="s">
        <v>120</v>
      </c>
      <c r="AS52" s="1572" t="s">
        <v>119</v>
      </c>
      <c r="AT52" s="1572" t="s">
        <v>118</v>
      </c>
      <c r="AU52" s="1574" t="s">
        <v>81</v>
      </c>
      <c r="AV52" s="1572" t="s">
        <v>82</v>
      </c>
      <c r="AW52" s="1573" t="s">
        <v>83</v>
      </c>
      <c r="AX52" s="1573" t="s">
        <v>29</v>
      </c>
      <c r="AY52" s="1573" t="s">
        <v>29</v>
      </c>
      <c r="AZ52" s="1549"/>
      <c r="BA52" s="1549"/>
      <c r="BB52" s="1528"/>
      <c r="BC52" s="1549"/>
      <c r="BD52" s="1528"/>
      <c r="BE52" s="1528"/>
      <c r="BF52" s="1549"/>
      <c r="BG52" s="1589"/>
      <c r="BH52" s="990" t="s">
        <v>558</v>
      </c>
      <c r="BI52" s="990" t="s">
        <v>508</v>
      </c>
      <c r="BJ52" s="3071" t="s">
        <v>38</v>
      </c>
      <c r="BK52" s="3072"/>
      <c r="BL52" s="1576"/>
      <c r="BM52" s="994" t="s">
        <v>562</v>
      </c>
      <c r="BN52" s="994" t="s">
        <v>509</v>
      </c>
      <c r="BO52" s="994" t="s">
        <v>502</v>
      </c>
      <c r="BP52" s="994" t="s">
        <v>379</v>
      </c>
      <c r="BQ52" s="994" t="s">
        <v>360</v>
      </c>
      <c r="BR52" s="994" t="s">
        <v>317</v>
      </c>
      <c r="BS52" s="1577" t="s">
        <v>275</v>
      </c>
      <c r="BT52" s="1577" t="s">
        <v>227</v>
      </c>
      <c r="BU52" s="2067" t="s">
        <v>123</v>
      </c>
      <c r="BV52" s="2066"/>
      <c r="BW52" s="2066"/>
      <c r="BX52" s="2067"/>
      <c r="BY52" s="2067"/>
      <c r="BZ52" s="2067"/>
      <c r="CA52" s="2067"/>
      <c r="CB52" s="2067"/>
      <c r="CC52" s="2065"/>
      <c r="CE52" s="2742"/>
      <c r="CF52" s="2742"/>
      <c r="CG52" s="2742"/>
    </row>
    <row r="53" spans="1:94" ht="12.75" customHeight="1" x14ac:dyDescent="0.2">
      <c r="A53" s="1553"/>
      <c r="B53" s="1549" t="s">
        <v>4</v>
      </c>
      <c r="C53" s="1804">
        <v>17854</v>
      </c>
      <c r="D53" s="1631">
        <v>0.23428601422460174</v>
      </c>
      <c r="E53" s="1496"/>
      <c r="F53" s="1515">
        <v>94060</v>
      </c>
      <c r="G53" s="2976">
        <v>73443</v>
      </c>
      <c r="H53" s="1657">
        <v>81208</v>
      </c>
      <c r="I53" s="1657">
        <v>72730</v>
      </c>
      <c r="J53" s="1678">
        <v>76206</v>
      </c>
      <c r="K53" s="1657">
        <v>68158</v>
      </c>
      <c r="L53" s="1269">
        <v>66603</v>
      </c>
      <c r="M53" s="1657">
        <v>46112</v>
      </c>
      <c r="N53" s="1678">
        <v>55069</v>
      </c>
      <c r="O53" s="1657">
        <v>64726</v>
      </c>
      <c r="P53" s="1269">
        <v>60838</v>
      </c>
      <c r="Q53" s="1657">
        <v>54948</v>
      </c>
      <c r="R53" s="1678">
        <v>53699</v>
      </c>
      <c r="S53" s="1657">
        <v>55262</v>
      </c>
      <c r="T53" s="1657">
        <v>51442</v>
      </c>
      <c r="U53" s="1657">
        <v>55932</v>
      </c>
      <c r="V53" s="1678">
        <v>54775</v>
      </c>
      <c r="W53" s="1657">
        <v>56515</v>
      </c>
      <c r="X53" s="1657">
        <v>43493</v>
      </c>
      <c r="Y53" s="1657">
        <v>40703</v>
      </c>
      <c r="Z53" s="1678">
        <v>62261</v>
      </c>
      <c r="AA53" s="1657">
        <v>71273</v>
      </c>
      <c r="AB53" s="1657">
        <v>48269</v>
      </c>
      <c r="AC53" s="1657">
        <v>44000</v>
      </c>
      <c r="AD53" s="1678">
        <v>52943</v>
      </c>
      <c r="AE53" s="1657">
        <v>45206</v>
      </c>
      <c r="AF53" s="1657">
        <v>37625</v>
      </c>
      <c r="AG53" s="1657">
        <v>39474</v>
      </c>
      <c r="AH53" s="1678">
        <v>31050</v>
      </c>
      <c r="AI53" s="1657">
        <v>18487</v>
      </c>
      <c r="AJ53" s="1657">
        <v>17197</v>
      </c>
      <c r="AK53" s="1657">
        <v>17790</v>
      </c>
      <c r="AL53" s="1658">
        <v>26012</v>
      </c>
      <c r="AM53" s="1657">
        <v>27712</v>
      </c>
      <c r="AN53" s="1659">
        <v>32618</v>
      </c>
      <c r="AO53" s="1657">
        <v>20083</v>
      </c>
      <c r="AP53" s="1658">
        <v>0</v>
      </c>
      <c r="AQ53" s="1657">
        <v>32806</v>
      </c>
      <c r="AR53" s="1659">
        <v>58040</v>
      </c>
      <c r="AS53" s="1657">
        <v>27314</v>
      </c>
      <c r="AT53" s="1658">
        <v>30054</v>
      </c>
      <c r="AU53" s="1659">
        <v>25033</v>
      </c>
      <c r="AV53" s="1659">
        <v>12639</v>
      </c>
      <c r="AW53" s="1657">
        <v>23461</v>
      </c>
      <c r="AX53" s="1658">
        <v>34352</v>
      </c>
      <c r="AY53" s="1660">
        <v>31944</v>
      </c>
      <c r="AZ53" s="1660">
        <v>42952</v>
      </c>
      <c r="BA53" s="1660">
        <v>39210</v>
      </c>
      <c r="BB53" s="1660">
        <v>62549</v>
      </c>
      <c r="BC53" s="1661">
        <v>57382</v>
      </c>
      <c r="BD53" s="1662">
        <v>48897</v>
      </c>
      <c r="BE53" s="1662">
        <v>38533</v>
      </c>
      <c r="BF53" s="1663">
        <v>42750</v>
      </c>
      <c r="BG53" s="2876"/>
      <c r="BH53" s="2780">
        <v>303587</v>
      </c>
      <c r="BI53" s="1723">
        <v>235942</v>
      </c>
      <c r="BJ53" s="2893">
        <v>67645</v>
      </c>
      <c r="BK53" s="1631">
        <v>0.2867018165481347</v>
      </c>
      <c r="BL53" s="1551"/>
      <c r="BM53" s="1940">
        <v>303587</v>
      </c>
      <c r="BN53" s="1665">
        <v>235942</v>
      </c>
      <c r="BO53" s="1665">
        <v>234211</v>
      </c>
      <c r="BP53" s="1665">
        <v>217411</v>
      </c>
      <c r="BQ53" s="1665">
        <v>202972</v>
      </c>
      <c r="BR53" s="1665">
        <v>216485</v>
      </c>
      <c r="BS53" s="1665">
        <v>153355</v>
      </c>
      <c r="BT53" s="1665">
        <v>79486</v>
      </c>
      <c r="BU53" s="2114">
        <v>106219</v>
      </c>
      <c r="BV53" s="2114">
        <v>97629</v>
      </c>
      <c r="BW53" s="2114">
        <v>74794</v>
      </c>
      <c r="BX53" s="2114">
        <v>90788</v>
      </c>
      <c r="BY53" s="2115">
        <v>187562</v>
      </c>
      <c r="BZ53" s="2095">
        <v>150470</v>
      </c>
      <c r="CA53" s="2095">
        <v>95559</v>
      </c>
      <c r="CB53" s="2095">
        <v>211758</v>
      </c>
      <c r="CC53" s="2065"/>
      <c r="CE53" s="1920">
        <v>5765</v>
      </c>
      <c r="CF53" s="1180">
        <v>9.4759854038594299E-2</v>
      </c>
      <c r="CG53" s="1180">
        <v>12089</v>
      </c>
      <c r="CH53" s="1180">
        <v>0.13952616018600744</v>
      </c>
      <c r="CI53" s="1180"/>
      <c r="CJ53" s="1920">
        <v>167784</v>
      </c>
      <c r="CK53" s="1315">
        <v>135803</v>
      </c>
      <c r="CL53" s="1920"/>
      <c r="CM53" s="1315">
        <v>67645</v>
      </c>
      <c r="CN53" s="1315">
        <v>0.2867018165481347</v>
      </c>
      <c r="CO53" s="1315">
        <v>0</v>
      </c>
      <c r="CP53" s="1180">
        <v>0</v>
      </c>
    </row>
    <row r="54" spans="1:94" ht="12.75" customHeight="1" x14ac:dyDescent="0.2">
      <c r="A54" s="1551"/>
      <c r="B54" s="1549" t="s">
        <v>80</v>
      </c>
      <c r="C54" s="1533">
        <v>15905</v>
      </c>
      <c r="D54" s="1536">
        <v>0.23442796922442</v>
      </c>
      <c r="E54" s="1517"/>
      <c r="F54" s="1515">
        <v>83751</v>
      </c>
      <c r="G54" s="2976">
        <v>63366</v>
      </c>
      <c r="H54" s="1657">
        <v>75247</v>
      </c>
      <c r="I54" s="1657">
        <v>65972</v>
      </c>
      <c r="J54" s="1658">
        <v>67846</v>
      </c>
      <c r="K54" s="1657">
        <v>60439</v>
      </c>
      <c r="L54" s="1269">
        <v>60744</v>
      </c>
      <c r="M54" s="1657">
        <v>49744</v>
      </c>
      <c r="N54" s="1658">
        <v>56546</v>
      </c>
      <c r="O54" s="1657">
        <v>61170</v>
      </c>
      <c r="P54" s="1269">
        <v>59620</v>
      </c>
      <c r="Q54" s="1657">
        <v>54807</v>
      </c>
      <c r="R54" s="1658">
        <v>53731</v>
      </c>
      <c r="S54" s="1657">
        <v>57504</v>
      </c>
      <c r="T54" s="1657">
        <v>58473.600000000006</v>
      </c>
      <c r="U54" s="1657">
        <v>54637</v>
      </c>
      <c r="V54" s="1658">
        <v>50589</v>
      </c>
      <c r="W54" s="1657">
        <v>53912</v>
      </c>
      <c r="X54" s="1657">
        <v>48726</v>
      </c>
      <c r="Y54" s="1657">
        <v>42953</v>
      </c>
      <c r="Z54" s="1658">
        <v>53542</v>
      </c>
      <c r="AA54" s="1657">
        <v>55887</v>
      </c>
      <c r="AB54" s="1657">
        <v>44686</v>
      </c>
      <c r="AC54" s="1657">
        <v>40148</v>
      </c>
      <c r="AD54" s="1658">
        <v>46169</v>
      </c>
      <c r="AE54" s="1657">
        <v>41114</v>
      </c>
      <c r="AF54" s="1657">
        <v>38840</v>
      </c>
      <c r="AG54" s="1657">
        <v>42359</v>
      </c>
      <c r="AH54" s="1658">
        <v>40439</v>
      </c>
      <c r="AI54" s="1657">
        <v>25847</v>
      </c>
      <c r="AJ54" s="1657">
        <v>18943</v>
      </c>
      <c r="AK54" s="1657">
        <v>19894</v>
      </c>
      <c r="AL54" s="1658">
        <v>23244</v>
      </c>
      <c r="AM54" s="1657">
        <v>22838</v>
      </c>
      <c r="AN54" s="1657">
        <v>26863</v>
      </c>
      <c r="AO54" s="1657">
        <v>19909</v>
      </c>
      <c r="AP54" s="1658" t="e">
        <v>#REF!</v>
      </c>
      <c r="AQ54" s="1657">
        <v>22693</v>
      </c>
      <c r="AR54" s="1657">
        <v>37922</v>
      </c>
      <c r="AS54" s="1657">
        <v>19480</v>
      </c>
      <c r="AT54" s="1658">
        <v>22187</v>
      </c>
      <c r="AU54" s="1657" t="e">
        <v>#REF!</v>
      </c>
      <c r="AV54" s="1657" t="e">
        <v>#REF!</v>
      </c>
      <c r="AW54" s="1657" t="e">
        <v>#REF!</v>
      </c>
      <c r="AX54" s="1658" t="e">
        <v>#REF!</v>
      </c>
      <c r="AY54" s="1660" t="e">
        <v>#REF!</v>
      </c>
      <c r="AZ54" s="1660">
        <v>86348</v>
      </c>
      <c r="BA54" s="1660">
        <v>72982</v>
      </c>
      <c r="BB54" s="1660">
        <v>106349</v>
      </c>
      <c r="BC54" s="1666">
        <v>100905</v>
      </c>
      <c r="BD54" s="1662">
        <v>75317</v>
      </c>
      <c r="BE54" s="1662">
        <v>70703</v>
      </c>
      <c r="BF54" s="1662">
        <v>91522</v>
      </c>
      <c r="BG54" s="2876"/>
      <c r="BH54" s="2199">
        <v>272431</v>
      </c>
      <c r="BI54" s="1603">
        <v>227473</v>
      </c>
      <c r="BJ54" s="2231">
        <v>44958</v>
      </c>
      <c r="BK54" s="1669">
        <v>0.19764103871668287</v>
      </c>
      <c r="BL54" s="1551"/>
      <c r="BM54" s="1665">
        <v>272431</v>
      </c>
      <c r="BN54" s="1665">
        <v>227473</v>
      </c>
      <c r="BO54" s="1665">
        <v>229328</v>
      </c>
      <c r="BP54" s="1665">
        <v>221203.6</v>
      </c>
      <c r="BQ54" s="1665">
        <v>199133</v>
      </c>
      <c r="BR54" s="1665">
        <v>186890</v>
      </c>
      <c r="BS54" s="1665">
        <v>155947</v>
      </c>
      <c r="BT54" s="1665">
        <v>84762</v>
      </c>
      <c r="BU54" s="2114">
        <v>91835</v>
      </c>
      <c r="BV54" s="2114">
        <v>87572</v>
      </c>
      <c r="BW54" s="2124" t="e">
        <v>#REF!</v>
      </c>
      <c r="BX54" s="2114">
        <v>98154</v>
      </c>
      <c r="BY54" s="2117">
        <v>125171</v>
      </c>
      <c r="BZ54" s="2084">
        <v>105485</v>
      </c>
      <c r="CA54" s="2084">
        <v>67435</v>
      </c>
      <c r="CB54" s="2084">
        <v>154490</v>
      </c>
      <c r="CC54" s="2065"/>
      <c r="CE54" s="1920">
        <v>1124</v>
      </c>
      <c r="CF54" s="1180">
        <v>1.8852733981885274E-2</v>
      </c>
      <c r="CG54" s="1180">
        <v>14781</v>
      </c>
      <c r="CH54" s="1180">
        <v>0.21557523524253472</v>
      </c>
      <c r="CI54" s="1180"/>
      <c r="CJ54" s="1920">
        <v>167034</v>
      </c>
      <c r="CK54" s="1315">
        <v>105397</v>
      </c>
      <c r="CL54" s="1920"/>
      <c r="CM54" s="1315">
        <v>44958</v>
      </c>
      <c r="CN54" s="1315">
        <v>0.19764103871668287</v>
      </c>
      <c r="CO54" s="1315">
        <v>0</v>
      </c>
      <c r="CP54" s="1180">
        <v>0</v>
      </c>
    </row>
    <row r="55" spans="1:94" ht="12.75" customHeight="1" x14ac:dyDescent="0.2">
      <c r="A55" s="1551"/>
      <c r="B55" s="1541" t="s">
        <v>332</v>
      </c>
      <c r="C55" s="1533">
        <v>36</v>
      </c>
      <c r="D55" s="1536">
        <v>4.8257372654155493E-2</v>
      </c>
      <c r="E55" s="1517"/>
      <c r="F55" s="1169">
        <v>782</v>
      </c>
      <c r="G55" s="2318">
        <v>792</v>
      </c>
      <c r="H55" s="1657">
        <v>745</v>
      </c>
      <c r="I55" s="1657">
        <v>754</v>
      </c>
      <c r="J55" s="1658">
        <v>746</v>
      </c>
      <c r="K55" s="1269">
        <v>878</v>
      </c>
      <c r="L55" s="1269">
        <v>747</v>
      </c>
      <c r="M55" s="1657">
        <v>734</v>
      </c>
      <c r="N55" s="1658">
        <v>754</v>
      </c>
      <c r="O55" s="1269">
        <v>749</v>
      </c>
      <c r="P55" s="1269">
        <v>746</v>
      </c>
      <c r="Q55" s="1657">
        <v>748</v>
      </c>
      <c r="R55" s="1658">
        <v>750</v>
      </c>
      <c r="S55" s="1657">
        <v>750</v>
      </c>
      <c r="T55" s="1657">
        <v>750</v>
      </c>
      <c r="U55" s="1657">
        <v>748</v>
      </c>
      <c r="V55" s="1658">
        <v>753</v>
      </c>
      <c r="W55" s="1657">
        <v>752</v>
      </c>
      <c r="X55" s="1657">
        <v>752</v>
      </c>
      <c r="Y55" s="1657"/>
      <c r="Z55" s="1658"/>
      <c r="AA55" s="1657"/>
      <c r="AB55" s="1657"/>
      <c r="AC55" s="1657"/>
      <c r="AD55" s="1658"/>
      <c r="AE55" s="1657"/>
      <c r="AF55" s="1657"/>
      <c r="AG55" s="1657"/>
      <c r="AH55" s="1658"/>
      <c r="AI55" s="1657"/>
      <c r="AJ55" s="1657"/>
      <c r="AK55" s="1657"/>
      <c r="AL55" s="1658"/>
      <c r="AM55" s="1657"/>
      <c r="AN55" s="1657"/>
      <c r="AO55" s="1657"/>
      <c r="AP55" s="1658"/>
      <c r="AQ55" s="1657"/>
      <c r="AR55" s="1657"/>
      <c r="AS55" s="1657"/>
      <c r="AT55" s="1658"/>
      <c r="AU55" s="1657"/>
      <c r="AV55" s="1657"/>
      <c r="AW55" s="1657"/>
      <c r="AX55" s="1658"/>
      <c r="AY55" s="1660"/>
      <c r="AZ55" s="1660"/>
      <c r="BA55" s="1660"/>
      <c r="BB55" s="1660"/>
      <c r="BC55" s="1666"/>
      <c r="BD55" s="1662"/>
      <c r="BE55" s="1662"/>
      <c r="BF55" s="1662"/>
      <c r="BG55" s="2876"/>
      <c r="BH55" s="2199">
        <v>3037</v>
      </c>
      <c r="BI55" s="1603">
        <v>3113</v>
      </c>
      <c r="BJ55" s="2231">
        <v>-76</v>
      </c>
      <c r="BK55" s="1669">
        <v>-2.4413748795374238E-2</v>
      </c>
      <c r="BL55" s="1551"/>
      <c r="BM55" s="1665">
        <v>3037</v>
      </c>
      <c r="BN55" s="1665">
        <v>3113</v>
      </c>
      <c r="BO55" s="1665">
        <v>2993</v>
      </c>
      <c r="BP55" s="1665">
        <v>3001</v>
      </c>
      <c r="BQ55" s="1665">
        <v>3004</v>
      </c>
      <c r="BR55" s="1665">
        <v>2701</v>
      </c>
      <c r="BS55" s="1775">
        <v>0</v>
      </c>
      <c r="BT55" s="1775">
        <v>0</v>
      </c>
      <c r="BU55" s="2114"/>
      <c r="BV55" s="2114"/>
      <c r="BW55" s="2124"/>
      <c r="BX55" s="2229"/>
      <c r="BY55" s="2117"/>
      <c r="BZ55" s="2084"/>
      <c r="CA55" s="2084"/>
      <c r="CB55" s="2084"/>
      <c r="CC55" s="2065"/>
      <c r="CE55" s="1920">
        <v>1</v>
      </c>
      <c r="CF55" s="1180">
        <v>1.3404825737265416E-3</v>
      </c>
      <c r="CG55" s="1180">
        <v>35</v>
      </c>
      <c r="CH55" s="1180">
        <v>4.6916890080428951E-2</v>
      </c>
      <c r="CI55" s="1180"/>
      <c r="CJ55" s="1920">
        <v>2235</v>
      </c>
      <c r="CK55" s="1315">
        <v>802</v>
      </c>
      <c r="CL55" s="1920"/>
      <c r="CM55" s="1315">
        <v>-76</v>
      </c>
      <c r="CN55" s="1315">
        <v>-2.4413748795374238E-2</v>
      </c>
      <c r="CO55" s="1315">
        <v>0</v>
      </c>
      <c r="CP55" s="1180">
        <v>0</v>
      </c>
    </row>
    <row r="56" spans="1:94" ht="24.75" customHeight="1" x14ac:dyDescent="0.2">
      <c r="A56" s="1551"/>
      <c r="B56" s="1541" t="s">
        <v>72</v>
      </c>
      <c r="C56" s="1537">
        <v>1913</v>
      </c>
      <c r="D56" s="1538">
        <v>0.25124770160231152</v>
      </c>
      <c r="E56" s="1517"/>
      <c r="F56" s="1181">
        <v>9527</v>
      </c>
      <c r="G56" s="2210">
        <v>9285</v>
      </c>
      <c r="H56" s="1304">
        <v>5216</v>
      </c>
      <c r="I56" s="1304">
        <v>6004</v>
      </c>
      <c r="J56" s="1458">
        <v>7614</v>
      </c>
      <c r="K56" s="1304">
        <v>6841</v>
      </c>
      <c r="L56" s="1304">
        <v>5112</v>
      </c>
      <c r="M56" s="1304">
        <v>-4366</v>
      </c>
      <c r="N56" s="1458">
        <v>-2231</v>
      </c>
      <c r="O56" s="1304">
        <v>2807</v>
      </c>
      <c r="P56" s="1304">
        <v>472</v>
      </c>
      <c r="Q56" s="1304">
        <v>-607</v>
      </c>
      <c r="R56" s="1458">
        <v>-782</v>
      </c>
      <c r="S56" s="1304">
        <v>-2992</v>
      </c>
      <c r="T56" s="1304">
        <v>-7781.6000000000058</v>
      </c>
      <c r="U56" s="1304">
        <v>547</v>
      </c>
      <c r="V56" s="1673">
        <v>3433</v>
      </c>
      <c r="W56" s="1304">
        <v>1851</v>
      </c>
      <c r="X56" s="1304">
        <v>-5985</v>
      </c>
      <c r="Y56" s="1304">
        <v>-3002</v>
      </c>
      <c r="Z56" s="1673">
        <v>7971</v>
      </c>
      <c r="AA56" s="1672">
        <v>14637</v>
      </c>
      <c r="AB56" s="1672">
        <v>2907</v>
      </c>
      <c r="AC56" s="1672" t="e">
        <v>#REF!</v>
      </c>
      <c r="AD56" s="1673" t="e">
        <v>#REF!</v>
      </c>
      <c r="AE56" s="1672" t="e">
        <v>#REF!</v>
      </c>
      <c r="AF56" s="1672" t="e">
        <v>#REF!</v>
      </c>
      <c r="AG56" s="1672" t="e">
        <v>#REF!</v>
      </c>
      <c r="AH56" s="1458" t="e">
        <v>#REF!</v>
      </c>
      <c r="AI56" s="1304" t="e">
        <v>#REF!</v>
      </c>
      <c r="AJ56" s="1304" t="e">
        <v>#REF!</v>
      </c>
      <c r="AK56" s="1304" t="e">
        <v>#REF!</v>
      </c>
      <c r="AL56" s="1458" t="e">
        <v>#REF!</v>
      </c>
      <c r="AM56" s="1304"/>
      <c r="AN56" s="1304"/>
      <c r="AO56" s="1304"/>
      <c r="AP56" s="1458"/>
      <c r="AQ56" s="1304"/>
      <c r="AR56" s="1304"/>
      <c r="AS56" s="1304"/>
      <c r="AT56" s="1458"/>
      <c r="AU56" s="1304"/>
      <c r="AV56" s="1304"/>
      <c r="AW56" s="1304"/>
      <c r="AX56" s="1458"/>
      <c r="AY56" s="1304"/>
      <c r="AZ56" s="1304"/>
      <c r="BA56" s="1304"/>
      <c r="BB56" s="1304"/>
      <c r="BC56" s="1307"/>
      <c r="BD56" s="1253"/>
      <c r="BE56" s="1253"/>
      <c r="BF56" s="1253"/>
      <c r="BG56" s="1476"/>
      <c r="BH56" s="2200">
        <v>28119</v>
      </c>
      <c r="BI56" s="1612">
        <v>5356</v>
      </c>
      <c r="BJ56" s="2894">
        <v>22763</v>
      </c>
      <c r="BK56" s="1557" t="s">
        <v>41</v>
      </c>
      <c r="BL56" s="1551"/>
      <c r="BM56" s="1675">
        <v>28119</v>
      </c>
      <c r="BN56" s="1274">
        <v>5356</v>
      </c>
      <c r="BO56" s="1274">
        <v>1890</v>
      </c>
      <c r="BP56" s="1274">
        <v>-6793.6000000000058</v>
      </c>
      <c r="BQ56" s="1675">
        <v>835</v>
      </c>
      <c r="BR56" s="1675">
        <v>26894</v>
      </c>
      <c r="BS56" s="1478">
        <v>-2592</v>
      </c>
      <c r="BT56" s="1478">
        <v>-5276</v>
      </c>
      <c r="BU56" s="2031">
        <v>14384</v>
      </c>
      <c r="BV56" s="2031" t="e">
        <v>#REF!</v>
      </c>
      <c r="BW56" s="2031" t="e">
        <v>#REF!</v>
      </c>
      <c r="BX56" s="1516"/>
      <c r="BY56" s="1516"/>
      <c r="BZ56" s="1504"/>
      <c r="CA56" s="1504"/>
      <c r="CB56" s="1504"/>
      <c r="CC56" s="1484"/>
      <c r="CE56" s="1920">
        <v>4640</v>
      </c>
      <c r="CF56" s="1180">
        <v>9.8305084745762716</v>
      </c>
      <c r="CG56" s="1180">
        <v>-2727</v>
      </c>
      <c r="CH56" s="1180">
        <v>-9.5792607729739601</v>
      </c>
      <c r="CI56" s="1180"/>
      <c r="CJ56" s="1920">
        <v>-1485</v>
      </c>
      <c r="CK56" s="1315">
        <v>29604</v>
      </c>
      <c r="CL56" s="1920"/>
      <c r="CM56" s="1315">
        <v>22763</v>
      </c>
      <c r="CN56" s="1315">
        <v>4.25</v>
      </c>
      <c r="CO56" s="1315">
        <v>0</v>
      </c>
      <c r="CP56" s="1180" t="e">
        <v>#VALUE!</v>
      </c>
    </row>
    <row r="57" spans="1:94" ht="12.75" customHeight="1" x14ac:dyDescent="0.2">
      <c r="A57" s="1551"/>
      <c r="B57" s="1549"/>
      <c r="C57" s="1558"/>
      <c r="D57" s="1559"/>
      <c r="E57" s="1514"/>
      <c r="F57" s="1487"/>
      <c r="G57" s="1487"/>
      <c r="H57" s="1528"/>
      <c r="I57" s="1528"/>
      <c r="J57" s="1549"/>
      <c r="K57" s="1528"/>
      <c r="L57" s="1528"/>
      <c r="M57" s="1528"/>
      <c r="N57" s="1549"/>
      <c r="O57" s="1528"/>
      <c r="P57" s="1528"/>
      <c r="Q57" s="1528"/>
      <c r="R57" s="1549"/>
      <c r="S57" s="1528"/>
      <c r="T57" s="1528"/>
      <c r="U57" s="1528"/>
      <c r="V57" s="1549"/>
      <c r="W57" s="1559"/>
      <c r="X57" s="1528"/>
      <c r="Y57" s="1528"/>
      <c r="Z57" s="1549"/>
      <c r="AA57" s="1559"/>
      <c r="AB57" s="1559"/>
      <c r="AC57" s="1528"/>
      <c r="AD57" s="1549"/>
      <c r="AE57" s="1559"/>
      <c r="AF57" s="1559"/>
      <c r="AG57" s="1528"/>
      <c r="AH57" s="1549"/>
      <c r="AI57" s="1559"/>
      <c r="AJ57" s="1559"/>
      <c r="AK57" s="1528"/>
      <c r="AL57" s="1549"/>
      <c r="AM57" s="1559"/>
      <c r="AN57" s="1559"/>
      <c r="AO57" s="1559"/>
      <c r="AP57" s="1549"/>
      <c r="AQ57" s="1559"/>
      <c r="AR57" s="1559"/>
      <c r="AS57" s="1559"/>
      <c r="AT57" s="1549"/>
      <c r="AU57" s="1559"/>
      <c r="AV57" s="1559"/>
      <c r="AW57" s="1559"/>
      <c r="AX57" s="1549"/>
      <c r="AY57" s="1551"/>
      <c r="AZ57" s="1551"/>
      <c r="BA57" s="1551"/>
      <c r="BB57" s="1551"/>
      <c r="BC57" s="1551"/>
      <c r="BD57" s="1551"/>
      <c r="BE57" s="1551"/>
      <c r="BF57" s="1551"/>
      <c r="BG57" s="1549"/>
      <c r="BH57" s="1559"/>
      <c r="BI57" s="1559"/>
      <c r="BJ57" s="1676"/>
      <c r="BK57" s="1677"/>
      <c r="BL57" s="1549"/>
      <c r="BM57" s="1549"/>
      <c r="BN57" s="1549"/>
      <c r="BO57" s="1549"/>
      <c r="BP57" s="1549"/>
      <c r="BQ57" s="1549"/>
      <c r="BR57" s="1549"/>
      <c r="BS57" s="1549"/>
      <c r="BT57" s="1549"/>
      <c r="BU57" s="1497"/>
      <c r="BV57" s="1497"/>
      <c r="BW57" s="1497"/>
      <c r="BX57" s="2074"/>
      <c r="BY57" s="2074"/>
      <c r="BZ57" s="1504"/>
      <c r="CA57" s="1504"/>
      <c r="CB57" s="1504"/>
      <c r="CC57" s="1484"/>
      <c r="CE57" s="2742"/>
      <c r="CF57" s="2742"/>
      <c r="CG57" s="2742"/>
    </row>
    <row r="58" spans="1:94" ht="12.75" customHeight="1" x14ac:dyDescent="0.2">
      <c r="A58" s="1551"/>
      <c r="B58" s="1203" t="s">
        <v>623</v>
      </c>
      <c r="C58" s="1545">
        <v>3.158049159911902</v>
      </c>
      <c r="D58" s="1559"/>
      <c r="E58" s="1514"/>
      <c r="F58" s="1514">
        <v>0.61108866680842011</v>
      </c>
      <c r="G58" s="1514">
        <v>0.52594529090587261</v>
      </c>
      <c r="H58" s="1559">
        <v>0.57850211801792928</v>
      </c>
      <c r="I58" s="1559">
        <v>0.56166643750859346</v>
      </c>
      <c r="J58" s="1559">
        <v>0.57950817520930109</v>
      </c>
      <c r="K58" s="1559">
        <v>0.54058217670706299</v>
      </c>
      <c r="L58" s="1559">
        <v>0.59489812771196493</v>
      </c>
      <c r="M58" s="1559">
        <v>0.65145732130464951</v>
      </c>
      <c r="N58" s="1559">
        <v>0.6066207848335724</v>
      </c>
      <c r="O58" s="1559">
        <v>0.59552575471989622</v>
      </c>
      <c r="P58" s="1559">
        <v>0.59191623656267467</v>
      </c>
      <c r="Q58" s="1559">
        <v>0.58677294896993526</v>
      </c>
      <c r="R58" s="1559">
        <v>0.60932233374923184</v>
      </c>
      <c r="S58" s="1559">
        <v>0.67871231587709457</v>
      </c>
      <c r="T58" s="1528"/>
      <c r="U58" s="1528"/>
      <c r="V58" s="1549"/>
      <c r="W58" s="1559"/>
      <c r="X58" s="1528"/>
      <c r="Y58" s="1528"/>
      <c r="Z58" s="1549"/>
      <c r="AA58" s="1559"/>
      <c r="AB58" s="1559"/>
      <c r="AC58" s="1528"/>
      <c r="AD58" s="1549"/>
      <c r="AE58" s="1559"/>
      <c r="AF58" s="1559"/>
      <c r="AG58" s="1528"/>
      <c r="AH58" s="1549"/>
      <c r="AI58" s="1559"/>
      <c r="AJ58" s="1559"/>
      <c r="AK58" s="1528"/>
      <c r="AL58" s="1549"/>
      <c r="AM58" s="1559"/>
      <c r="AN58" s="1559"/>
      <c r="AO58" s="1559"/>
      <c r="AP58" s="1549"/>
      <c r="AQ58" s="1559"/>
      <c r="AR58" s="1559"/>
      <c r="AS58" s="1559"/>
      <c r="AT58" s="1549"/>
      <c r="AU58" s="1559"/>
      <c r="AV58" s="1559"/>
      <c r="AW58" s="1559"/>
      <c r="AX58" s="1549"/>
      <c r="AY58" s="1551"/>
      <c r="AZ58" s="1551"/>
      <c r="BA58" s="1551"/>
      <c r="BB58" s="1551"/>
      <c r="BC58" s="1551"/>
      <c r="BD58" s="1551"/>
      <c r="BE58" s="1551"/>
      <c r="BF58" s="1551"/>
      <c r="BG58" s="1549"/>
      <c r="BH58" s="1559">
        <v>0.56200693705593452</v>
      </c>
      <c r="BI58" s="1559">
        <v>0.592997431572166</v>
      </c>
      <c r="BJ58" s="1545">
        <v>-3.0990494516231482</v>
      </c>
      <c r="BK58" s="1677"/>
      <c r="BL58" s="1549"/>
      <c r="BM58" s="1559">
        <v>0.56200693705593452</v>
      </c>
      <c r="BN58" s="1559">
        <v>0.592997431572166</v>
      </c>
      <c r="BO58" s="1559">
        <v>0.59569789634133319</v>
      </c>
      <c r="BP58" s="1559">
        <v>0.61228272718491705</v>
      </c>
      <c r="BQ58" s="1559">
        <v>0.58024259503773923</v>
      </c>
      <c r="BR58" s="1559">
        <v>0.54126613853153793</v>
      </c>
      <c r="BS58" s="1549"/>
      <c r="BT58" s="1549"/>
      <c r="BU58" s="1497"/>
      <c r="BV58" s="1497"/>
      <c r="BW58" s="1497"/>
      <c r="BX58" s="2074"/>
      <c r="BY58" s="2074"/>
      <c r="BZ58" s="1504"/>
      <c r="CA58" s="1504"/>
      <c r="CB58" s="1504"/>
      <c r="CC58" s="1484"/>
      <c r="CE58" s="2742"/>
      <c r="CF58" s="2742"/>
      <c r="CG58" s="2742"/>
    </row>
    <row r="59" spans="1:94" ht="12.75" customHeight="1" x14ac:dyDescent="0.2">
      <c r="A59" s="1551"/>
      <c r="B59" s="1546" t="s">
        <v>75</v>
      </c>
      <c r="C59" s="1545">
        <v>-3.1478098669949661</v>
      </c>
      <c r="D59" s="1559"/>
      <c r="E59" s="1514"/>
      <c r="F59" s="1514">
        <v>0.27931107803529664</v>
      </c>
      <c r="G59" s="1514">
        <v>0.33684626172678134</v>
      </c>
      <c r="H59" s="1559">
        <v>0.34809378386365875</v>
      </c>
      <c r="I59" s="1559">
        <v>0.3454145469544892</v>
      </c>
      <c r="J59" s="1559">
        <v>0.31078917670524631</v>
      </c>
      <c r="K59" s="1559">
        <v>0.34616626074708767</v>
      </c>
      <c r="L59" s="1559">
        <v>0.31713286188309836</v>
      </c>
      <c r="M59" s="1559">
        <v>0.42730742539902844</v>
      </c>
      <c r="N59" s="1559">
        <v>0.42020011258602846</v>
      </c>
      <c r="O59" s="1559">
        <v>0.34953496276612178</v>
      </c>
      <c r="P59" s="1559">
        <v>0.38806338143923208</v>
      </c>
      <c r="Q59" s="1559">
        <v>0.41066098857101258</v>
      </c>
      <c r="R59" s="1559">
        <v>0.39127358051360361</v>
      </c>
      <c r="S59" s="1559">
        <v>0.36185805797835763</v>
      </c>
      <c r="T59" s="1559">
        <v>0.46502080012441205</v>
      </c>
      <c r="U59" s="1559">
        <v>0.41570120861045556</v>
      </c>
      <c r="V59" s="1559">
        <v>0.38187129164764949</v>
      </c>
      <c r="W59" s="1559">
        <v>0.35059718658763162</v>
      </c>
      <c r="X59" s="1559">
        <v>0.51325500655277856</v>
      </c>
      <c r="Y59" s="1559">
        <v>0.45721445593690885</v>
      </c>
      <c r="Z59" s="1559">
        <v>0.33107402707955219</v>
      </c>
      <c r="AA59" s="1559">
        <v>0.29163919015616013</v>
      </c>
      <c r="AB59" s="1559">
        <v>0.34740723860034389</v>
      </c>
      <c r="AC59" s="1559">
        <v>0.33324999999999999</v>
      </c>
      <c r="AD59" s="1559">
        <v>0.33046861719207449</v>
      </c>
      <c r="AE59" s="1559">
        <v>0.30420740609653585</v>
      </c>
      <c r="AF59" s="1559">
        <v>0.47391362126245845</v>
      </c>
      <c r="AG59" s="1559">
        <v>0.50405330090692613</v>
      </c>
      <c r="AH59" s="1559">
        <v>0.60724637681159421</v>
      </c>
      <c r="AI59" s="1559">
        <v>0.61518905176610594</v>
      </c>
      <c r="AJ59" s="1559">
        <v>0.4943304064662441</v>
      </c>
      <c r="AK59" s="1559">
        <v>0.5132096683530073</v>
      </c>
      <c r="AL59" s="1559">
        <v>0.30881900661233275</v>
      </c>
      <c r="AM59" s="1559">
        <v>0.25306726327944573</v>
      </c>
      <c r="AN59" s="1559">
        <v>0.24351585014409222</v>
      </c>
      <c r="AO59" s="1559">
        <v>0.37499377583030424</v>
      </c>
      <c r="AP59" s="1559" t="e">
        <v>#REF!</v>
      </c>
      <c r="AQ59" s="1559">
        <v>0.1537803312755944</v>
      </c>
      <c r="AR59" s="1559">
        <v>0.10480982581197477</v>
      </c>
      <c r="AS59" s="1559">
        <v>0.15381132075471698</v>
      </c>
      <c r="AT59" s="1559">
        <v>0.14983030545018966</v>
      </c>
      <c r="AU59" s="1559" t="e">
        <v>#DIV/0!</v>
      </c>
      <c r="AV59" s="1559" t="e">
        <v>#DIV/0!</v>
      </c>
      <c r="AW59" s="1559" t="e">
        <v>#DIV/0!</v>
      </c>
      <c r="AX59" s="1559" t="e">
        <v>#DIV/0!</v>
      </c>
      <c r="AY59" s="1559" t="e">
        <v>#DIV/0!</v>
      </c>
      <c r="AZ59" s="1650">
        <v>0.22941514650995137</v>
      </c>
      <c r="BA59" s="1650">
        <v>0.30967430476810637</v>
      </c>
      <c r="BB59" s="1650">
        <v>0.16900000000000004</v>
      </c>
      <c r="BC59" s="1650">
        <v>0.21100000000000008</v>
      </c>
      <c r="BD59" s="1650">
        <v>0.20399999999999996</v>
      </c>
      <c r="BE59" s="1650">
        <v>0.249</v>
      </c>
      <c r="BF59" s="1650">
        <v>0.17899999999999994</v>
      </c>
      <c r="BG59" s="1549"/>
      <c r="BH59" s="1559">
        <v>0.33536679765602612</v>
      </c>
      <c r="BI59" s="1559">
        <v>0.37110815369879036</v>
      </c>
      <c r="BJ59" s="1545">
        <v>-3.5741356042764236</v>
      </c>
      <c r="BK59" s="1677"/>
      <c r="BL59" s="1549"/>
      <c r="BM59" s="1559">
        <v>0.33536679765602612</v>
      </c>
      <c r="BN59" s="1559">
        <v>0.37110815369879036</v>
      </c>
      <c r="BO59" s="1559">
        <v>0.3834533817796773</v>
      </c>
      <c r="BP59" s="1559">
        <v>0.40516165235429674</v>
      </c>
      <c r="BQ59" s="1559">
        <v>0.40084346609384547</v>
      </c>
      <c r="BR59" s="1559">
        <v>0.32202693027230522</v>
      </c>
      <c r="BS59" s="1559">
        <v>0.41426754915066349</v>
      </c>
      <c r="BT59" s="1559">
        <v>0.42612535540849961</v>
      </c>
      <c r="BU59" s="1514">
        <v>0.2784341784426515</v>
      </c>
      <c r="BV59" s="1514">
        <v>0.30111954439766875</v>
      </c>
      <c r="BW59" s="2106">
        <v>0.59810947402198034</v>
      </c>
      <c r="BX59" s="2106">
        <v>0.51245759351456144</v>
      </c>
      <c r="BY59" s="2106">
        <v>0.13159381964363784</v>
      </c>
      <c r="BZ59" s="2104">
        <v>0.13831328504020735</v>
      </c>
      <c r="CA59" s="2104">
        <v>0.13580091880408962</v>
      </c>
      <c r="CB59" s="2104">
        <v>0.10299999999999998</v>
      </c>
      <c r="CC59" s="1484"/>
      <c r="CE59" s="2742"/>
      <c r="CF59" s="2742"/>
      <c r="CG59" s="2742"/>
    </row>
    <row r="60" spans="1:94" ht="12.75" customHeight="1" x14ac:dyDescent="0.2">
      <c r="A60" s="1551"/>
      <c r="B60" s="1546" t="s">
        <v>76</v>
      </c>
      <c r="C60" s="1545">
        <v>1.0239292916935927E-2</v>
      </c>
      <c r="D60" s="1559"/>
      <c r="E60" s="1514"/>
      <c r="F60" s="1514">
        <v>0.89039974484371676</v>
      </c>
      <c r="G60" s="1514">
        <v>0.86279155263265395</v>
      </c>
      <c r="H60" s="1559">
        <v>0.92659590188158802</v>
      </c>
      <c r="I60" s="1559">
        <v>0.90708098446308261</v>
      </c>
      <c r="J60" s="1559">
        <v>0.8902973519145474</v>
      </c>
      <c r="K60" s="1559">
        <v>0.88674843745415066</v>
      </c>
      <c r="L60" s="1559">
        <v>0.91203098959506324</v>
      </c>
      <c r="M60" s="1559">
        <v>1.0787647467036781</v>
      </c>
      <c r="N60" s="1559">
        <v>1.0268208974196009</v>
      </c>
      <c r="O60" s="1559">
        <v>0.94506071748601794</v>
      </c>
      <c r="P60" s="1559">
        <v>0.97997961800190669</v>
      </c>
      <c r="Q60" s="1559">
        <v>0.99743393754094778</v>
      </c>
      <c r="R60" s="1559">
        <v>1.0005959142628353</v>
      </c>
      <c r="S60" s="1559">
        <v>1.0405703738554521</v>
      </c>
      <c r="T60" s="1559">
        <v>1.1366898643132073</v>
      </c>
      <c r="U60" s="1559">
        <v>0.97684688550382603</v>
      </c>
      <c r="V60" s="1559">
        <v>0.92357827476038334</v>
      </c>
      <c r="W60" s="1559">
        <v>0.95394143147836863</v>
      </c>
      <c r="X60" s="1559">
        <v>1.1203182121260893</v>
      </c>
      <c r="Y60" s="1559">
        <v>1.0552784807016682</v>
      </c>
      <c r="Z60" s="1559">
        <v>0.85996048890959031</v>
      </c>
      <c r="AA60" s="1559">
        <v>0.78412582604913506</v>
      </c>
      <c r="AB60" s="1559">
        <v>0.92577016304460424</v>
      </c>
      <c r="AC60" s="1559">
        <v>0.91245454545454541</v>
      </c>
      <c r="AD60" s="1559">
        <v>0.87205107379634705</v>
      </c>
      <c r="AE60" s="1559">
        <v>0.90948104233951244</v>
      </c>
      <c r="AF60" s="1559">
        <v>1.0322923588039867</v>
      </c>
      <c r="AG60" s="1559">
        <v>1.0730860819780108</v>
      </c>
      <c r="AH60" s="1559">
        <v>1.3023832528180355</v>
      </c>
      <c r="AI60" s="1559">
        <v>1.3981175961486449</v>
      </c>
      <c r="AJ60" s="1559">
        <v>1.1015293365121823</v>
      </c>
      <c r="AK60" s="1559">
        <v>1.1182686902754357</v>
      </c>
      <c r="AL60" s="1559">
        <v>0.89358757496540053</v>
      </c>
      <c r="AM60" s="1559">
        <v>0.82411951501154734</v>
      </c>
      <c r="AN60" s="1559">
        <v>0.82356367649763929</v>
      </c>
      <c r="AO60" s="1559">
        <v>0.99133595578349853</v>
      </c>
      <c r="AP60" s="1559" t="e">
        <v>#REF!</v>
      </c>
      <c r="AQ60" s="1559">
        <v>0.69350895422040215</v>
      </c>
      <c r="AR60" s="1559">
        <v>0.66254345965022621</v>
      </c>
      <c r="AS60" s="1559">
        <v>0.73509433962264148</v>
      </c>
      <c r="AT60" s="1559">
        <v>0.73823783855726355</v>
      </c>
      <c r="AU60" s="1559" t="e">
        <v>#REF!</v>
      </c>
      <c r="AV60" s="1559" t="e">
        <v>#REF!</v>
      </c>
      <c r="AW60" s="1559" t="e">
        <v>#REF!</v>
      </c>
      <c r="AX60" s="1559" t="e">
        <v>#REF!</v>
      </c>
      <c r="AY60" s="1559" t="e">
        <v>#REF!</v>
      </c>
      <c r="AZ60" s="1650">
        <v>0.78796893678764046</v>
      </c>
      <c r="BA60" s="1650">
        <v>0.81936881813384832</v>
      </c>
      <c r="BB60" s="1650">
        <v>0.68600000000000005</v>
      </c>
      <c r="BC60" s="1650">
        <v>0.77500000000000002</v>
      </c>
      <c r="BD60" s="1650">
        <v>0.74299999999999999</v>
      </c>
      <c r="BE60" s="1650">
        <v>0.76</v>
      </c>
      <c r="BF60" s="1650">
        <v>0.73199999999999998</v>
      </c>
      <c r="BG60" s="1549"/>
      <c r="BH60" s="1559">
        <v>0.89737373471196069</v>
      </c>
      <c r="BI60" s="1559">
        <v>0.96410558527095647</v>
      </c>
      <c r="BJ60" s="1545">
        <v>-6.6731850558995776</v>
      </c>
      <c r="BK60" s="1677"/>
      <c r="BL60" s="1549"/>
      <c r="BM60" s="1559">
        <v>0.89737373471196069</v>
      </c>
      <c r="BN60" s="1559">
        <v>0.96410558527095647</v>
      </c>
      <c r="BO60" s="1559">
        <v>0.97915127812101055</v>
      </c>
      <c r="BP60" s="1559">
        <v>1.0174443795392139</v>
      </c>
      <c r="BQ60" s="1559">
        <v>0.9810860611315847</v>
      </c>
      <c r="BR60" s="1559">
        <v>0.86329306880384327</v>
      </c>
      <c r="BS60" s="1559">
        <v>1.016901959505722</v>
      </c>
      <c r="BT60" s="1559">
        <v>1.0663764688121178</v>
      </c>
      <c r="BU60" s="1514">
        <v>0.86458166618025023</v>
      </c>
      <c r="BV60" s="1514">
        <v>0.8969875754130433</v>
      </c>
      <c r="BW60" s="2106" t="e">
        <v>#REF!</v>
      </c>
      <c r="BX60" s="2106">
        <v>1.0811340705820152</v>
      </c>
      <c r="BY60" s="2106">
        <v>0.66735799362344184</v>
      </c>
      <c r="BZ60" s="2104">
        <v>0.70103675151192923</v>
      </c>
      <c r="CA60" s="2104">
        <v>0.70568967862786336</v>
      </c>
      <c r="CB60" s="2104">
        <v>0.73</v>
      </c>
      <c r="CC60" s="1484"/>
      <c r="CE60" s="2742"/>
      <c r="CF60" s="2742"/>
      <c r="CG60" s="2742"/>
    </row>
    <row r="61" spans="1:94" ht="12.75" customHeight="1" x14ac:dyDescent="0.2">
      <c r="A61" s="1551"/>
      <c r="B61" s="1546" t="s">
        <v>77</v>
      </c>
      <c r="C61" s="1545">
        <v>0.13730202816700232</v>
      </c>
      <c r="D61" s="1559"/>
      <c r="E61" s="1514"/>
      <c r="F61" s="1514">
        <v>0.10128641292791835</v>
      </c>
      <c r="G61" s="1514">
        <v>0.1264245741595523</v>
      </c>
      <c r="H61" s="1559">
        <v>6.4230125110826514E-2</v>
      </c>
      <c r="I61" s="1559">
        <v>8.2551904303588622E-2</v>
      </c>
      <c r="J61" s="1559">
        <v>9.9913392646248322E-2</v>
      </c>
      <c r="K61" s="1559">
        <v>0.10036972915871945</v>
      </c>
      <c r="L61" s="1559">
        <v>7.6753299400927885E-2</v>
      </c>
      <c r="M61" s="1559">
        <v>-9.46825121443442E-2</v>
      </c>
      <c r="N61" s="1559">
        <v>-4.0512811200493923E-2</v>
      </c>
      <c r="O61" s="1559">
        <v>4.3367425763989741E-2</v>
      </c>
      <c r="P61" s="1559">
        <v>7.7583089516420657E-3</v>
      </c>
      <c r="Q61" s="1559">
        <v>-1.1046807891097037E-2</v>
      </c>
      <c r="R61" s="1559">
        <v>-1.4562654798040931E-2</v>
      </c>
      <c r="S61" s="1559">
        <v>-5.4142086786580293E-2</v>
      </c>
      <c r="T61" s="1559">
        <v>-0.15126939077018789</v>
      </c>
      <c r="U61" s="1559">
        <v>9.7797325323607243E-3</v>
      </c>
      <c r="V61" s="1559">
        <v>6.2674577818347788E-2</v>
      </c>
      <c r="W61" s="1559">
        <v>3.2752366628328762E-2</v>
      </c>
      <c r="X61" s="1559">
        <v>-0.13760835076908928</v>
      </c>
      <c r="Y61" s="1559">
        <v>-5.527848070166818E-2</v>
      </c>
      <c r="Z61" s="1559">
        <v>0.14003951109040974</v>
      </c>
      <c r="AA61" s="1559">
        <v>0.21587417395086497</v>
      </c>
      <c r="AB61" s="1559">
        <v>7.4229836955395798E-2</v>
      </c>
      <c r="AC61" s="1559" t="e">
        <v>#REF!</v>
      </c>
      <c r="AD61" s="1559" t="e">
        <v>#REF!</v>
      </c>
      <c r="AE61" s="1559" t="e">
        <v>#REF!</v>
      </c>
      <c r="AF61" s="1559" t="e">
        <v>#REF!</v>
      </c>
      <c r="AG61" s="1559" t="e">
        <v>#REF!</v>
      </c>
      <c r="AH61" s="1559" t="e">
        <v>#REF!</v>
      </c>
      <c r="AI61" s="1559" t="e">
        <v>#REF!</v>
      </c>
      <c r="AJ61" s="1559" t="e">
        <v>#REF!</v>
      </c>
      <c r="AK61" s="1559" t="e">
        <v>#REF!</v>
      </c>
      <c r="AL61" s="1559" t="e">
        <v>#REF!</v>
      </c>
      <c r="AM61" s="1559" t="e">
        <v>#REF!</v>
      </c>
      <c r="AN61" s="1559" t="e">
        <v>#REF!</v>
      </c>
      <c r="AO61" s="1559" t="e">
        <v>#REF!</v>
      </c>
      <c r="AP61" s="1559" t="e">
        <v>#REF!</v>
      </c>
      <c r="AQ61" s="1559">
        <v>0.30649104577959785</v>
      </c>
      <c r="AR61" s="1559">
        <v>0.33745654034977374</v>
      </c>
      <c r="AS61" s="1559">
        <v>0.26490566037735847</v>
      </c>
      <c r="AT61" s="1559">
        <v>0.2617621614427364</v>
      </c>
      <c r="AU61" s="1559" t="e">
        <v>#REF!</v>
      </c>
      <c r="AV61" s="1559" t="e">
        <v>#REF!</v>
      </c>
      <c r="AW61" s="1559" t="e">
        <v>#REF!</v>
      </c>
      <c r="AX61" s="1559" t="e">
        <v>#REF!</v>
      </c>
      <c r="AY61" s="1559" t="e">
        <v>#REF!</v>
      </c>
      <c r="AZ61" s="1650">
        <v>0.21203106321235959</v>
      </c>
      <c r="BA61" s="1650">
        <v>0.18063118186615174</v>
      </c>
      <c r="BB61" s="1650">
        <v>0.31399999999999995</v>
      </c>
      <c r="BC61" s="1650">
        <v>0.22500000000000001</v>
      </c>
      <c r="BD61" s="1650">
        <v>0.25700000000000001</v>
      </c>
      <c r="BE61" s="1650">
        <v>0.24</v>
      </c>
      <c r="BF61" s="1650">
        <v>0.26800000000000002</v>
      </c>
      <c r="BG61" s="1549"/>
      <c r="BH61" s="1559">
        <v>9.262254312602318E-2</v>
      </c>
      <c r="BI61" s="1559">
        <v>2.2700494189249902E-2</v>
      </c>
      <c r="BJ61" s="1545">
        <v>6.9922048936773287</v>
      </c>
      <c r="BK61" s="1677"/>
      <c r="BL61" s="1549"/>
      <c r="BM61" s="1559">
        <v>9.262254312602318E-2</v>
      </c>
      <c r="BN61" s="1559">
        <v>2.2700494189249902E-2</v>
      </c>
      <c r="BO61" s="1559">
        <v>8.0696466007147399E-3</v>
      </c>
      <c r="BP61" s="1559">
        <v>-3.1247728955756636E-2</v>
      </c>
      <c r="BQ61" s="1559">
        <v>4.1138679226691366E-3</v>
      </c>
      <c r="BR61" s="1559">
        <v>0.12423031618818856</v>
      </c>
      <c r="BS61" s="1559">
        <v>-1.6901959505722017E-2</v>
      </c>
      <c r="BT61" s="1559">
        <v>-6.6376468812117853E-2</v>
      </c>
      <c r="BU61" s="1514">
        <v>0.13541833381974977</v>
      </c>
      <c r="BV61" s="1514" t="e">
        <v>#REF!</v>
      </c>
      <c r="BW61" s="2106" t="e">
        <v>#REF!</v>
      </c>
      <c r="BX61" s="2106" t="e">
        <v>#REF!</v>
      </c>
      <c r="BY61" s="2106" t="e">
        <v>#REF!</v>
      </c>
      <c r="BZ61" s="2104" t="e">
        <v>#REF!</v>
      </c>
      <c r="CA61" s="2104" t="e">
        <v>#REF!</v>
      </c>
      <c r="CB61" s="2104">
        <v>0.27</v>
      </c>
      <c r="CC61" s="1483"/>
    </row>
    <row r="62" spans="1:94" ht="12.75" customHeight="1" x14ac:dyDescent="0.2">
      <c r="A62" s="1551"/>
      <c r="B62" s="1546"/>
      <c r="C62" s="1560"/>
      <c r="D62" s="1559"/>
      <c r="E62" s="1514"/>
      <c r="F62" s="1514"/>
      <c r="G62" s="1514"/>
      <c r="H62" s="1559"/>
      <c r="I62" s="1559"/>
      <c r="J62" s="1559"/>
      <c r="K62" s="1559"/>
      <c r="L62" s="1559"/>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c r="AN62" s="1559"/>
      <c r="AO62" s="1559"/>
      <c r="AP62" s="1559"/>
      <c r="AQ62" s="1559"/>
      <c r="AR62" s="1559"/>
      <c r="AS62" s="1559"/>
      <c r="AT62" s="1559"/>
      <c r="AU62" s="1559"/>
      <c r="AV62" s="1559"/>
      <c r="AW62" s="1559"/>
      <c r="AX62" s="1559"/>
      <c r="AY62" s="1559"/>
      <c r="AZ62" s="1650"/>
      <c r="BA62" s="1650"/>
      <c r="BB62" s="1650"/>
      <c r="BC62" s="1650"/>
      <c r="BD62" s="1650"/>
      <c r="BE62" s="1650"/>
      <c r="BF62" s="1650"/>
      <c r="BG62" s="1549"/>
      <c r="BH62" s="1559"/>
      <c r="BI62" s="1559"/>
      <c r="BJ62" s="1545"/>
      <c r="BK62" s="1677"/>
      <c r="BL62" s="1549"/>
      <c r="BM62" s="1650"/>
      <c r="BN62" s="1650"/>
      <c r="BO62" s="1650"/>
      <c r="BP62" s="1650"/>
      <c r="BQ62" s="1650"/>
      <c r="BR62" s="1650"/>
      <c r="BS62" s="1650"/>
      <c r="BT62" s="1650"/>
      <c r="BU62" s="2106"/>
      <c r="BV62" s="2106"/>
      <c r="BW62" s="2106"/>
      <c r="BX62" s="2106"/>
      <c r="BY62" s="2106"/>
      <c r="BZ62" s="2104"/>
      <c r="CA62" s="2104"/>
      <c r="CB62" s="2104"/>
      <c r="CC62" s="1483"/>
    </row>
    <row r="63" spans="1:94" ht="12.75" customHeight="1" x14ac:dyDescent="0.2">
      <c r="A63" s="1561" t="s">
        <v>194</v>
      </c>
      <c r="B63" s="1546"/>
      <c r="C63" s="1549"/>
      <c r="D63" s="1549"/>
      <c r="E63" s="1497"/>
      <c r="F63" s="1497"/>
      <c r="G63" s="1497"/>
      <c r="H63" s="1549"/>
      <c r="I63" s="1549"/>
      <c r="J63" s="1549"/>
      <c r="K63" s="1549"/>
      <c r="L63" s="1528"/>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549"/>
      <c r="AM63" s="1549"/>
      <c r="AN63" s="1549"/>
      <c r="AO63" s="1549"/>
      <c r="AP63" s="1549"/>
      <c r="AQ63" s="1549"/>
      <c r="AR63" s="1549"/>
      <c r="AS63" s="1549"/>
      <c r="AT63" s="1549"/>
      <c r="AU63" s="1549"/>
      <c r="AV63" s="1549"/>
      <c r="AW63" s="1549"/>
      <c r="AX63" s="1549"/>
      <c r="AY63" s="1549"/>
      <c r="AZ63" s="1549"/>
      <c r="BA63" s="1549"/>
      <c r="BB63" s="1528"/>
      <c r="BC63" s="1549"/>
      <c r="BD63" s="1528"/>
      <c r="BE63" s="1528"/>
      <c r="BF63" s="1549"/>
      <c r="BG63" s="1549"/>
      <c r="BH63" s="1549"/>
      <c r="BI63" s="1549"/>
      <c r="BJ63" s="1590"/>
      <c r="BK63" s="1590"/>
      <c r="BL63" s="1549"/>
      <c r="BM63" s="1549"/>
      <c r="BN63" s="1549"/>
      <c r="BO63" s="1549"/>
      <c r="BP63" s="1549"/>
      <c r="BQ63" s="1549"/>
      <c r="BR63" s="1549"/>
      <c r="BS63" s="1549"/>
      <c r="BT63" s="1549"/>
      <c r="BU63" s="1497"/>
      <c r="BV63" s="1497"/>
      <c r="BW63" s="1497"/>
      <c r="BX63" s="1497"/>
      <c r="BY63" s="1497"/>
      <c r="BZ63" s="1504"/>
      <c r="CA63" s="2104"/>
      <c r="CB63" s="2104"/>
      <c r="CC63" s="1483"/>
    </row>
    <row r="64" spans="1:94" ht="12.75" customHeight="1" x14ac:dyDescent="0.2">
      <c r="C64" s="3192" t="s">
        <v>671</v>
      </c>
      <c r="D64" s="3193"/>
      <c r="E64" s="1488"/>
      <c r="F64" s="1489"/>
      <c r="G64" s="1490"/>
      <c r="H64" s="1716"/>
      <c r="I64" s="1716"/>
      <c r="J64" s="1717"/>
      <c r="K64" s="1568"/>
      <c r="L64" s="2443"/>
      <c r="M64" s="1716"/>
      <c r="N64" s="1717"/>
      <c r="O64" s="1568"/>
      <c r="P64" s="1568"/>
      <c r="Q64" s="1716"/>
      <c r="R64" s="1717"/>
      <c r="S64" s="1568"/>
      <c r="T64" s="1568"/>
      <c r="U64" s="1716"/>
      <c r="V64" s="1717"/>
      <c r="W64" s="1568"/>
      <c r="X64" s="1568"/>
      <c r="Y64" s="1716"/>
      <c r="Z64" s="1717"/>
      <c r="AA64" s="1568"/>
      <c r="AB64" s="1568"/>
      <c r="AC64" s="1716"/>
      <c r="AD64" s="1717"/>
      <c r="AE64" s="1716"/>
      <c r="AF64" s="1716"/>
      <c r="AG64" s="1716"/>
      <c r="AH64" s="1717"/>
      <c r="AI64" s="1716"/>
      <c r="AJ64" s="1716"/>
      <c r="AK64" s="1716"/>
      <c r="AL64" s="1716"/>
      <c r="AM64" s="1655"/>
      <c r="AN64" s="1716"/>
      <c r="AO64" s="1716"/>
      <c r="AP64" s="1716"/>
      <c r="AQ64" s="1655"/>
      <c r="AR64" s="1716"/>
      <c r="AS64" s="1716"/>
      <c r="AT64" s="1716"/>
      <c r="AU64" s="1655"/>
      <c r="AV64" s="1716"/>
      <c r="AW64" s="1717"/>
      <c r="AX64" s="1717"/>
      <c r="AY64" s="1717"/>
      <c r="AZ64" s="1549"/>
      <c r="BA64" s="1549"/>
      <c r="BB64" s="1528"/>
      <c r="BC64" s="1549"/>
      <c r="BD64" s="1528"/>
      <c r="BE64" s="1528"/>
      <c r="BF64" s="1549"/>
      <c r="BG64" s="1589"/>
      <c r="BH64" s="988" t="s">
        <v>660</v>
      </c>
      <c r="BI64" s="988"/>
      <c r="BJ64" s="988" t="s">
        <v>563</v>
      </c>
      <c r="BK64" s="989"/>
      <c r="BL64" s="1549"/>
      <c r="BM64" s="1571"/>
      <c r="BN64" s="1571"/>
      <c r="BO64" s="1571"/>
      <c r="BP64" s="1571"/>
      <c r="BQ64" s="1571"/>
      <c r="BR64" s="1571"/>
      <c r="BS64" s="1571"/>
      <c r="BT64" s="1571"/>
      <c r="BU64" s="2062"/>
      <c r="BV64" s="2062"/>
      <c r="BW64" s="2062"/>
      <c r="BX64" s="2112"/>
      <c r="BY64" s="2112"/>
      <c r="BZ64" s="2062"/>
      <c r="CA64" s="2104"/>
      <c r="CB64" s="2104"/>
      <c r="CC64" s="2065"/>
    </row>
    <row r="65" spans="1:94" ht="12.75" customHeight="1" x14ac:dyDescent="0.2">
      <c r="C65" s="3186" t="s">
        <v>38</v>
      </c>
      <c r="D65" s="3187"/>
      <c r="E65" s="1491"/>
      <c r="F65" s="907" t="s">
        <v>670</v>
      </c>
      <c r="G65" s="1948" t="s">
        <v>558</v>
      </c>
      <c r="H65" s="992" t="s">
        <v>559</v>
      </c>
      <c r="I65" s="992" t="s">
        <v>560</v>
      </c>
      <c r="J65" s="993" t="s">
        <v>561</v>
      </c>
      <c r="K65" s="992" t="s">
        <v>508</v>
      </c>
      <c r="L65" s="992" t="s">
        <v>507</v>
      </c>
      <c r="M65" s="992" t="s">
        <v>506</v>
      </c>
      <c r="N65" s="993" t="s">
        <v>505</v>
      </c>
      <c r="O65" s="992" t="s">
        <v>382</v>
      </c>
      <c r="P65" s="992" t="s">
        <v>383</v>
      </c>
      <c r="Q65" s="992" t="s">
        <v>384</v>
      </c>
      <c r="R65" s="993" t="s">
        <v>385</v>
      </c>
      <c r="S65" s="992" t="s">
        <v>368</v>
      </c>
      <c r="T65" s="992" t="s">
        <v>367</v>
      </c>
      <c r="U65" s="992" t="s">
        <v>366</v>
      </c>
      <c r="V65" s="993" t="s">
        <v>364</v>
      </c>
      <c r="W65" s="992" t="s">
        <v>348</v>
      </c>
      <c r="X65" s="992" t="s">
        <v>349</v>
      </c>
      <c r="Y65" s="992" t="s">
        <v>350</v>
      </c>
      <c r="Z65" s="993" t="s">
        <v>351</v>
      </c>
      <c r="AA65" s="1572" t="s">
        <v>315</v>
      </c>
      <c r="AB65" s="1572" t="s">
        <v>314</v>
      </c>
      <c r="AC65" s="1572" t="s">
        <v>313</v>
      </c>
      <c r="AD65" s="1573" t="s">
        <v>311</v>
      </c>
      <c r="AE65" s="1572" t="s">
        <v>270</v>
      </c>
      <c r="AF65" s="1572" t="s">
        <v>271</v>
      </c>
      <c r="AG65" s="1572" t="s">
        <v>272</v>
      </c>
      <c r="AH65" s="1573" t="s">
        <v>273</v>
      </c>
      <c r="AI65" s="1572" t="s">
        <v>223</v>
      </c>
      <c r="AJ65" s="1572" t="s">
        <v>224</v>
      </c>
      <c r="AK65" s="1572" t="s">
        <v>225</v>
      </c>
      <c r="AL65" s="1573" t="s">
        <v>222</v>
      </c>
      <c r="AM65" s="1574" t="s">
        <v>189</v>
      </c>
      <c r="AN65" s="1572" t="s">
        <v>190</v>
      </c>
      <c r="AO65" s="1572" t="s">
        <v>191</v>
      </c>
      <c r="AP65" s="1572">
        <v>0</v>
      </c>
      <c r="AQ65" s="1574" t="s">
        <v>121</v>
      </c>
      <c r="AR65" s="1572" t="s">
        <v>120</v>
      </c>
      <c r="AS65" s="1572" t="s">
        <v>119</v>
      </c>
      <c r="AT65" s="1572" t="s">
        <v>118</v>
      </c>
      <c r="AU65" s="1574" t="s">
        <v>81</v>
      </c>
      <c r="AV65" s="1572" t="s">
        <v>82</v>
      </c>
      <c r="AW65" s="1573" t="s">
        <v>83</v>
      </c>
      <c r="AX65" s="1573" t="s">
        <v>29</v>
      </c>
      <c r="AY65" s="1573" t="s">
        <v>29</v>
      </c>
      <c r="AZ65" s="1549"/>
      <c r="BA65" s="1549"/>
      <c r="BB65" s="1528"/>
      <c r="BC65" s="1549"/>
      <c r="BD65" s="1528"/>
      <c r="BE65" s="1528"/>
      <c r="BF65" s="1549"/>
      <c r="BG65" s="1589"/>
      <c r="BH65" s="992" t="s">
        <v>558</v>
      </c>
      <c r="BI65" s="992" t="s">
        <v>508</v>
      </c>
      <c r="BJ65" s="3194" t="s">
        <v>38</v>
      </c>
      <c r="BK65" s="3076"/>
      <c r="BL65" s="1549"/>
      <c r="BM65" s="994" t="s">
        <v>562</v>
      </c>
      <c r="BN65" s="994" t="s">
        <v>509</v>
      </c>
      <c r="BO65" s="994" t="s">
        <v>502</v>
      </c>
      <c r="BP65" s="994" t="s">
        <v>379</v>
      </c>
      <c r="BQ65" s="994" t="s">
        <v>360</v>
      </c>
      <c r="BR65" s="994" t="s">
        <v>317</v>
      </c>
      <c r="BS65" s="1574" t="s">
        <v>275</v>
      </c>
      <c r="BT65" s="1574" t="s">
        <v>227</v>
      </c>
      <c r="BU65" s="2066" t="s">
        <v>123</v>
      </c>
      <c r="BV65" s="2066" t="s">
        <v>122</v>
      </c>
      <c r="BW65" s="2066" t="s">
        <v>42</v>
      </c>
      <c r="BX65" s="2067" t="s">
        <v>39</v>
      </c>
      <c r="BY65" s="2067" t="s">
        <v>40</v>
      </c>
      <c r="BZ65" s="2067" t="s">
        <v>142</v>
      </c>
      <c r="CA65" s="2104"/>
      <c r="CB65" s="2104"/>
      <c r="CC65" s="2065"/>
    </row>
    <row r="66" spans="1:94" ht="12.75" customHeight="1" x14ac:dyDescent="0.2">
      <c r="A66" s="1551"/>
      <c r="B66" s="946" t="s">
        <v>607</v>
      </c>
      <c r="C66" s="1533">
        <v>-1553</v>
      </c>
      <c r="D66" s="1536">
        <v>-8.8424528839036606E-2</v>
      </c>
      <c r="E66" s="2874"/>
      <c r="F66" s="1502">
        <v>16010</v>
      </c>
      <c r="G66" s="2905">
        <v>17393</v>
      </c>
      <c r="H66" s="1657">
        <v>23811</v>
      </c>
      <c r="I66" s="1657">
        <v>18810</v>
      </c>
      <c r="J66" s="1678">
        <v>17563</v>
      </c>
      <c r="K66" s="1657">
        <v>16931</v>
      </c>
      <c r="L66" s="1657">
        <v>16652</v>
      </c>
      <c r="M66" s="1657">
        <v>16093</v>
      </c>
      <c r="N66" s="1678">
        <v>19808</v>
      </c>
      <c r="O66" s="1657">
        <v>19758</v>
      </c>
      <c r="P66" s="1657">
        <v>21041</v>
      </c>
      <c r="Q66" s="1657">
        <v>18954</v>
      </c>
      <c r="R66" s="1678">
        <v>17645</v>
      </c>
      <c r="S66" s="1657">
        <v>19215</v>
      </c>
      <c r="T66" s="1657">
        <v>18448</v>
      </c>
      <c r="U66" s="1657">
        <v>18744</v>
      </c>
      <c r="V66" s="1678">
        <v>16437</v>
      </c>
      <c r="W66" s="1657">
        <v>18808</v>
      </c>
      <c r="X66" s="1657">
        <v>19612</v>
      </c>
      <c r="Y66" s="1657">
        <v>12417</v>
      </c>
      <c r="Z66" s="1678">
        <v>17090</v>
      </c>
      <c r="AA66" s="1657">
        <v>19672</v>
      </c>
      <c r="AB66" s="1657">
        <v>18459</v>
      </c>
      <c r="AC66" s="1657">
        <v>17132</v>
      </c>
      <c r="AD66" s="1678">
        <v>17578</v>
      </c>
      <c r="AE66" s="1657">
        <v>15504</v>
      </c>
      <c r="AF66" s="1657">
        <v>16119</v>
      </c>
      <c r="AG66" s="1657">
        <v>16627</v>
      </c>
      <c r="AH66" s="1678">
        <v>17628</v>
      </c>
      <c r="AI66" s="1269">
        <v>11285</v>
      </c>
      <c r="AJ66" s="1269">
        <v>10987</v>
      </c>
      <c r="AK66" s="1269">
        <v>11236</v>
      </c>
      <c r="AL66" s="1657">
        <v>11678</v>
      </c>
      <c r="AM66" s="1679">
        <v>13847</v>
      </c>
      <c r="AN66" s="1657">
        <v>13861</v>
      </c>
      <c r="AO66" s="1657">
        <v>12994</v>
      </c>
      <c r="AP66" s="1657">
        <v>6975</v>
      </c>
      <c r="AQ66" s="1679">
        <v>8215</v>
      </c>
      <c r="AR66" s="1657">
        <v>9418</v>
      </c>
      <c r="AS66" s="1657">
        <v>9547</v>
      </c>
      <c r="AT66" s="1657">
        <v>8802</v>
      </c>
      <c r="AU66" s="1680">
        <v>7648</v>
      </c>
      <c r="AV66" s="1659">
        <v>7035</v>
      </c>
      <c r="AW66" s="1681">
        <v>8214</v>
      </c>
      <c r="AX66" s="1678">
        <v>8390</v>
      </c>
      <c r="AY66" s="1658">
        <v>29584</v>
      </c>
      <c r="AZ66" s="1549"/>
      <c r="BA66" s="1549"/>
      <c r="BB66" s="1528"/>
      <c r="BC66" s="1549"/>
      <c r="BD66" s="1528"/>
      <c r="BE66" s="1528"/>
      <c r="BF66" s="1549"/>
      <c r="BG66" s="1589"/>
      <c r="BH66" s="1667">
        <v>77577</v>
      </c>
      <c r="BI66" s="1603">
        <v>69484</v>
      </c>
      <c r="BJ66" s="1682">
        <v>8093</v>
      </c>
      <c r="BK66" s="1536">
        <v>0.11647285706061827</v>
      </c>
      <c r="BL66" s="1549"/>
      <c r="BM66" s="1665">
        <v>77577</v>
      </c>
      <c r="BN66" s="1665">
        <v>69484</v>
      </c>
      <c r="BO66" s="1665">
        <v>77398</v>
      </c>
      <c r="BP66" s="1665">
        <v>72844</v>
      </c>
      <c r="BQ66" s="1665">
        <v>67927</v>
      </c>
      <c r="BR66" s="1665">
        <v>72841</v>
      </c>
      <c r="BS66" s="1665">
        <v>65878</v>
      </c>
      <c r="BT66" s="1665">
        <v>45186</v>
      </c>
      <c r="BU66" s="2143">
        <v>53682</v>
      </c>
      <c r="BV66" s="2003">
        <v>39936</v>
      </c>
      <c r="BW66" s="2003">
        <v>46210</v>
      </c>
      <c r="BX66" s="2003">
        <v>43776</v>
      </c>
      <c r="BY66" s="2115">
        <v>45773</v>
      </c>
      <c r="BZ66" s="2095">
        <v>41570</v>
      </c>
      <c r="CA66" s="2104"/>
      <c r="CB66" s="2104"/>
      <c r="CC66" s="2065"/>
      <c r="CE66" s="1920">
        <v>-4389</v>
      </c>
      <c r="CF66" s="1180">
        <v>-0.20859274749298987</v>
      </c>
      <c r="CG66" s="1180">
        <v>2836</v>
      </c>
      <c r="CH66" s="1180">
        <v>0.12016821865395326</v>
      </c>
      <c r="CI66" s="1180"/>
      <c r="CJ66" s="1920">
        <v>52553</v>
      </c>
      <c r="CK66" s="1315">
        <v>25024</v>
      </c>
      <c r="CL66" s="1920"/>
      <c r="CM66" s="1315">
        <v>8093</v>
      </c>
      <c r="CN66" s="1315">
        <v>0.11647285706061827</v>
      </c>
      <c r="CO66" s="1315">
        <v>0</v>
      </c>
      <c r="CP66" s="1180">
        <v>0</v>
      </c>
    </row>
    <row r="67" spans="1:94" ht="12.75" customHeight="1" x14ac:dyDescent="0.2">
      <c r="A67" s="1551"/>
      <c r="B67" s="946" t="s">
        <v>608</v>
      </c>
      <c r="C67" s="1533">
        <v>2633</v>
      </c>
      <c r="D67" s="1536">
        <v>0.11180941865896642</v>
      </c>
      <c r="E67" s="2874"/>
      <c r="F67" s="1502">
        <v>26182</v>
      </c>
      <c r="G67" s="2905">
        <v>13257</v>
      </c>
      <c r="H67" s="1657">
        <v>16732</v>
      </c>
      <c r="I67" s="1657">
        <v>20210</v>
      </c>
      <c r="J67" s="1678">
        <v>23549</v>
      </c>
      <c r="K67" s="1657">
        <v>15319</v>
      </c>
      <c r="L67" s="1657">
        <v>13992</v>
      </c>
      <c r="M67" s="1657">
        <v>5281</v>
      </c>
      <c r="N67" s="1678">
        <v>6489</v>
      </c>
      <c r="O67" s="1657">
        <v>14219</v>
      </c>
      <c r="P67" s="1657">
        <v>11721</v>
      </c>
      <c r="Q67" s="1657">
        <v>11304</v>
      </c>
      <c r="R67" s="1678">
        <v>5556</v>
      </c>
      <c r="S67" s="1657">
        <v>3373</v>
      </c>
      <c r="T67" s="1657">
        <v>5466</v>
      </c>
      <c r="U67" s="1657">
        <v>11960</v>
      </c>
      <c r="V67" s="1678">
        <v>17812</v>
      </c>
      <c r="W67" s="1657">
        <v>12265</v>
      </c>
      <c r="X67" s="1657">
        <v>6097</v>
      </c>
      <c r="Y67" s="1657">
        <v>10224</v>
      </c>
      <c r="Z67" s="1678">
        <v>27776</v>
      </c>
      <c r="AA67" s="1657">
        <v>22644</v>
      </c>
      <c r="AB67" s="1657">
        <v>12445</v>
      </c>
      <c r="AC67" s="1657">
        <v>14009</v>
      </c>
      <c r="AD67" s="1678">
        <v>12951</v>
      </c>
      <c r="AE67" s="1657">
        <v>9745</v>
      </c>
      <c r="AF67" s="1657">
        <v>3573</v>
      </c>
      <c r="AG67" s="1657">
        <v>6814</v>
      </c>
      <c r="AH67" s="1678">
        <v>3882</v>
      </c>
      <c r="AI67" s="1269">
        <v>3882</v>
      </c>
      <c r="AJ67" s="1269">
        <v>5322</v>
      </c>
      <c r="AK67" s="1269">
        <v>4626</v>
      </c>
      <c r="AL67" s="1657">
        <v>11414</v>
      </c>
      <c r="AM67" s="1679">
        <v>10987</v>
      </c>
      <c r="AN67" s="1657">
        <v>15691</v>
      </c>
      <c r="AO67" s="1657">
        <v>6165</v>
      </c>
      <c r="AP67" s="1657">
        <v>31749</v>
      </c>
      <c r="AQ67" s="1679">
        <v>23306</v>
      </c>
      <c r="AR67" s="1657">
        <v>46294</v>
      </c>
      <c r="AS67" s="1657">
        <v>16811</v>
      </c>
      <c r="AT67" s="1657">
        <v>19402</v>
      </c>
      <c r="AU67" s="1680">
        <v>15250</v>
      </c>
      <c r="AV67" s="1657">
        <v>4569</v>
      </c>
      <c r="AW67" s="1678">
        <v>12638</v>
      </c>
      <c r="AX67" s="1678">
        <v>17564</v>
      </c>
      <c r="AY67" s="1658">
        <v>0</v>
      </c>
      <c r="AZ67" s="1549">
        <v>0</v>
      </c>
      <c r="BA67" s="1549">
        <v>0</v>
      </c>
      <c r="BB67" s="1528">
        <v>0</v>
      </c>
      <c r="BC67" s="1549">
        <v>0</v>
      </c>
      <c r="BD67" s="1528">
        <v>0</v>
      </c>
      <c r="BE67" s="1528">
        <v>0</v>
      </c>
      <c r="BF67" s="1549">
        <v>0</v>
      </c>
      <c r="BG67" s="1589"/>
      <c r="BH67" s="1667">
        <v>73748</v>
      </c>
      <c r="BI67" s="1603">
        <v>41081</v>
      </c>
      <c r="BJ67" s="1683">
        <v>32667</v>
      </c>
      <c r="BK67" s="1536">
        <v>0.79518512207589886</v>
      </c>
      <c r="BL67" s="1549"/>
      <c r="BM67" s="1665">
        <v>73748</v>
      </c>
      <c r="BN67" s="1665">
        <v>41081</v>
      </c>
      <c r="BO67" s="1665">
        <v>42800</v>
      </c>
      <c r="BP67" s="1665">
        <v>38611</v>
      </c>
      <c r="BQ67" s="1665">
        <v>56362</v>
      </c>
      <c r="BR67" s="1665">
        <v>62049</v>
      </c>
      <c r="BS67" s="1665">
        <v>24014</v>
      </c>
      <c r="BT67" s="1665">
        <v>25244</v>
      </c>
      <c r="BU67" s="2144">
        <v>42700</v>
      </c>
      <c r="BV67" s="2003">
        <v>37147</v>
      </c>
      <c r="BW67" s="2003">
        <v>12860</v>
      </c>
      <c r="BX67" s="2003">
        <v>34024</v>
      </c>
      <c r="BY67" s="2117">
        <v>128763</v>
      </c>
      <c r="BZ67" s="2084">
        <v>99263</v>
      </c>
      <c r="CA67" s="2104"/>
      <c r="CB67" s="2104"/>
      <c r="CC67" s="2065"/>
      <c r="CE67" s="1920">
        <v>2271</v>
      </c>
      <c r="CF67" s="1180">
        <v>0.1937547990785769</v>
      </c>
      <c r="CG67" s="1180">
        <v>362</v>
      </c>
      <c r="CH67" s="1180">
        <v>-8.1945380419610483E-2</v>
      </c>
      <c r="CI67" s="1180"/>
      <c r="CJ67" s="1920">
        <v>25762</v>
      </c>
      <c r="CK67" s="1315">
        <v>47986</v>
      </c>
      <c r="CL67" s="1920"/>
      <c r="CM67" s="1315">
        <v>32667</v>
      </c>
      <c r="CN67" s="1315">
        <v>0.79518512207589886</v>
      </c>
      <c r="CO67" s="1315">
        <v>0</v>
      </c>
      <c r="CP67" s="1180">
        <v>0</v>
      </c>
    </row>
    <row r="68" spans="1:94" ht="12.75" customHeight="1" x14ac:dyDescent="0.2">
      <c r="A68" s="1551"/>
      <c r="B68" s="946" t="s">
        <v>609</v>
      </c>
      <c r="C68" s="1533">
        <v>21109</v>
      </c>
      <c r="D68" s="1536">
        <v>2.3102768961365876</v>
      </c>
      <c r="E68" s="2874"/>
      <c r="F68" s="1502">
        <v>30246</v>
      </c>
      <c r="G68" s="2905">
        <v>15557</v>
      </c>
      <c r="H68" s="1657">
        <v>12988</v>
      </c>
      <c r="I68" s="1657">
        <v>11451</v>
      </c>
      <c r="J68" s="1678">
        <v>9137</v>
      </c>
      <c r="K68" s="1657">
        <v>7552</v>
      </c>
      <c r="L68" s="1657">
        <v>11033</v>
      </c>
      <c r="M68" s="1657">
        <v>7436</v>
      </c>
      <c r="N68" s="1678">
        <v>7083</v>
      </c>
      <c r="O68" s="1657">
        <v>6797</v>
      </c>
      <c r="P68" s="1657">
        <v>1984</v>
      </c>
      <c r="Q68" s="1657">
        <v>4432</v>
      </c>
      <c r="R68" s="1678">
        <v>9164</v>
      </c>
      <c r="S68" s="1657">
        <v>9385</v>
      </c>
      <c r="T68" s="1657">
        <v>8863</v>
      </c>
      <c r="U68" s="1657">
        <v>11081</v>
      </c>
      <c r="V68" s="1678">
        <v>1905</v>
      </c>
      <c r="W68" s="1657">
        <v>6378</v>
      </c>
      <c r="X68" s="1657">
        <v>4674</v>
      </c>
      <c r="Y68" s="1657">
        <v>6474</v>
      </c>
      <c r="Z68" s="1678">
        <v>2520</v>
      </c>
      <c r="AA68" s="1657">
        <v>5776</v>
      </c>
      <c r="AB68" s="1657">
        <v>3243</v>
      </c>
      <c r="AC68" s="1657">
        <v>1601</v>
      </c>
      <c r="AD68" s="1678">
        <v>6603</v>
      </c>
      <c r="AE68" s="1657">
        <v>6074</v>
      </c>
      <c r="AF68" s="1657">
        <v>5988</v>
      </c>
      <c r="AG68" s="1657">
        <v>5624</v>
      </c>
      <c r="AH68" s="1678">
        <v>3598</v>
      </c>
      <c r="AI68" s="1269">
        <v>1320</v>
      </c>
      <c r="AJ68" s="1269">
        <v>837</v>
      </c>
      <c r="AK68" s="1269">
        <v>1962</v>
      </c>
      <c r="AL68" s="1657">
        <v>2960</v>
      </c>
      <c r="AM68" s="1679">
        <v>2860</v>
      </c>
      <c r="AN68" s="1657">
        <v>2925</v>
      </c>
      <c r="AO68" s="1657">
        <v>740</v>
      </c>
      <c r="AP68" s="1657">
        <v>14504</v>
      </c>
      <c r="AQ68" s="1679">
        <v>1297</v>
      </c>
      <c r="AR68" s="1657">
        <v>1601</v>
      </c>
      <c r="AS68" s="1657">
        <v>1211</v>
      </c>
      <c r="AT68" s="1657">
        <v>1444</v>
      </c>
      <c r="AU68" s="1680">
        <v>2473</v>
      </c>
      <c r="AV68" s="1657">
        <v>1215</v>
      </c>
      <c r="AW68" s="1678">
        <v>2659</v>
      </c>
      <c r="AX68" s="1678">
        <v>8562</v>
      </c>
      <c r="AY68" s="1658"/>
      <c r="AZ68" s="1549"/>
      <c r="BA68" s="1549"/>
      <c r="BB68" s="1528"/>
      <c r="BC68" s="1549"/>
      <c r="BD68" s="1528"/>
      <c r="BE68" s="1528"/>
      <c r="BF68" s="1549"/>
      <c r="BG68" s="1589"/>
      <c r="BH68" s="1667">
        <v>49133</v>
      </c>
      <c r="BI68" s="1603">
        <v>33104</v>
      </c>
      <c r="BJ68" s="1685">
        <v>16029</v>
      </c>
      <c r="BK68" s="1536">
        <v>0.48420130497825037</v>
      </c>
      <c r="BL68" s="1549"/>
      <c r="BM68" s="1665">
        <v>49133</v>
      </c>
      <c r="BN68" s="1665">
        <v>33104</v>
      </c>
      <c r="BO68" s="1665">
        <v>22377</v>
      </c>
      <c r="BP68" s="1665">
        <v>31234</v>
      </c>
      <c r="BQ68" s="1665">
        <v>20046</v>
      </c>
      <c r="BR68" s="1665">
        <v>17223</v>
      </c>
      <c r="BS68" s="1665">
        <v>21284</v>
      </c>
      <c r="BT68" s="1665">
        <v>7079</v>
      </c>
      <c r="BU68" s="2144">
        <v>9588</v>
      </c>
      <c r="BV68" s="2003">
        <v>21890</v>
      </c>
      <c r="BW68" s="2003">
        <v>15171</v>
      </c>
      <c r="BX68" s="2003">
        <v>11589</v>
      </c>
      <c r="BY68" s="2125">
        <v>12713</v>
      </c>
      <c r="BZ68" s="2084">
        <v>4636</v>
      </c>
      <c r="CA68" s="2104"/>
      <c r="CB68" s="2104"/>
      <c r="CC68" s="2065"/>
      <c r="CE68" s="1920">
        <v>9049</v>
      </c>
      <c r="CF68" s="1180">
        <v>4.5609879032258061</v>
      </c>
      <c r="CG68" s="1180">
        <v>12060</v>
      </c>
      <c r="CH68" s="1180">
        <v>-2.2507110070892185</v>
      </c>
      <c r="CI68" s="1180"/>
      <c r="CJ68" s="1920">
        <v>25552</v>
      </c>
      <c r="CK68" s="1315">
        <v>23581</v>
      </c>
      <c r="CL68" s="1920"/>
      <c r="CM68" s="1315">
        <v>16029</v>
      </c>
      <c r="CN68" s="1315">
        <v>0.48420130497825037</v>
      </c>
      <c r="CO68" s="1315">
        <v>0</v>
      </c>
      <c r="CP68" s="1180">
        <v>0</v>
      </c>
    </row>
    <row r="69" spans="1:94" ht="12.75" customHeight="1" x14ac:dyDescent="0.2">
      <c r="A69" s="1551"/>
      <c r="B69" s="946" t="s">
        <v>610</v>
      </c>
      <c r="C69" s="1533">
        <v>-3865</v>
      </c>
      <c r="D69" s="1536">
        <v>-0.15790333782734811</v>
      </c>
      <c r="E69" s="2874"/>
      <c r="F69" s="1502">
        <v>20612</v>
      </c>
      <c r="G69" s="2905">
        <v>26661</v>
      </c>
      <c r="H69" s="1657">
        <v>27191</v>
      </c>
      <c r="I69" s="1657">
        <v>21747</v>
      </c>
      <c r="J69" s="1678">
        <v>24477</v>
      </c>
      <c r="K69" s="1657">
        <v>27991</v>
      </c>
      <c r="L69" s="1558">
        <v>24601</v>
      </c>
      <c r="M69" s="1657">
        <v>16899</v>
      </c>
      <c r="N69" s="1678">
        <v>20897</v>
      </c>
      <c r="O69" s="1657">
        <v>23640</v>
      </c>
      <c r="P69" s="1558">
        <v>25506</v>
      </c>
      <c r="Q69" s="1657">
        <v>19262</v>
      </c>
      <c r="R69" s="1678">
        <v>19874</v>
      </c>
      <c r="S69" s="1657">
        <v>22900</v>
      </c>
      <c r="T69" s="1558">
        <v>18256</v>
      </c>
      <c r="U69" s="1657">
        <v>13950</v>
      </c>
      <c r="V69" s="1678">
        <v>17698</v>
      </c>
      <c r="W69" s="1657">
        <v>18220</v>
      </c>
      <c r="X69" s="1558">
        <v>12524</v>
      </c>
      <c r="Y69" s="1657">
        <v>10773</v>
      </c>
      <c r="Z69" s="1678">
        <v>13453</v>
      </c>
      <c r="AA69" s="1657">
        <v>22635</v>
      </c>
      <c r="AB69" s="1558">
        <v>13357</v>
      </c>
      <c r="AC69" s="1657">
        <v>10547</v>
      </c>
      <c r="AD69" s="1678">
        <v>14502</v>
      </c>
      <c r="AE69" s="1657">
        <v>13382</v>
      </c>
      <c r="AF69" s="1558">
        <v>11455</v>
      </c>
      <c r="AG69" s="1657">
        <v>9853</v>
      </c>
      <c r="AH69" s="1678">
        <v>5436</v>
      </c>
      <c r="AI69" s="1269">
        <v>1678</v>
      </c>
      <c r="AJ69" s="1269">
        <v>0</v>
      </c>
      <c r="AK69" s="1269">
        <v>0</v>
      </c>
      <c r="AL69" s="1558">
        <v>0</v>
      </c>
      <c r="AM69" s="1554">
        <v>0</v>
      </c>
      <c r="AN69" s="1558">
        <v>0</v>
      </c>
      <c r="AO69" s="1558">
        <v>0</v>
      </c>
      <c r="AP69" s="1657">
        <v>-262</v>
      </c>
      <c r="AQ69" s="1679">
        <v>-115</v>
      </c>
      <c r="AR69" s="1657">
        <v>-132</v>
      </c>
      <c r="AS69" s="1657">
        <v>-255</v>
      </c>
      <c r="AT69" s="1657">
        <v>-45</v>
      </c>
      <c r="AU69" s="1680">
        <v>-388</v>
      </c>
      <c r="AV69" s="1657">
        <v>-274</v>
      </c>
      <c r="AW69" s="1678">
        <v>-218</v>
      </c>
      <c r="AX69" s="1678">
        <v>-343</v>
      </c>
      <c r="AY69" s="1658">
        <v>5363</v>
      </c>
      <c r="AZ69" s="1549"/>
      <c r="BA69" s="1549"/>
      <c r="BB69" s="1528"/>
      <c r="BC69" s="1549"/>
      <c r="BD69" s="1528"/>
      <c r="BE69" s="1528"/>
      <c r="BF69" s="1549"/>
      <c r="BG69" s="1589"/>
      <c r="BH69" s="1667">
        <v>100076</v>
      </c>
      <c r="BI69" s="1603">
        <v>90388</v>
      </c>
      <c r="BJ69" s="1685">
        <v>9688</v>
      </c>
      <c r="BK69" s="1536">
        <v>0.10718236934106297</v>
      </c>
      <c r="BL69" s="1549"/>
      <c r="BM69" s="1665">
        <v>100076</v>
      </c>
      <c r="BN69" s="1665">
        <v>90388</v>
      </c>
      <c r="BO69" s="1665">
        <v>88282</v>
      </c>
      <c r="BP69" s="1665">
        <v>72804</v>
      </c>
      <c r="BQ69" s="1665">
        <v>54970</v>
      </c>
      <c r="BR69" s="1665">
        <v>61041</v>
      </c>
      <c r="BS69" s="1665">
        <v>40126</v>
      </c>
      <c r="BT69" s="1665">
        <v>1678</v>
      </c>
      <c r="BU69" s="2144">
        <v>0</v>
      </c>
      <c r="BV69" s="2003">
        <v>0</v>
      </c>
      <c r="BW69" s="2003">
        <v>0</v>
      </c>
      <c r="BX69" s="2003">
        <v>0</v>
      </c>
      <c r="BY69" s="2117">
        <v>-524</v>
      </c>
      <c r="BZ69" s="2084">
        <v>4647</v>
      </c>
      <c r="CA69" s="2104"/>
      <c r="CB69" s="2104"/>
      <c r="CC69" s="2065"/>
      <c r="CE69" s="1920">
        <v>-905</v>
      </c>
      <c r="CF69" s="1180">
        <v>-3.5481847408452914E-2</v>
      </c>
      <c r="CG69" s="1180">
        <v>-2960</v>
      </c>
      <c r="CH69" s="1180">
        <v>-0.12242149041889519</v>
      </c>
      <c r="CI69" s="1180"/>
      <c r="CJ69" s="1920">
        <v>62397</v>
      </c>
      <c r="CK69" s="1315">
        <v>37679</v>
      </c>
      <c r="CL69" s="1920"/>
      <c r="CM69" s="1315">
        <v>9688</v>
      </c>
      <c r="CN69" s="1315">
        <v>0.10718236934106297</v>
      </c>
      <c r="CO69" s="1315">
        <v>0</v>
      </c>
      <c r="CP69" s="1180">
        <v>0</v>
      </c>
    </row>
    <row r="70" spans="1:94" ht="12.75" customHeight="1" x14ac:dyDescent="0.2">
      <c r="A70" s="1551"/>
      <c r="B70" s="946" t="s">
        <v>611</v>
      </c>
      <c r="C70" s="1533">
        <v>-36</v>
      </c>
      <c r="D70" s="1536">
        <v>-0.8</v>
      </c>
      <c r="E70" s="2874"/>
      <c r="F70" s="1502">
        <v>9</v>
      </c>
      <c r="G70" s="2905">
        <v>100</v>
      </c>
      <c r="H70" s="1660">
        <v>59</v>
      </c>
      <c r="I70" s="1660">
        <v>59</v>
      </c>
      <c r="J70" s="1678">
        <v>45</v>
      </c>
      <c r="K70" s="1657">
        <v>86</v>
      </c>
      <c r="L70" s="1686">
        <v>114</v>
      </c>
      <c r="M70" s="1660">
        <v>71</v>
      </c>
      <c r="N70" s="1678">
        <v>57</v>
      </c>
      <c r="O70" s="1657">
        <v>66</v>
      </c>
      <c r="P70" s="1686">
        <v>61</v>
      </c>
      <c r="Q70" s="1660">
        <v>60</v>
      </c>
      <c r="R70" s="1678">
        <v>64</v>
      </c>
      <c r="S70" s="1657">
        <v>66</v>
      </c>
      <c r="T70" s="1686">
        <v>142</v>
      </c>
      <c r="U70" s="1660">
        <v>190</v>
      </c>
      <c r="V70" s="1678">
        <v>139</v>
      </c>
      <c r="W70" s="1657">
        <v>194</v>
      </c>
      <c r="X70" s="1686">
        <v>217</v>
      </c>
      <c r="Y70" s="1660">
        <v>281</v>
      </c>
      <c r="Z70" s="1678">
        <v>466</v>
      </c>
      <c r="AA70" s="1657">
        <v>346</v>
      </c>
      <c r="AB70" s="1686">
        <v>294</v>
      </c>
      <c r="AC70" s="1660">
        <v>380</v>
      </c>
      <c r="AD70" s="1678">
        <v>473</v>
      </c>
      <c r="AE70" s="1657">
        <v>418</v>
      </c>
      <c r="AF70" s="1686">
        <v>454</v>
      </c>
      <c r="AG70" s="1660">
        <v>398</v>
      </c>
      <c r="AH70" s="1678">
        <v>340</v>
      </c>
      <c r="AI70" s="1269">
        <v>25</v>
      </c>
      <c r="AJ70" s="1269">
        <v>13</v>
      </c>
      <c r="AK70" s="1269">
        <v>15</v>
      </c>
      <c r="AL70" s="1657">
        <v>7</v>
      </c>
      <c r="AM70" s="1679">
        <v>14</v>
      </c>
      <c r="AN70" s="1686">
        <v>3</v>
      </c>
      <c r="AO70" s="1686">
        <v>5</v>
      </c>
      <c r="AP70" s="1657">
        <v>46</v>
      </c>
      <c r="AQ70" s="1679">
        <v>102</v>
      </c>
      <c r="AR70" s="1687">
        <v>0</v>
      </c>
      <c r="AS70" s="1687">
        <v>0</v>
      </c>
      <c r="AT70" s="1657">
        <v>37</v>
      </c>
      <c r="AU70" s="1680">
        <v>50</v>
      </c>
      <c r="AV70" s="1657">
        <v>93</v>
      </c>
      <c r="AW70" s="1678">
        <v>168</v>
      </c>
      <c r="AX70" s="1678">
        <v>178</v>
      </c>
      <c r="AY70" s="1658">
        <v>-3063</v>
      </c>
      <c r="AZ70" s="1549">
        <v>42952</v>
      </c>
      <c r="BA70" s="1549">
        <v>39210</v>
      </c>
      <c r="BB70" s="1528">
        <v>62549</v>
      </c>
      <c r="BC70" s="1549">
        <v>57382</v>
      </c>
      <c r="BD70" s="1528">
        <v>48897</v>
      </c>
      <c r="BE70" s="1528">
        <v>38533</v>
      </c>
      <c r="BF70" s="1549">
        <v>42750</v>
      </c>
      <c r="BG70" s="1589"/>
      <c r="BH70" s="1667">
        <v>263</v>
      </c>
      <c r="BI70" s="1603">
        <v>328</v>
      </c>
      <c r="BJ70" s="1685">
        <v>-65</v>
      </c>
      <c r="BK70" s="1536">
        <v>-0.19817073170731708</v>
      </c>
      <c r="BL70" s="1549"/>
      <c r="BM70" s="1665">
        <v>263</v>
      </c>
      <c r="BN70" s="1665">
        <v>328</v>
      </c>
      <c r="BO70" s="1665">
        <v>251</v>
      </c>
      <c r="BP70" s="1665">
        <v>537</v>
      </c>
      <c r="BQ70" s="1665">
        <v>1158</v>
      </c>
      <c r="BR70" s="1665">
        <v>1493</v>
      </c>
      <c r="BS70" s="1665">
        <v>1610</v>
      </c>
      <c r="BT70" s="1665">
        <v>60</v>
      </c>
      <c r="BU70" s="2144">
        <v>27</v>
      </c>
      <c r="BV70" s="2003">
        <v>-1652</v>
      </c>
      <c r="BW70" s="2003">
        <v>368</v>
      </c>
      <c r="BX70" s="2003">
        <v>1120</v>
      </c>
      <c r="BY70" s="2117">
        <v>543</v>
      </c>
      <c r="BZ70" s="2084">
        <v>236</v>
      </c>
      <c r="CA70" s="2104"/>
      <c r="CB70" s="2104"/>
      <c r="CC70" s="2065"/>
      <c r="CE70" s="1920">
        <v>53</v>
      </c>
      <c r="CF70" s="1180">
        <v>0.86885245901639341</v>
      </c>
      <c r="CG70" s="1180">
        <v>-89</v>
      </c>
      <c r="CH70" s="1180">
        <v>-1.6688524590163936</v>
      </c>
      <c r="CI70" s="1180"/>
      <c r="CJ70" s="1920">
        <v>242</v>
      </c>
      <c r="CK70" s="1315">
        <v>21</v>
      </c>
      <c r="CL70" s="1920"/>
      <c r="CM70" s="1315">
        <v>-65</v>
      </c>
      <c r="CN70" s="1315">
        <v>-0.19817073170731708</v>
      </c>
      <c r="CO70" s="1315">
        <v>0</v>
      </c>
      <c r="CP70" s="1180">
        <v>0</v>
      </c>
    </row>
    <row r="71" spans="1:94" ht="12.75" customHeight="1" x14ac:dyDescent="0.2">
      <c r="A71" s="1552"/>
      <c r="B71" s="946" t="s">
        <v>612</v>
      </c>
      <c r="C71" s="1533">
        <v>-434</v>
      </c>
      <c r="D71" s="1536">
        <v>-0.30243902439024389</v>
      </c>
      <c r="E71" s="2875"/>
      <c r="F71" s="1502">
        <v>1001</v>
      </c>
      <c r="G71" s="2905">
        <v>475</v>
      </c>
      <c r="H71" s="1593">
        <v>427</v>
      </c>
      <c r="I71" s="1593">
        <v>453</v>
      </c>
      <c r="J71" s="1693">
        <v>1435</v>
      </c>
      <c r="K71" s="1657">
        <v>279</v>
      </c>
      <c r="L71" s="1686">
        <v>211</v>
      </c>
      <c r="M71" s="1593">
        <v>332</v>
      </c>
      <c r="N71" s="1693">
        <v>735</v>
      </c>
      <c r="O71" s="1657">
        <v>246</v>
      </c>
      <c r="P71" s="1686">
        <v>525</v>
      </c>
      <c r="Q71" s="1593">
        <v>936</v>
      </c>
      <c r="R71" s="1693">
        <v>1396</v>
      </c>
      <c r="S71" s="1657">
        <v>323</v>
      </c>
      <c r="T71" s="1686">
        <v>267</v>
      </c>
      <c r="U71" s="1593">
        <v>7</v>
      </c>
      <c r="V71" s="1693">
        <v>784</v>
      </c>
      <c r="W71" s="1657">
        <v>650</v>
      </c>
      <c r="X71" s="1686">
        <v>369</v>
      </c>
      <c r="Y71" s="1593">
        <v>534</v>
      </c>
      <c r="Z71" s="1693">
        <v>956</v>
      </c>
      <c r="AA71" s="1657">
        <v>200</v>
      </c>
      <c r="AB71" s="1686">
        <v>471</v>
      </c>
      <c r="AC71" s="1593">
        <v>331</v>
      </c>
      <c r="AD71" s="1693">
        <v>836</v>
      </c>
      <c r="AE71" s="1657">
        <v>83</v>
      </c>
      <c r="AF71" s="1686">
        <v>36</v>
      </c>
      <c r="AG71" s="1593">
        <v>158</v>
      </c>
      <c r="AH71" s="1693">
        <v>166</v>
      </c>
      <c r="AI71" s="1269">
        <v>297</v>
      </c>
      <c r="AJ71" s="1269">
        <v>38</v>
      </c>
      <c r="AK71" s="1304">
        <v>-49</v>
      </c>
      <c r="AL71" s="1672">
        <v>-47</v>
      </c>
      <c r="AM71" s="1679">
        <v>4</v>
      </c>
      <c r="AN71" s="1686">
        <v>138</v>
      </c>
      <c r="AO71" s="1689">
        <v>179</v>
      </c>
      <c r="AP71" s="1672">
        <v>45</v>
      </c>
      <c r="AQ71" s="1679">
        <v>1</v>
      </c>
      <c r="AR71" s="1687">
        <v>0</v>
      </c>
      <c r="AS71" s="1690">
        <v>0</v>
      </c>
      <c r="AT71" s="1672">
        <v>414</v>
      </c>
      <c r="AU71" s="1691">
        <v>0</v>
      </c>
      <c r="AV71" s="1672">
        <v>1</v>
      </c>
      <c r="AW71" s="1692">
        <v>0</v>
      </c>
      <c r="AX71" s="1693">
        <v>1</v>
      </c>
      <c r="AY71" s="1673">
        <v>60</v>
      </c>
      <c r="AZ71" s="1570"/>
      <c r="BA71" s="1570"/>
      <c r="BB71" s="1570"/>
      <c r="BC71" s="1570"/>
      <c r="BD71" s="1570"/>
      <c r="BE71" s="1570"/>
      <c r="BF71" s="1570"/>
      <c r="BG71" s="1589"/>
      <c r="BH71" s="1667">
        <v>2790</v>
      </c>
      <c r="BI71" s="1603">
        <v>1557</v>
      </c>
      <c r="BJ71" s="1685">
        <v>1233</v>
      </c>
      <c r="BK71" s="1536">
        <v>0.79190751445086704</v>
      </c>
      <c r="BL71" s="1551"/>
      <c r="BM71" s="1665">
        <v>2790</v>
      </c>
      <c r="BN71" s="1665">
        <v>1557</v>
      </c>
      <c r="BO71" s="1665">
        <v>3103</v>
      </c>
      <c r="BP71" s="1665">
        <v>1381</v>
      </c>
      <c r="BQ71" s="1665">
        <v>2509</v>
      </c>
      <c r="BR71" s="1665">
        <v>1838</v>
      </c>
      <c r="BS71" s="1665">
        <v>443</v>
      </c>
      <c r="BT71" s="1665">
        <v>239</v>
      </c>
      <c r="BU71" s="2145">
        <v>222</v>
      </c>
      <c r="BV71" s="2003">
        <v>308</v>
      </c>
      <c r="BW71" s="2003">
        <v>185</v>
      </c>
      <c r="BX71" s="2003">
        <v>279</v>
      </c>
      <c r="BY71" s="2119">
        <v>294</v>
      </c>
      <c r="BZ71" s="2120">
        <v>118</v>
      </c>
      <c r="CA71" s="2104"/>
      <c r="CB71" s="2104"/>
      <c r="CC71" s="2065"/>
      <c r="CE71" s="1920">
        <v>-314</v>
      </c>
      <c r="CF71" s="1180">
        <v>-0.59809523809523812</v>
      </c>
      <c r="CG71" s="1180">
        <v>-120</v>
      </c>
      <c r="CH71" s="1180">
        <v>0.29565621370499423</v>
      </c>
      <c r="CI71" s="1180"/>
      <c r="CJ71" s="1920">
        <v>1278</v>
      </c>
      <c r="CK71" s="1315">
        <v>1512</v>
      </c>
      <c r="CL71" s="1920"/>
      <c r="CM71" s="1315">
        <v>1233</v>
      </c>
      <c r="CN71" s="1315">
        <v>0.79190751445086704</v>
      </c>
      <c r="CO71" s="1315">
        <v>0</v>
      </c>
      <c r="CP71" s="1180">
        <v>0</v>
      </c>
    </row>
    <row r="72" spans="1:94" ht="12.75" customHeight="1" x14ac:dyDescent="0.2">
      <c r="A72" s="1552"/>
      <c r="B72" s="946"/>
      <c r="C72" s="1534">
        <v>17854</v>
      </c>
      <c r="D72" s="1535">
        <v>0.23428601422460174</v>
      </c>
      <c r="E72" s="1519"/>
      <c r="F72" s="1520">
        <v>94060</v>
      </c>
      <c r="G72" s="2981">
        <v>73443</v>
      </c>
      <c r="H72" s="1695">
        <v>81208</v>
      </c>
      <c r="I72" s="1695">
        <v>72730</v>
      </c>
      <c r="J72" s="1696">
        <v>76206</v>
      </c>
      <c r="K72" s="1695">
        <v>68158</v>
      </c>
      <c r="L72" s="2476">
        <v>66603</v>
      </c>
      <c r="M72" s="1695">
        <v>46112</v>
      </c>
      <c r="N72" s="1696">
        <v>55069</v>
      </c>
      <c r="O72" s="1695">
        <v>64726</v>
      </c>
      <c r="P72" s="1695">
        <v>60838</v>
      </c>
      <c r="Q72" s="1695">
        <v>54948</v>
      </c>
      <c r="R72" s="1696">
        <v>53699</v>
      </c>
      <c r="S72" s="1695">
        <v>55262</v>
      </c>
      <c r="T72" s="1695">
        <v>51442</v>
      </c>
      <c r="U72" s="1695">
        <v>55932</v>
      </c>
      <c r="V72" s="1696">
        <v>54775</v>
      </c>
      <c r="W72" s="1695">
        <v>56515</v>
      </c>
      <c r="X72" s="1695">
        <v>43493</v>
      </c>
      <c r="Y72" s="1695">
        <v>40703</v>
      </c>
      <c r="Z72" s="1696">
        <v>62261</v>
      </c>
      <c r="AA72" s="1695">
        <v>71273</v>
      </c>
      <c r="AB72" s="1695">
        <v>48269</v>
      </c>
      <c r="AC72" s="1695">
        <v>44000</v>
      </c>
      <c r="AD72" s="1696">
        <v>52943</v>
      </c>
      <c r="AE72" s="1695">
        <v>45206</v>
      </c>
      <c r="AF72" s="1695">
        <v>37625</v>
      </c>
      <c r="AG72" s="1695">
        <v>39474</v>
      </c>
      <c r="AH72" s="1696">
        <v>31050</v>
      </c>
      <c r="AI72" s="1281">
        <v>18487</v>
      </c>
      <c r="AJ72" s="1281">
        <v>17197</v>
      </c>
      <c r="AK72" s="1281">
        <v>17790</v>
      </c>
      <c r="AL72" s="1695">
        <v>26012</v>
      </c>
      <c r="AM72" s="1697">
        <v>27712</v>
      </c>
      <c r="AN72" s="1695">
        <v>32618</v>
      </c>
      <c r="AO72" s="1695">
        <v>20083</v>
      </c>
      <c r="AP72" s="1695">
        <v>53057</v>
      </c>
      <c r="AQ72" s="1697">
        <v>32806</v>
      </c>
      <c r="AR72" s="1695">
        <v>57181</v>
      </c>
      <c r="AS72" s="1695">
        <v>27314</v>
      </c>
      <c r="AT72" s="1695">
        <v>30054</v>
      </c>
      <c r="AU72" s="1697">
        <v>25033</v>
      </c>
      <c r="AV72" s="1695">
        <v>12639</v>
      </c>
      <c r="AW72" s="1696">
        <v>23461</v>
      </c>
      <c r="AX72" s="1696">
        <v>34352</v>
      </c>
      <c r="AY72" s="1696">
        <v>31944</v>
      </c>
      <c r="AZ72" s="1526"/>
      <c r="BA72" s="1526"/>
      <c r="BB72" s="1526"/>
      <c r="BC72" s="1526"/>
      <c r="BD72" s="1526"/>
      <c r="BE72" s="1526"/>
      <c r="BF72" s="1526"/>
      <c r="BG72" s="1698"/>
      <c r="BH72" s="1695">
        <v>303587</v>
      </c>
      <c r="BI72" s="1695">
        <v>235942</v>
      </c>
      <c r="BJ72" s="1699">
        <v>67645</v>
      </c>
      <c r="BK72" s="1700">
        <v>0.2867018165481347</v>
      </c>
      <c r="BL72" s="1522"/>
      <c r="BM72" s="1813">
        <v>303587</v>
      </c>
      <c r="BN72" s="1813">
        <v>235942</v>
      </c>
      <c r="BO72" s="1813">
        <v>234211</v>
      </c>
      <c r="BP72" s="1813">
        <v>217411</v>
      </c>
      <c r="BQ72" s="1701">
        <v>202972</v>
      </c>
      <c r="BR72" s="1701">
        <v>216485</v>
      </c>
      <c r="BS72" s="1701">
        <v>153355</v>
      </c>
      <c r="BT72" s="1701">
        <v>79486</v>
      </c>
      <c r="BU72" s="2126">
        <v>106219</v>
      </c>
      <c r="BV72" s="2126">
        <v>97629</v>
      </c>
      <c r="BW72" s="2127">
        <v>74794</v>
      </c>
      <c r="BX72" s="2126">
        <v>90788</v>
      </c>
      <c r="BY72" s="2127">
        <v>187562</v>
      </c>
      <c r="BZ72" s="2127">
        <v>150470</v>
      </c>
      <c r="CA72" s="2104"/>
      <c r="CB72" s="2104"/>
      <c r="CC72" s="1483"/>
      <c r="CE72" s="1920">
        <v>5765</v>
      </c>
      <c r="CF72" s="1180">
        <v>9.4759854038594299E-2</v>
      </c>
      <c r="CG72" s="1180">
        <v>12089</v>
      </c>
      <c r="CH72" s="1180">
        <v>0.13952616018600744</v>
      </c>
      <c r="CI72" s="1180"/>
      <c r="CJ72" s="1920">
        <v>167784</v>
      </c>
      <c r="CK72" s="1315">
        <v>135803</v>
      </c>
      <c r="CL72" s="1920"/>
      <c r="CM72" s="1315">
        <v>67645</v>
      </c>
      <c r="CN72" s="1315">
        <v>0.2867018165481347</v>
      </c>
      <c r="CO72" s="1315">
        <v>0</v>
      </c>
      <c r="CP72" s="1180">
        <v>0</v>
      </c>
    </row>
    <row r="73" spans="1:94" ht="12.75" customHeight="1" x14ac:dyDescent="0.2">
      <c r="A73" s="1552"/>
      <c r="B73" s="946"/>
      <c r="C73" s="1556"/>
      <c r="D73" s="1538"/>
      <c r="E73" s="1519"/>
      <c r="F73" s="1521"/>
      <c r="G73" s="2229"/>
      <c r="H73" s="1702"/>
      <c r="I73" s="1702"/>
      <c r="J73" s="1673"/>
      <c r="K73" s="1703"/>
      <c r="L73" s="2476"/>
      <c r="M73" s="1702"/>
      <c r="N73" s="1673"/>
      <c r="O73" s="1703"/>
      <c r="P73" s="1695"/>
      <c r="Q73" s="1702"/>
      <c r="R73" s="1673"/>
      <c r="S73" s="1703"/>
      <c r="T73" s="1695"/>
      <c r="U73" s="1702"/>
      <c r="V73" s="1673"/>
      <c r="W73" s="1703"/>
      <c r="X73" s="1695"/>
      <c r="Y73" s="1702"/>
      <c r="Z73" s="1673"/>
      <c r="AA73" s="1703"/>
      <c r="AB73" s="1695"/>
      <c r="AC73" s="1702"/>
      <c r="AD73" s="1673"/>
      <c r="AE73" s="1703"/>
      <c r="AF73" s="1695"/>
      <c r="AG73" s="1702"/>
      <c r="AH73" s="1673"/>
      <c r="AI73" s="1246"/>
      <c r="AJ73" s="1281"/>
      <c r="AK73" s="1254"/>
      <c r="AL73" s="1702"/>
      <c r="AM73" s="1704"/>
      <c r="AN73" s="1702"/>
      <c r="AO73" s="1702"/>
      <c r="AP73" s="1702"/>
      <c r="AQ73" s="1704"/>
      <c r="AR73" s="1702"/>
      <c r="AS73" s="1702"/>
      <c r="AT73" s="1702"/>
      <c r="AU73" s="1703"/>
      <c r="AV73" s="1703"/>
      <c r="AW73" s="1703"/>
      <c r="AX73" s="1703"/>
      <c r="AY73" s="1703"/>
      <c r="AZ73" s="1526"/>
      <c r="BA73" s="1526"/>
      <c r="BB73" s="1526"/>
      <c r="BC73" s="1526"/>
      <c r="BD73" s="1526"/>
      <c r="BE73" s="1526"/>
      <c r="BF73" s="1526"/>
      <c r="BG73" s="1698"/>
      <c r="BH73" s="1702"/>
      <c r="BI73" s="1702"/>
      <c r="BJ73" s="1752"/>
      <c r="BK73" s="1705"/>
      <c r="BL73" s="1522"/>
      <c r="BM73" s="1774"/>
      <c r="BN73" s="1706"/>
      <c r="BO73" s="1706"/>
      <c r="BP73" s="1706"/>
      <c r="BQ73" s="1706"/>
      <c r="BR73" s="1706"/>
      <c r="BS73" s="1706"/>
      <c r="BT73" s="1706"/>
      <c r="BU73" s="2128"/>
      <c r="BV73" s="2128"/>
      <c r="BW73" s="2129"/>
      <c r="BX73" s="2128"/>
      <c r="BY73" s="2129"/>
      <c r="BZ73" s="2130"/>
      <c r="CA73" s="2104"/>
      <c r="CB73" s="2104"/>
      <c r="CC73" s="1483"/>
      <c r="CE73" s="1920">
        <v>0</v>
      </c>
      <c r="CF73" s="1180" t="e">
        <v>#DIV/0!</v>
      </c>
      <c r="CG73" s="1180">
        <v>0</v>
      </c>
      <c r="CH73" s="1180" t="e">
        <v>#DIV/0!</v>
      </c>
      <c r="CI73" s="1180"/>
      <c r="CJ73" s="1920">
        <v>0</v>
      </c>
      <c r="CK73" s="1315">
        <v>0</v>
      </c>
      <c r="CL73" s="1920"/>
      <c r="CM73" s="1315">
        <v>0</v>
      </c>
      <c r="CN73" s="1315" t="e">
        <v>#DIV/0!</v>
      </c>
      <c r="CO73" s="1315">
        <v>0</v>
      </c>
      <c r="CP73" s="1180" t="e">
        <v>#DIV/0!</v>
      </c>
    </row>
    <row r="74" spans="1:94" ht="12.75" customHeight="1" x14ac:dyDescent="0.2">
      <c r="A74" s="1528"/>
      <c r="B74" s="946" t="s">
        <v>633</v>
      </c>
      <c r="C74" s="1534">
        <v>50</v>
      </c>
      <c r="D74" s="1535">
        <v>6.8587105624142664E-2</v>
      </c>
      <c r="E74" s="1714"/>
      <c r="F74" s="2996">
        <v>-679</v>
      </c>
      <c r="G74" s="2982">
        <v>-761</v>
      </c>
      <c r="H74" s="1753">
        <v>-801</v>
      </c>
      <c r="I74" s="1753">
        <v>-473</v>
      </c>
      <c r="J74" s="2150">
        <v>-729</v>
      </c>
      <c r="K74" s="1753">
        <v>-602</v>
      </c>
      <c r="L74" s="2843">
        <v>-1043</v>
      </c>
      <c r="M74" s="1753">
        <v>-1040</v>
      </c>
      <c r="N74" s="2150">
        <v>-853</v>
      </c>
      <c r="O74" s="1753">
        <v>-720</v>
      </c>
      <c r="P74" s="1753">
        <v>-714</v>
      </c>
      <c r="Q74" s="1753">
        <v>-809</v>
      </c>
      <c r="R74" s="2150">
        <v>-1078</v>
      </c>
      <c r="S74" s="1753">
        <v>-905</v>
      </c>
      <c r="T74" s="1753">
        <v>-822</v>
      </c>
      <c r="U74" s="1753">
        <v>-905</v>
      </c>
      <c r="V74" s="1754">
        <v>-1318</v>
      </c>
      <c r="W74" s="1753">
        <v>-1159</v>
      </c>
      <c r="X74" s="1753">
        <v>-1037</v>
      </c>
      <c r="Y74" s="1753">
        <v>-1076</v>
      </c>
      <c r="Z74" s="1754">
        <v>-782</v>
      </c>
      <c r="AA74" s="1753">
        <v>-717</v>
      </c>
      <c r="AB74" s="1753">
        <v>-371</v>
      </c>
      <c r="AC74" s="1753">
        <v>-922</v>
      </c>
      <c r="AD74" s="1754">
        <v>-956</v>
      </c>
      <c r="AE74" s="1753">
        <v>-541</v>
      </c>
      <c r="AF74" s="1753">
        <v>-674</v>
      </c>
      <c r="AG74" s="1753">
        <v>-320</v>
      </c>
      <c r="AH74" s="1754">
        <v>-1245</v>
      </c>
      <c r="AI74" s="1753">
        <v>-1385</v>
      </c>
      <c r="AJ74" s="1753">
        <v>-1519</v>
      </c>
      <c r="AK74" s="1753">
        <v>-1327</v>
      </c>
      <c r="AL74" s="1754">
        <v>-1714</v>
      </c>
      <c r="AM74" s="1755">
        <v>-1639</v>
      </c>
      <c r="AN74" s="1756">
        <v>-1628</v>
      </c>
      <c r="AO74" s="1756">
        <v>-1323</v>
      </c>
      <c r="AP74" s="1754">
        <v>-6918</v>
      </c>
      <c r="AQ74" s="1757" t="s">
        <v>181</v>
      </c>
      <c r="AR74" s="1758" t="s">
        <v>181</v>
      </c>
      <c r="AS74" s="1759" t="s">
        <v>181</v>
      </c>
      <c r="AT74" s="1759" t="s">
        <v>181</v>
      </c>
      <c r="AU74" s="1760"/>
      <c r="AV74" s="1760"/>
      <c r="AW74" s="1760"/>
      <c r="AX74" s="1760"/>
      <c r="AY74" s="1760"/>
      <c r="AZ74" s="1761"/>
      <c r="BA74" s="1761"/>
      <c r="BB74" s="1761"/>
      <c r="BC74" s="1761"/>
      <c r="BD74" s="1761"/>
      <c r="BE74" s="1761"/>
      <c r="BF74" s="1761"/>
      <c r="BG74" s="1762"/>
      <c r="BH74" s="1756">
        <v>-2764</v>
      </c>
      <c r="BI74" s="1756">
        <v>-3538</v>
      </c>
      <c r="BJ74" s="1254">
        <v>774</v>
      </c>
      <c r="BK74" s="1763">
        <v>0.21876766534765404</v>
      </c>
      <c r="BL74" s="1764"/>
      <c r="BM74" s="1469">
        <v>-2764</v>
      </c>
      <c r="BN74" s="1478">
        <v>-3538</v>
      </c>
      <c r="BO74" s="1478">
        <v>-3321</v>
      </c>
      <c r="BP74" s="1478">
        <v>-3950</v>
      </c>
      <c r="BQ74" s="1469">
        <v>-4054</v>
      </c>
      <c r="BR74" s="1469">
        <v>-2966</v>
      </c>
      <c r="BS74" s="1708">
        <v>-2780</v>
      </c>
      <c r="BT74" s="1708">
        <v>-5945</v>
      </c>
      <c r="BU74" s="2131">
        <v>-5913</v>
      </c>
      <c r="BV74" s="2131" t="s">
        <v>181</v>
      </c>
      <c r="BW74" s="2146" t="s">
        <v>181</v>
      </c>
      <c r="BX74" s="2131" t="s">
        <v>181</v>
      </c>
      <c r="BY74" s="2131" t="s">
        <v>181</v>
      </c>
      <c r="BZ74" s="2147"/>
      <c r="CA74" s="2148"/>
      <c r="CB74" s="2148"/>
      <c r="CC74" s="2149"/>
      <c r="CE74" s="1920">
        <v>-329</v>
      </c>
      <c r="CF74" s="1180">
        <v>0.46078431372549017</v>
      </c>
      <c r="CG74" s="1180">
        <v>379</v>
      </c>
      <c r="CH74" s="1180">
        <v>-0.39219720810134751</v>
      </c>
      <c r="CI74" s="1180"/>
      <c r="CJ74" s="1920">
        <v>-2936</v>
      </c>
      <c r="CK74" s="1315">
        <v>172</v>
      </c>
      <c r="CL74" s="1920"/>
      <c r="CM74" s="1315">
        <v>774</v>
      </c>
      <c r="CN74" s="1315">
        <v>-0.21876766534765404</v>
      </c>
      <c r="CO74" s="1315">
        <v>0</v>
      </c>
      <c r="CP74" s="1180">
        <v>0.43753533069530809</v>
      </c>
    </row>
    <row r="75" spans="1:94" x14ac:dyDescent="0.2">
      <c r="C75" s="1522"/>
      <c r="D75" s="1522"/>
      <c r="E75" s="1484"/>
      <c r="F75" s="1484"/>
      <c r="G75" s="1484"/>
      <c r="H75" s="1523"/>
      <c r="I75" s="1523"/>
      <c r="J75" s="1523"/>
      <c r="K75" s="1523"/>
      <c r="L75" s="1526"/>
      <c r="M75" s="1523"/>
      <c r="N75" s="1523"/>
      <c r="O75" s="1523"/>
      <c r="P75" s="1523"/>
      <c r="Q75" s="1523"/>
      <c r="R75" s="1523"/>
      <c r="S75" s="1523"/>
      <c r="T75" s="1523"/>
      <c r="U75" s="1709"/>
      <c r="V75" s="1543"/>
      <c r="W75" s="1523"/>
      <c r="X75" s="1523"/>
      <c r="Y75" s="1709"/>
      <c r="Z75" s="1543"/>
      <c r="AA75" s="1523"/>
      <c r="AB75" s="1523"/>
      <c r="AC75" s="1709"/>
      <c r="AD75" s="1543"/>
      <c r="AE75" s="1523"/>
      <c r="AF75" s="1523"/>
      <c r="AG75" s="1709"/>
      <c r="AH75" s="1543"/>
      <c r="AI75" s="1523"/>
      <c r="AJ75" s="1523"/>
      <c r="AK75" s="1709"/>
      <c r="AL75" s="1543"/>
      <c r="AM75" s="1523"/>
      <c r="AN75" s="1523"/>
      <c r="AO75" s="1523"/>
      <c r="AP75" s="1543"/>
      <c r="AQ75" s="1523"/>
      <c r="AR75" s="1523"/>
      <c r="AS75" s="1523"/>
      <c r="AT75" s="1543"/>
      <c r="AU75" s="1523"/>
      <c r="AV75" s="1523"/>
      <c r="AW75" s="1523"/>
      <c r="AX75" s="1543"/>
      <c r="AY75" s="1522"/>
      <c r="AZ75" s="1522"/>
      <c r="BA75" s="1522"/>
      <c r="BB75" s="1522"/>
      <c r="BC75" s="1522"/>
      <c r="BD75" s="1522"/>
      <c r="BE75" s="1522"/>
      <c r="BF75" s="1543"/>
      <c r="BG75" s="1523"/>
      <c r="BH75" s="1523"/>
      <c r="BI75" s="1523"/>
      <c r="BJ75" s="1564"/>
      <c r="BK75" s="1564"/>
      <c r="BL75" s="1522"/>
      <c r="BM75" s="1522"/>
      <c r="BN75" s="1522"/>
      <c r="BO75" s="1522"/>
      <c r="BP75" s="1522"/>
      <c r="BQ75" s="1522"/>
      <c r="BR75" s="1522"/>
      <c r="BS75" s="1522"/>
      <c r="BT75" s="1522"/>
      <c r="BU75" s="1483"/>
      <c r="BV75" s="1483"/>
      <c r="BW75" s="1483"/>
      <c r="BX75" s="1504"/>
      <c r="BY75" s="1504"/>
      <c r="BZ75" s="1483"/>
      <c r="CA75" s="1483"/>
      <c r="CB75" s="1483"/>
      <c r="CC75" s="1483"/>
    </row>
    <row r="76" spans="1:94" x14ac:dyDescent="0.2">
      <c r="A76" s="946" t="s">
        <v>357</v>
      </c>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7"/>
      <c r="AT76" s="1077"/>
      <c r="AU76" s="1077"/>
      <c r="AV76" s="1077"/>
      <c r="AW76" s="1077"/>
      <c r="AX76" s="1077"/>
      <c r="AY76" s="1077"/>
      <c r="AZ76" s="1077"/>
      <c r="BA76" s="1077"/>
      <c r="BB76" s="1077"/>
      <c r="BC76" s="1077"/>
      <c r="BD76" s="1077"/>
      <c r="BE76" s="1077"/>
      <c r="BF76" s="1077"/>
      <c r="BG76" s="1077"/>
      <c r="BH76" s="1077"/>
      <c r="BI76" s="1077"/>
      <c r="BJ76" s="1915"/>
      <c r="BK76" s="1915"/>
      <c r="BL76" s="1077"/>
      <c r="BM76" s="1077"/>
      <c r="BN76" s="1077"/>
      <c r="BO76" s="1077"/>
      <c r="BP76" s="1077"/>
      <c r="BQ76" s="1077"/>
      <c r="BR76" s="1077"/>
      <c r="BS76" s="1077"/>
      <c r="BT76" s="1077"/>
      <c r="BU76" s="1929"/>
      <c r="BV76" s="1929"/>
      <c r="BW76" s="1929"/>
      <c r="BX76" s="1929"/>
      <c r="BY76" s="1929"/>
      <c r="BZ76" s="1929"/>
    </row>
    <row r="77" spans="1:94" x14ac:dyDescent="0.2">
      <c r="A77" s="971" t="s">
        <v>28</v>
      </c>
      <c r="H77" s="2203"/>
      <c r="I77" s="2203"/>
      <c r="AX77" s="2749"/>
      <c r="AY77" s="2749"/>
      <c r="AZ77" s="2749"/>
      <c r="BA77" s="2749"/>
      <c r="BB77" s="2749"/>
      <c r="BC77" s="2749"/>
      <c r="BD77" s="2749"/>
      <c r="BE77" s="2749"/>
      <c r="BF77" s="2749"/>
      <c r="BH77" s="2749"/>
      <c r="BI77" s="2749"/>
      <c r="BJ77" s="2753"/>
      <c r="BK77" s="2753"/>
      <c r="BL77" s="2749"/>
      <c r="BM77" s="2749"/>
      <c r="BN77" s="2749"/>
      <c r="BO77" s="2749"/>
      <c r="BP77" s="2749"/>
      <c r="BQ77" s="2749"/>
      <c r="BR77" s="2749"/>
      <c r="BS77" s="2749"/>
      <c r="BT77" s="2749"/>
      <c r="BU77" s="2742"/>
      <c r="BV77" s="2742"/>
      <c r="BW77" s="2742"/>
      <c r="BX77" s="2742"/>
      <c r="BY77" s="2742"/>
      <c r="BZ77" s="2742"/>
      <c r="CA77" s="2742">
        <v>0</v>
      </c>
      <c r="CB77" s="2742">
        <v>0</v>
      </c>
      <c r="CC77" s="2742">
        <v>0</v>
      </c>
    </row>
    <row r="78" spans="1:94" x14ac:dyDescent="0.2">
      <c r="A78" s="946" t="s">
        <v>709</v>
      </c>
      <c r="H78" s="2203"/>
      <c r="I78" s="2203"/>
      <c r="AX78" s="2749"/>
      <c r="AY78" s="2749"/>
      <c r="AZ78" s="2749"/>
      <c r="BA78" s="2749"/>
      <c r="BB78" s="2749"/>
      <c r="BC78" s="2749"/>
      <c r="BD78" s="2749"/>
      <c r="BE78" s="2749"/>
      <c r="BF78" s="2749"/>
      <c r="BH78" s="2749"/>
      <c r="BI78" s="2749"/>
      <c r="BJ78" s="2753"/>
      <c r="BK78" s="2753"/>
      <c r="BL78" s="2749"/>
      <c r="BM78" s="2749"/>
      <c r="BN78" s="2749"/>
      <c r="BO78" s="2749"/>
      <c r="BP78" s="2749"/>
      <c r="BQ78" s="2749"/>
      <c r="BR78" s="2749"/>
      <c r="BS78" s="2749"/>
      <c r="BT78" s="2749"/>
      <c r="BU78" s="2742"/>
      <c r="BV78" s="2742"/>
      <c r="BW78" s="2742"/>
      <c r="BX78" s="2742"/>
      <c r="BY78" s="2736"/>
      <c r="BZ78" s="2736"/>
    </row>
    <row r="79" spans="1:94" x14ac:dyDescent="0.2">
      <c r="H79" s="2203"/>
      <c r="I79" s="2203"/>
      <c r="AX79" s="2749"/>
      <c r="AY79" s="2749"/>
      <c r="AZ79" s="2749"/>
      <c r="BA79" s="2749"/>
      <c r="BB79" s="2749"/>
      <c r="BC79" s="2749"/>
      <c r="BD79" s="2749"/>
      <c r="BE79" s="2749"/>
      <c r="BF79" s="2749"/>
      <c r="BH79" s="2749"/>
      <c r="BI79" s="2749"/>
      <c r="BJ79" s="2753"/>
      <c r="BK79" s="2753"/>
      <c r="BL79" s="2749"/>
      <c r="BM79" s="2749"/>
      <c r="BN79" s="2749"/>
      <c r="BO79" s="2749"/>
      <c r="BP79" s="2749"/>
      <c r="BQ79" s="2749"/>
      <c r="BR79" s="2749"/>
      <c r="BS79" s="2749"/>
      <c r="BT79" s="2749"/>
      <c r="BU79" s="2742"/>
      <c r="BV79" s="2742"/>
      <c r="BW79" s="2742"/>
      <c r="BX79" s="2742"/>
      <c r="BY79" s="2742"/>
      <c r="BZ79" s="2742"/>
    </row>
    <row r="80" spans="1:94" x14ac:dyDescent="0.2">
      <c r="H80" s="2203"/>
      <c r="I80" s="2203"/>
      <c r="AX80" s="2749"/>
      <c r="AY80" s="2749"/>
      <c r="AZ80" s="2749"/>
      <c r="BA80" s="2749"/>
      <c r="BB80" s="2749"/>
      <c r="BC80" s="2749"/>
      <c r="BD80" s="2749"/>
      <c r="BE80" s="2749"/>
      <c r="BF80" s="2749"/>
      <c r="BH80" s="2749"/>
      <c r="BI80" s="2749"/>
      <c r="BJ80" s="2753"/>
      <c r="BK80" s="2753"/>
      <c r="BL80" s="2749"/>
      <c r="BM80" s="2749"/>
      <c r="BN80" s="2749"/>
      <c r="BO80" s="2749"/>
      <c r="BP80" s="2749"/>
      <c r="BQ80" s="2749"/>
      <c r="BR80" s="2749"/>
      <c r="BS80" s="2749"/>
      <c r="BT80" s="2749"/>
      <c r="BU80" s="2742"/>
      <c r="BV80" s="2742"/>
      <c r="BW80" s="2742"/>
      <c r="BX80" s="2742"/>
      <c r="BY80" s="2742"/>
      <c r="BZ80" s="2742"/>
    </row>
    <row r="81" spans="1:78" x14ac:dyDescent="0.2">
      <c r="A81" s="1523"/>
      <c r="B81" s="1523"/>
      <c r="C81" s="2749"/>
      <c r="D81" s="2749"/>
      <c r="H81" s="2203"/>
      <c r="I81" s="2203"/>
      <c r="S81" s="1450"/>
      <c r="T81" s="1450"/>
      <c r="U81" s="1450"/>
      <c r="V81" s="1450"/>
      <c r="W81" s="1450"/>
      <c r="X81" s="1450"/>
      <c r="Y81" s="1450"/>
      <c r="Z81" s="1450"/>
      <c r="AA81" s="1450"/>
      <c r="AB81" s="1450"/>
      <c r="AC81" s="1450"/>
      <c r="AD81" s="1450"/>
      <c r="AE81" s="1450"/>
      <c r="AF81" s="1450"/>
      <c r="AG81" s="1450"/>
      <c r="AH81" s="1450"/>
      <c r="AI81" s="1450"/>
      <c r="AJ81" s="1450"/>
      <c r="AK81" s="1450"/>
      <c r="AL81" s="1450"/>
      <c r="AM81" s="1450"/>
      <c r="AN81" s="1450"/>
      <c r="AO81" s="1450"/>
      <c r="AP81" s="1450"/>
      <c r="AQ81" s="1450"/>
      <c r="AR81" s="1450"/>
      <c r="AS81" s="1450"/>
      <c r="AT81" s="1450"/>
      <c r="AU81" s="1450"/>
      <c r="AV81" s="1450"/>
      <c r="AW81" s="1450"/>
      <c r="AX81" s="1450"/>
      <c r="AY81" s="1450"/>
      <c r="AZ81" s="1450"/>
      <c r="BA81" s="1450"/>
      <c r="BB81" s="1450"/>
      <c r="BC81" s="1450"/>
      <c r="BD81" s="1450"/>
      <c r="BE81" s="1450"/>
      <c r="BF81" s="1450"/>
      <c r="BG81" s="1924"/>
      <c r="BH81" s="1450"/>
      <c r="BI81" s="1450"/>
      <c r="BJ81" s="2754"/>
      <c r="BK81" s="2754"/>
      <c r="BL81" s="1450"/>
      <c r="BM81" s="1450"/>
      <c r="BN81" s="1450"/>
      <c r="BO81" s="1450"/>
      <c r="BP81" s="1450"/>
      <c r="BQ81" s="1450"/>
      <c r="BR81" s="1450"/>
      <c r="BS81" s="1450"/>
      <c r="BT81" s="1450"/>
      <c r="BU81" s="2755"/>
      <c r="BV81" s="2755"/>
      <c r="BW81" s="2755"/>
      <c r="BX81" s="2755"/>
      <c r="BY81" s="2755"/>
      <c r="BZ81" s="2755"/>
    </row>
    <row r="82" spans="1:78" x14ac:dyDescent="0.2">
      <c r="H82" s="2203"/>
      <c r="I82" s="2203"/>
      <c r="AX82" s="2749"/>
      <c r="AY82" s="2749"/>
      <c r="AZ82" s="2749"/>
      <c r="BA82" s="2749"/>
      <c r="BB82" s="2749"/>
      <c r="BC82" s="2749"/>
      <c r="BD82" s="2749"/>
      <c r="BE82" s="2749"/>
      <c r="BF82" s="2749"/>
      <c r="BH82" s="2749"/>
      <c r="BI82" s="2749"/>
      <c r="BJ82" s="2749"/>
      <c r="BK82" s="2749"/>
      <c r="BL82" s="2749"/>
      <c r="BM82" s="2749"/>
      <c r="BN82" s="2749"/>
      <c r="BO82" s="2749"/>
      <c r="BP82" s="2749"/>
      <c r="BQ82" s="2749"/>
      <c r="BR82" s="2749"/>
      <c r="BS82" s="2749"/>
      <c r="BT82" s="2749"/>
      <c r="BU82" s="2742"/>
      <c r="BV82" s="2742"/>
      <c r="BW82" s="2742"/>
      <c r="BX82" s="2742"/>
      <c r="BY82" s="2742"/>
      <c r="BZ82" s="2742"/>
    </row>
    <row r="83" spans="1:78" x14ac:dyDescent="0.2">
      <c r="AX83" s="2749"/>
      <c r="AY83" s="2749"/>
      <c r="AZ83" s="2749"/>
      <c r="BA83" s="2749"/>
      <c r="BB83" s="2749"/>
      <c r="BC83" s="2749"/>
      <c r="BD83" s="2749"/>
      <c r="BE83" s="2749"/>
      <c r="BF83" s="2749"/>
      <c r="BH83" s="2749"/>
      <c r="BI83" s="2749"/>
      <c r="BJ83" s="2753"/>
      <c r="BK83" s="2753"/>
      <c r="BL83" s="2749"/>
      <c r="BM83" s="2749"/>
      <c r="BN83" s="2749"/>
      <c r="BO83" s="2749"/>
      <c r="BP83" s="2749"/>
      <c r="BQ83" s="2749"/>
      <c r="BR83" s="2749"/>
      <c r="BS83" s="2749"/>
      <c r="BT83" s="2749"/>
      <c r="BU83" s="2742"/>
      <c r="BV83" s="2742"/>
      <c r="BW83" s="2742"/>
      <c r="BX83" s="2742"/>
      <c r="BY83" s="2742"/>
      <c r="BZ83" s="2742"/>
    </row>
    <row r="84" spans="1:78" x14ac:dyDescent="0.2">
      <c r="AX84" s="1077"/>
      <c r="BF84" s="1077"/>
      <c r="BH84" s="2749"/>
      <c r="BI84" s="2749"/>
      <c r="BX84" s="2736"/>
      <c r="BY84" s="2736"/>
    </row>
    <row r="85" spans="1:78" x14ac:dyDescent="0.2">
      <c r="AX85" s="2744"/>
      <c r="BF85" s="2744"/>
      <c r="BH85" s="2749"/>
      <c r="BI85" s="2749"/>
      <c r="BX85" s="2736"/>
      <c r="BY85" s="2736"/>
    </row>
    <row r="86" spans="1:78" x14ac:dyDescent="0.2">
      <c r="AX86" s="2744"/>
      <c r="AY86" s="2744"/>
      <c r="BB86" s="2744"/>
      <c r="BD86" s="2744"/>
      <c r="BE86" s="2744"/>
      <c r="BF86" s="2744"/>
      <c r="BH86" s="2749"/>
      <c r="BI86" s="2749"/>
      <c r="BX86" s="1929"/>
      <c r="BY86" s="1929"/>
    </row>
    <row r="87" spans="1:78" x14ac:dyDescent="0.2">
      <c r="AX87" s="1077"/>
      <c r="AY87" s="1077"/>
      <c r="AZ87" s="1077"/>
      <c r="BA87" s="1077"/>
      <c r="BB87" s="1077"/>
      <c r="BC87" s="1065"/>
      <c r="BD87" s="1065"/>
      <c r="BE87" s="1077"/>
      <c r="BF87" s="1077"/>
      <c r="BH87" s="2749"/>
      <c r="BI87" s="2749"/>
      <c r="BX87" s="1929"/>
      <c r="BY87" s="1929"/>
    </row>
    <row r="88" spans="1:78" x14ac:dyDescent="0.2">
      <c r="AX88" s="1077"/>
      <c r="AY88" s="1077"/>
      <c r="AZ88" s="1077"/>
      <c r="BA88" s="1077"/>
      <c r="BB88" s="1077"/>
      <c r="BC88" s="1065"/>
      <c r="BD88" s="1077"/>
      <c r="BE88" s="1077"/>
      <c r="BF88" s="1077"/>
      <c r="BH88" s="2749"/>
      <c r="BI88" s="2749"/>
      <c r="BX88" s="1929"/>
      <c r="BY88" s="1929"/>
    </row>
    <row r="89" spans="1:78" x14ac:dyDescent="0.2">
      <c r="AX89" s="1077"/>
      <c r="AY89" s="1077"/>
      <c r="AZ89" s="1077"/>
      <c r="BA89" s="1077"/>
      <c r="BB89" s="1077"/>
      <c r="BC89" s="1077"/>
      <c r="BD89" s="1077"/>
      <c r="BE89" s="1077"/>
      <c r="BF89" s="1065"/>
      <c r="BH89" s="2749"/>
      <c r="BI89" s="2749"/>
      <c r="BX89" s="1929"/>
      <c r="BY89" s="1929"/>
    </row>
    <row r="90" spans="1:78" x14ac:dyDescent="0.2">
      <c r="AX90" s="1077"/>
      <c r="AY90" s="1077"/>
      <c r="AZ90" s="1077"/>
      <c r="BA90" s="1077"/>
      <c r="BB90" s="1077"/>
      <c r="BC90" s="1077"/>
      <c r="BD90" s="1077"/>
      <c r="BE90" s="1077"/>
      <c r="BF90" s="1065"/>
      <c r="BH90" s="2749"/>
      <c r="BI90" s="2749"/>
      <c r="BX90" s="1929"/>
      <c r="BY90" s="1929"/>
    </row>
    <row r="91" spans="1:78" x14ac:dyDescent="0.2">
      <c r="AX91" s="1077"/>
      <c r="AY91" s="1077"/>
      <c r="AZ91" s="1077"/>
      <c r="BA91" s="1077"/>
      <c r="BB91" s="1077"/>
      <c r="BC91" s="1077"/>
      <c r="BD91" s="1077"/>
      <c r="BE91" s="1077"/>
      <c r="BF91" s="1065"/>
      <c r="BH91" s="2749"/>
      <c r="BI91" s="2749"/>
      <c r="BX91" s="1929"/>
      <c r="BY91" s="1929"/>
    </row>
    <row r="92" spans="1:78" x14ac:dyDescent="0.2">
      <c r="AX92" s="1077"/>
      <c r="AY92" s="1077"/>
      <c r="AZ92" s="1077"/>
      <c r="BA92" s="1077"/>
      <c r="BB92" s="1077"/>
      <c r="BC92" s="1077"/>
      <c r="BD92" s="1077"/>
      <c r="BE92" s="1077"/>
      <c r="BF92" s="1077"/>
      <c r="BH92" s="2749"/>
      <c r="BI92" s="2749"/>
      <c r="BX92" s="1929"/>
      <c r="BY92" s="1929"/>
    </row>
    <row r="93" spans="1:78" x14ac:dyDescent="0.2">
      <c r="AX93" s="1077"/>
      <c r="AY93" s="1077"/>
      <c r="AZ93" s="1077"/>
      <c r="BA93" s="1077"/>
      <c r="BB93" s="1077"/>
      <c r="BC93" s="1077"/>
      <c r="BD93" s="1077"/>
      <c r="BE93" s="1077"/>
      <c r="BF93" s="1077"/>
      <c r="BH93" s="2749"/>
      <c r="BI93" s="2749"/>
      <c r="BX93" s="1929"/>
      <c r="BY93" s="1929"/>
    </row>
    <row r="94" spans="1:78" x14ac:dyDescent="0.2">
      <c r="AX94" s="1077"/>
      <c r="AY94" s="1077"/>
      <c r="AZ94" s="1077"/>
      <c r="BA94" s="1077"/>
      <c r="BB94" s="1077"/>
      <c r="BC94" s="1077"/>
      <c r="BD94" s="1077"/>
      <c r="BE94" s="1077"/>
      <c r="BF94" s="1077"/>
      <c r="BH94" s="2749"/>
      <c r="BI94" s="2749"/>
      <c r="BX94" s="2742"/>
      <c r="BY94" s="2742"/>
    </row>
    <row r="95" spans="1:78" x14ac:dyDescent="0.2">
      <c r="AX95" s="2749"/>
      <c r="AY95" s="2749"/>
      <c r="AZ95" s="2749"/>
      <c r="BA95" s="2749"/>
      <c r="BB95" s="2749"/>
      <c r="BC95" s="2749"/>
      <c r="BD95" s="2749"/>
      <c r="BE95" s="2749"/>
      <c r="BF95" s="2749"/>
      <c r="BH95" s="2749"/>
      <c r="BI95" s="2749"/>
      <c r="BX95" s="2742"/>
      <c r="BY95" s="2742"/>
    </row>
    <row r="96" spans="1:78" x14ac:dyDescent="0.2">
      <c r="AX96" s="2749"/>
      <c r="AY96" s="2749"/>
      <c r="AZ96" s="2749"/>
      <c r="BA96" s="2749"/>
      <c r="BB96" s="2749"/>
      <c r="BC96" s="2749"/>
      <c r="BD96" s="2749"/>
      <c r="BE96" s="2749"/>
      <c r="BF96" s="2749"/>
      <c r="BH96" s="2749"/>
      <c r="BI96" s="2749"/>
      <c r="BX96" s="2742"/>
      <c r="BY96" s="2742"/>
    </row>
    <row r="97" spans="1:104" x14ac:dyDescent="0.2">
      <c r="AX97" s="2749"/>
      <c r="AY97" s="2749"/>
      <c r="AZ97" s="2749"/>
      <c r="BA97" s="2749"/>
      <c r="BB97" s="2749"/>
      <c r="BC97" s="2749"/>
      <c r="BD97" s="2749"/>
      <c r="BE97" s="2749"/>
      <c r="BF97" s="2749"/>
      <c r="BH97" s="2749"/>
      <c r="BI97" s="2749"/>
      <c r="BX97" s="2742"/>
      <c r="BY97" s="2742"/>
    </row>
    <row r="98" spans="1:104" x14ac:dyDescent="0.2">
      <c r="AX98" s="2749"/>
      <c r="AY98" s="2749"/>
      <c r="AZ98" s="2749"/>
      <c r="BA98" s="2749"/>
      <c r="BB98" s="2749"/>
      <c r="BC98" s="2749"/>
      <c r="BD98" s="2749"/>
      <c r="BE98" s="2749"/>
      <c r="BF98" s="2749"/>
      <c r="BH98" s="2749"/>
      <c r="BI98" s="2749"/>
      <c r="BX98" s="2742"/>
      <c r="BY98" s="2742"/>
    </row>
    <row r="99" spans="1:104" s="2752" customFormat="1" x14ac:dyDescent="0.2">
      <c r="A99" s="1522"/>
      <c r="B99" s="1522"/>
      <c r="C99" s="2748"/>
      <c r="D99" s="2748"/>
      <c r="E99" s="2742"/>
      <c r="F99" s="2742"/>
      <c r="G99" s="2742"/>
      <c r="H99" s="2749"/>
      <c r="I99" s="2749"/>
      <c r="J99" s="2749"/>
      <c r="K99" s="2749"/>
      <c r="L99" s="2744"/>
      <c r="M99" s="2749"/>
      <c r="N99" s="2749"/>
      <c r="O99" s="2749"/>
      <c r="P99" s="2749"/>
      <c r="Q99" s="2749"/>
      <c r="R99" s="2749"/>
      <c r="S99" s="2749"/>
      <c r="T99" s="2749"/>
      <c r="U99" s="2749"/>
      <c r="V99" s="2749"/>
      <c r="W99" s="2749"/>
      <c r="X99" s="2749"/>
      <c r="Y99" s="2749"/>
      <c r="Z99" s="2749"/>
      <c r="AA99" s="2749"/>
      <c r="AB99" s="2749"/>
      <c r="AC99" s="2749"/>
      <c r="AD99" s="2749"/>
      <c r="AE99" s="2749"/>
      <c r="AF99" s="2749"/>
      <c r="AG99" s="2749"/>
      <c r="AH99" s="2749"/>
      <c r="AI99" s="2749"/>
      <c r="AJ99" s="2749"/>
      <c r="AK99" s="2749"/>
      <c r="AL99" s="2749"/>
      <c r="AM99" s="2749"/>
      <c r="AN99" s="2749"/>
      <c r="AO99" s="2749"/>
      <c r="AP99" s="2749"/>
      <c r="AQ99" s="2749"/>
      <c r="AR99" s="2749"/>
      <c r="AS99" s="2749"/>
      <c r="AT99" s="2749"/>
      <c r="AU99" s="2749"/>
      <c r="AV99" s="2749"/>
      <c r="AW99" s="2749"/>
      <c r="AX99" s="2749"/>
      <c r="AY99" s="2749"/>
      <c r="AZ99" s="2749"/>
      <c r="BA99" s="2749"/>
      <c r="BB99" s="2749"/>
      <c r="BC99" s="2749"/>
      <c r="BD99" s="2749"/>
      <c r="BE99" s="2749"/>
      <c r="BF99" s="2749"/>
      <c r="BG99" s="2749"/>
      <c r="BH99" s="2749"/>
      <c r="BI99" s="2749"/>
      <c r="BJ99" s="2750"/>
      <c r="BK99" s="2750"/>
      <c r="BL99" s="2748"/>
      <c r="BM99" s="2748"/>
      <c r="BN99" s="2748"/>
      <c r="BO99" s="2748"/>
      <c r="BP99" s="2748"/>
      <c r="BQ99" s="2748"/>
      <c r="BR99" s="2748"/>
      <c r="BS99" s="2748"/>
      <c r="BT99" s="2748"/>
      <c r="BU99" s="2734"/>
      <c r="BV99" s="2734"/>
      <c r="BW99" s="2734"/>
      <c r="BX99" s="2734"/>
      <c r="BY99" s="2734"/>
      <c r="BZ99" s="2734"/>
      <c r="CA99" s="2734"/>
      <c r="CB99" s="2734"/>
      <c r="CC99" s="2734"/>
      <c r="CD99" s="2734"/>
      <c r="CE99" s="2734"/>
      <c r="CF99" s="2734"/>
      <c r="CG99" s="2734"/>
      <c r="CH99" s="2734"/>
      <c r="CI99" s="2734"/>
      <c r="CJ99" s="2734"/>
      <c r="CK99" s="2734"/>
      <c r="CL99" s="2734"/>
      <c r="CM99" s="2734"/>
      <c r="CN99" s="2734"/>
      <c r="CO99" s="2734"/>
      <c r="CP99" s="2734"/>
      <c r="CQ99" s="2734"/>
      <c r="CR99" s="2734"/>
      <c r="CS99" s="2734"/>
      <c r="CT99" s="2734"/>
      <c r="CU99" s="2734"/>
      <c r="CV99" s="2734"/>
      <c r="CW99" s="2734"/>
      <c r="CX99" s="2734"/>
      <c r="CY99" s="2734"/>
      <c r="CZ99" s="2734"/>
    </row>
  </sheetData>
  <mergeCells count="11">
    <mergeCell ref="C51:D51"/>
    <mergeCell ref="C11:D11"/>
    <mergeCell ref="C12:D12"/>
    <mergeCell ref="BJ12:BK12"/>
    <mergeCell ref="A36:B36"/>
    <mergeCell ref="A38:B38"/>
    <mergeCell ref="C52:D52"/>
    <mergeCell ref="BJ52:BK52"/>
    <mergeCell ref="C64:D64"/>
    <mergeCell ref="C65:D65"/>
    <mergeCell ref="BJ65:BK65"/>
  </mergeCells>
  <conditionalFormatting sqref="A49:A50 AZ57:BF61 A70:A72 A62 AZ42:BA43 BB42:BF44 BS61:BY61 BW42:BX44 BW57:BY60 AZ40:BF40 BY40:BY44 A39:B40 BW40:BX40">
    <cfRule type="cellIs" dxfId="135" priority="10" stopIfTrue="1" operator="equal">
      <formula>0</formula>
    </cfRule>
  </conditionalFormatting>
  <conditionalFormatting sqref="BS61">
    <cfRule type="cellIs" dxfId="134" priority="9" stopIfTrue="1" operator="equal">
      <formula>0</formula>
    </cfRule>
  </conditionalFormatting>
  <conditionalFormatting sqref="BR61">
    <cfRule type="cellIs" dxfId="133" priority="8" stopIfTrue="1" operator="equal">
      <formula>0</formula>
    </cfRule>
  </conditionalFormatting>
  <conditionalFormatting sqref="BQ61">
    <cfRule type="cellIs" dxfId="132" priority="7" stopIfTrue="1" operator="equal">
      <formula>0</formula>
    </cfRule>
  </conditionalFormatting>
  <conditionalFormatting sqref="BP61">
    <cfRule type="cellIs" dxfId="131" priority="6" stopIfTrue="1" operator="equal">
      <formula>0</formula>
    </cfRule>
  </conditionalFormatting>
  <conditionalFormatting sqref="BO61">
    <cfRule type="cellIs" dxfId="130" priority="5" stopIfTrue="1" operator="equal">
      <formula>0</formula>
    </cfRule>
  </conditionalFormatting>
  <conditionalFormatting sqref="BN61">
    <cfRule type="cellIs" dxfId="129" priority="3" stopIfTrue="1" operator="equal">
      <formula>0</formula>
    </cfRule>
  </conditionalFormatting>
  <conditionalFormatting sqref="B58">
    <cfRule type="cellIs" dxfId="128" priority="2" stopIfTrue="1" operator="equal">
      <formula>0</formula>
    </cfRule>
  </conditionalFormatting>
  <printOptions horizontalCentered="1" verticalCentered="1"/>
  <pageMargins left="0" right="0" top="0" bottom="0" header="0" footer="0"/>
  <pageSetup scale="60" orientation="landscape" r:id="rId1"/>
  <headerFooter alignWithMargins="0">
    <oddFooter>&amp;L&amp;F&amp;CPage 7</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XER86"/>
  <sheetViews>
    <sheetView zoomScale="90" zoomScaleNormal="90" workbookViewId="0">
      <selection activeCell="D52" sqref="D52"/>
    </sheetView>
  </sheetViews>
  <sheetFormatPr defaultColWidth="9.140625" defaultRowHeight="12.75" x14ac:dyDescent="0.2"/>
  <cols>
    <col min="1" max="1" width="2.7109375" style="1522" customWidth="1"/>
    <col min="2" max="2" width="47.85546875" style="1522" customWidth="1"/>
    <col min="3" max="3" width="10.140625" style="2748" customWidth="1"/>
    <col min="4" max="4" width="9.7109375" style="2748" customWidth="1"/>
    <col min="5" max="5" width="1.5703125" style="2742" customWidth="1"/>
    <col min="6" max="7" width="10.28515625" style="2742" customWidth="1"/>
    <col min="8" max="9" width="10.140625" style="2749" customWidth="1"/>
    <col min="10" max="10" width="11.140625" style="2749" customWidth="1"/>
    <col min="11" max="11" width="10.28515625" style="2749" customWidth="1"/>
    <col min="12" max="12" width="10.28515625" style="2744" customWidth="1"/>
    <col min="13" max="13" width="10.140625" style="2749" customWidth="1"/>
    <col min="14" max="14" width="11.140625" style="2749" customWidth="1"/>
    <col min="15" max="16" width="10.28515625" style="2749" hidden="1" customWidth="1"/>
    <col min="17" max="17" width="10" style="2749" hidden="1" customWidth="1"/>
    <col min="18" max="18" width="9.85546875" style="2749" hidden="1" customWidth="1"/>
    <col min="19" max="19" width="9.7109375" style="2749" hidden="1" customWidth="1"/>
    <col min="20" max="20" width="10.5703125" style="2749" hidden="1" customWidth="1"/>
    <col min="21" max="21" width="8.7109375" style="2749" hidden="1" customWidth="1"/>
    <col min="22" max="22" width="9.85546875" style="2749" hidden="1" customWidth="1"/>
    <col min="23" max="23" width="9.7109375" style="2749" hidden="1" customWidth="1"/>
    <col min="24" max="24" width="10" style="2749" hidden="1" customWidth="1"/>
    <col min="25" max="42" width="8.7109375" style="2749" hidden="1" customWidth="1"/>
    <col min="43" max="49" width="9.7109375" style="2749" hidden="1" customWidth="1"/>
    <col min="50" max="56" width="9.7109375" style="2748" hidden="1" customWidth="1"/>
    <col min="57" max="57" width="1.42578125" style="2748" hidden="1" customWidth="1"/>
    <col min="58" max="58" width="2.28515625" style="2748" hidden="1" customWidth="1"/>
    <col min="59" max="59" width="2.140625" style="2749" customWidth="1"/>
    <col min="60" max="61" width="9.42578125" style="2748" hidden="1" customWidth="1"/>
    <col min="62" max="62" width="10.140625" style="2750" hidden="1" customWidth="1"/>
    <col min="63" max="63" width="9.7109375" style="2750" hidden="1" customWidth="1"/>
    <col min="64" max="64" width="2" style="2748" hidden="1" customWidth="1"/>
    <col min="65" max="69" width="9.7109375" style="2748" customWidth="1"/>
    <col min="70" max="72" width="9.7109375" style="2748" hidden="1" customWidth="1"/>
    <col min="73" max="80" width="9.7109375" style="2734" hidden="1" customWidth="1"/>
    <col min="81" max="81" width="1.5703125" style="2734" customWidth="1"/>
    <col min="82" max="82" width="11.7109375" style="2734" bestFit="1" customWidth="1"/>
    <col min="83" max="94" width="0" style="2734" hidden="1" customWidth="1"/>
    <col min="95" max="16384" width="9.140625" style="2734"/>
  </cols>
  <sheetData>
    <row r="1" spans="1:94" x14ac:dyDescent="0.2">
      <c r="C1" s="1522"/>
      <c r="D1" s="1522"/>
      <c r="E1" s="1484"/>
      <c r="F1" s="1484"/>
      <c r="G1" s="1484"/>
      <c r="H1" s="1523"/>
      <c r="I1" s="1523"/>
      <c r="J1" s="1523"/>
      <c r="K1" s="1523"/>
      <c r="L1" s="1526"/>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3"/>
      <c r="AM1" s="1523"/>
      <c r="AN1" s="1523"/>
      <c r="AO1" s="1523"/>
      <c r="AP1" s="1523"/>
      <c r="AQ1" s="1523"/>
      <c r="AR1" s="1523"/>
      <c r="AS1" s="1523"/>
      <c r="AT1" s="1523"/>
      <c r="AU1" s="1523"/>
      <c r="AV1" s="1523"/>
      <c r="AW1" s="1523"/>
      <c r="AX1" s="1522"/>
      <c r="AY1" s="1522"/>
      <c r="AZ1" s="1522"/>
      <c r="BA1" s="1522"/>
      <c r="BB1" s="1522"/>
      <c r="BC1" s="1522"/>
      <c r="BD1" s="1522"/>
      <c r="BE1" s="1522"/>
      <c r="BF1" s="1522"/>
      <c r="BG1" s="1523"/>
      <c r="BH1" s="1522"/>
      <c r="BI1" s="1522"/>
      <c r="BJ1" s="1564"/>
      <c r="BK1" s="1564"/>
      <c r="BL1" s="1522"/>
      <c r="BM1" s="1522"/>
      <c r="BN1" s="1522"/>
      <c r="BO1" s="1522"/>
      <c r="BP1" s="1522"/>
      <c r="BQ1" s="1522"/>
      <c r="BR1" s="1522"/>
      <c r="BS1" s="1522"/>
      <c r="BT1" s="1522"/>
      <c r="BU1" s="1483"/>
      <c r="BV1" s="1483"/>
      <c r="BW1" s="1483"/>
      <c r="BX1" s="1483"/>
      <c r="BY1" s="1483"/>
      <c r="BZ1" s="1483"/>
      <c r="CA1" s="1483"/>
      <c r="CB1" s="1483"/>
      <c r="CC1" s="1483"/>
    </row>
    <row r="2" spans="1:94" x14ac:dyDescent="0.2">
      <c r="C2" s="1522"/>
      <c r="D2" s="1522"/>
      <c r="E2" s="1484"/>
      <c r="F2" s="1484"/>
      <c r="G2" s="1484"/>
      <c r="H2" s="1523"/>
      <c r="I2" s="1523"/>
      <c r="J2" s="1523"/>
      <c r="K2" s="1523"/>
      <c r="L2" s="1526"/>
      <c r="M2" s="1523"/>
      <c r="N2" s="1523"/>
      <c r="O2" s="1523"/>
      <c r="P2" s="1523"/>
      <c r="Q2" s="1523"/>
      <c r="R2" s="1523"/>
      <c r="S2" s="1523"/>
      <c r="T2" s="1563"/>
      <c r="U2" s="1563"/>
      <c r="V2" s="1563"/>
      <c r="W2" s="1523"/>
      <c r="X2" s="1563"/>
      <c r="Y2" s="1563"/>
      <c r="Z2" s="1563"/>
      <c r="AA2" s="1523"/>
      <c r="AB2" s="1563"/>
      <c r="AC2" s="1563"/>
      <c r="AD2" s="1563"/>
      <c r="AE2" s="1523"/>
      <c r="AF2" s="1523"/>
      <c r="AG2" s="1563"/>
      <c r="AH2" s="1563"/>
      <c r="AI2" s="1523"/>
      <c r="AJ2" s="1523"/>
      <c r="AK2" s="1563"/>
      <c r="AL2" s="1563"/>
      <c r="AM2" s="1523"/>
      <c r="AN2" s="1523"/>
      <c r="AO2" s="1563"/>
      <c r="AP2" s="1563"/>
      <c r="AQ2" s="1523"/>
      <c r="AR2" s="1523"/>
      <c r="AS2" s="1563"/>
      <c r="AT2" s="1563"/>
      <c r="AU2" s="1523"/>
      <c r="AV2" s="1523"/>
      <c r="AW2" s="1523"/>
      <c r="AX2" s="1522"/>
      <c r="AY2" s="1522"/>
      <c r="AZ2" s="1522"/>
      <c r="BA2" s="1522"/>
      <c r="BB2" s="1522"/>
      <c r="BC2" s="1522"/>
      <c r="BD2" s="1522"/>
      <c r="BE2" s="1522"/>
      <c r="BF2" s="1522"/>
      <c r="BG2" s="1523"/>
      <c r="BH2" s="1522"/>
      <c r="BI2" s="1522"/>
      <c r="BJ2" s="1564"/>
      <c r="BK2" s="1564"/>
      <c r="BL2" s="1522"/>
      <c r="BM2" s="1522"/>
      <c r="BN2" s="1522"/>
      <c r="BO2" s="1522"/>
      <c r="BP2" s="1522"/>
      <c r="BQ2" s="1522"/>
      <c r="BR2" s="1522"/>
      <c r="BS2" s="1522"/>
      <c r="BT2" s="1522"/>
      <c r="BU2" s="1483"/>
      <c r="BV2" s="1483"/>
      <c r="BW2" s="1483"/>
      <c r="BX2" s="1483"/>
      <c r="BY2" s="1483"/>
      <c r="BZ2" s="1483"/>
      <c r="CA2" s="1483"/>
      <c r="CB2" s="1483"/>
      <c r="CC2" s="1483"/>
    </row>
    <row r="3" spans="1:94" x14ac:dyDescent="0.2">
      <c r="C3" s="1522"/>
      <c r="D3" s="1522"/>
      <c r="E3" s="1484"/>
      <c r="F3" s="1484"/>
      <c r="G3" s="1484"/>
      <c r="H3" s="1523"/>
      <c r="I3" s="1523"/>
      <c r="J3" s="1523"/>
      <c r="K3" s="1523"/>
      <c r="L3" s="1526"/>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c r="AT3" s="1523"/>
      <c r="AU3" s="1523"/>
      <c r="AV3" s="1523"/>
      <c r="AW3" s="1523"/>
      <c r="AX3" s="1522"/>
      <c r="AY3" s="1522"/>
      <c r="AZ3" s="1522"/>
      <c r="BA3" s="1522"/>
      <c r="BB3" s="1522"/>
      <c r="BC3" s="1522"/>
      <c r="BD3" s="1522"/>
      <c r="BE3" s="1522"/>
      <c r="BF3" s="1522"/>
      <c r="BG3" s="1523"/>
      <c r="BH3" s="1522"/>
      <c r="BI3" s="1522"/>
      <c r="BJ3" s="1564"/>
      <c r="BK3" s="1564"/>
      <c r="BL3" s="1522"/>
      <c r="BM3" s="1522"/>
      <c r="BN3" s="1522"/>
      <c r="BO3" s="1522"/>
      <c r="BP3" s="1522"/>
      <c r="BQ3" s="1522"/>
      <c r="BR3" s="1522"/>
      <c r="BS3" s="1522"/>
      <c r="BT3" s="1522"/>
      <c r="BU3" s="1483"/>
      <c r="BV3" s="1483"/>
      <c r="BW3" s="1483"/>
      <c r="BX3" s="1483"/>
      <c r="BY3" s="1483"/>
      <c r="BZ3" s="1483"/>
      <c r="CA3" s="1483"/>
      <c r="CB3" s="1483"/>
      <c r="CC3" s="1483"/>
    </row>
    <row r="4" spans="1:94" x14ac:dyDescent="0.2">
      <c r="C4" s="1522"/>
      <c r="D4" s="1522"/>
      <c r="E4" s="1484"/>
      <c r="F4" s="1484"/>
      <c r="G4" s="1484"/>
      <c r="H4" s="1523"/>
      <c r="I4" s="1523"/>
      <c r="J4" s="1523"/>
      <c r="K4" s="1523"/>
      <c r="L4" s="1526"/>
      <c r="M4" s="1523"/>
      <c r="N4" s="1523"/>
      <c r="O4" s="1523"/>
      <c r="P4" s="1523"/>
      <c r="Q4" s="1523"/>
      <c r="R4" s="1523"/>
      <c r="S4" s="1523"/>
      <c r="T4" s="1523"/>
      <c r="U4" s="1523"/>
      <c r="V4" s="1523"/>
      <c r="W4" s="1523"/>
      <c r="X4" s="1523"/>
      <c r="Y4" s="1523"/>
      <c r="Z4" s="1523"/>
      <c r="AA4" s="1523"/>
      <c r="AB4" s="1523"/>
      <c r="AC4" s="1523"/>
      <c r="AD4" s="1523"/>
      <c r="AE4" s="1523"/>
      <c r="AF4" s="1523"/>
      <c r="AG4" s="1523"/>
      <c r="AH4" s="1523"/>
      <c r="AI4" s="1523"/>
      <c r="AJ4" s="1523"/>
      <c r="AK4" s="1523"/>
      <c r="AL4" s="1523"/>
      <c r="AM4" s="1523"/>
      <c r="AN4" s="1523"/>
      <c r="AO4" s="1523"/>
      <c r="AP4" s="1523"/>
      <c r="AQ4" s="1523"/>
      <c r="AR4" s="1523"/>
      <c r="AS4" s="1523"/>
      <c r="AT4" s="1523"/>
      <c r="AU4" s="1523"/>
      <c r="AV4" s="1523"/>
      <c r="AW4" s="1523"/>
      <c r="AX4" s="1522"/>
      <c r="AY4" s="1522"/>
      <c r="AZ4" s="1522"/>
      <c r="BA4" s="1522"/>
      <c r="BB4" s="1522"/>
      <c r="BC4" s="1522"/>
      <c r="BD4" s="1522"/>
      <c r="BE4" s="1522"/>
      <c r="BF4" s="1522"/>
      <c r="BG4" s="1523"/>
      <c r="BH4" s="1522"/>
      <c r="BI4" s="1522"/>
      <c r="BJ4" s="1564"/>
      <c r="BK4" s="1564"/>
      <c r="BL4" s="1522"/>
      <c r="BM4" s="1522"/>
      <c r="BN4" s="1522"/>
      <c r="BO4" s="1522"/>
      <c r="BP4" s="1522"/>
      <c r="BQ4" s="1522"/>
      <c r="BR4" s="1522"/>
      <c r="BS4" s="1522"/>
      <c r="BT4" s="1522"/>
      <c r="BU4" s="1483"/>
      <c r="BV4" s="1483"/>
      <c r="BW4" s="1483"/>
      <c r="BX4" s="1483"/>
      <c r="BY4" s="1483"/>
      <c r="BZ4" s="1483"/>
      <c r="CA4" s="1483"/>
      <c r="CB4" s="1483"/>
      <c r="CC4" s="1483"/>
    </row>
    <row r="5" spans="1:94" ht="6" customHeight="1" x14ac:dyDescent="0.2">
      <c r="A5" s="1523"/>
      <c r="B5" s="1523"/>
      <c r="C5" s="1523"/>
      <c r="D5" s="1523"/>
      <c r="E5" s="1484"/>
      <c r="F5" s="1484"/>
      <c r="G5" s="1484"/>
      <c r="H5" s="1523"/>
      <c r="I5" s="1523"/>
      <c r="J5" s="1523"/>
      <c r="K5" s="1523"/>
      <c r="L5" s="1526"/>
      <c r="M5" s="1523"/>
      <c r="N5" s="1523"/>
      <c r="O5" s="1523"/>
      <c r="P5" s="1523"/>
      <c r="Q5" s="1523"/>
      <c r="R5" s="1523"/>
      <c r="S5" s="1523"/>
      <c r="T5" s="1523"/>
      <c r="U5" s="1523"/>
      <c r="V5" s="1523"/>
      <c r="W5" s="1523"/>
      <c r="X5" s="1523"/>
      <c r="Y5" s="1523"/>
      <c r="Z5" s="1523"/>
      <c r="AA5" s="1523"/>
      <c r="AB5" s="1523"/>
      <c r="AC5" s="1523"/>
      <c r="AD5" s="1523"/>
      <c r="AE5" s="1523"/>
      <c r="AF5" s="1523"/>
      <c r="AG5" s="1523"/>
      <c r="AH5" s="1523"/>
      <c r="AI5" s="1523"/>
      <c r="AJ5" s="1523"/>
      <c r="AK5" s="1523"/>
      <c r="AL5" s="1523"/>
      <c r="AM5" s="1523"/>
      <c r="AN5" s="1523"/>
      <c r="AO5" s="1523"/>
      <c r="AP5" s="1523"/>
      <c r="AQ5" s="1523"/>
      <c r="AR5" s="1523"/>
      <c r="AS5" s="1523"/>
      <c r="AT5" s="1523"/>
      <c r="AU5" s="1523"/>
      <c r="AV5" s="1523"/>
      <c r="AW5" s="1523"/>
      <c r="AX5" s="1523"/>
      <c r="AY5" s="1523"/>
      <c r="AZ5" s="1523"/>
      <c r="BA5" s="1522"/>
      <c r="BB5" s="1522"/>
      <c r="BC5" s="1522"/>
      <c r="BD5" s="1522"/>
      <c r="BE5" s="1522"/>
      <c r="BF5" s="1522"/>
      <c r="BG5" s="1523"/>
      <c r="BH5" s="1522"/>
      <c r="BI5" s="1522"/>
      <c r="BJ5" s="1564"/>
      <c r="BK5" s="1564"/>
      <c r="BL5" s="1522"/>
      <c r="BM5" s="1522"/>
      <c r="BN5" s="1522"/>
      <c r="BO5" s="1522"/>
      <c r="BP5" s="1522"/>
      <c r="BQ5" s="1522"/>
      <c r="BR5" s="1522"/>
      <c r="BS5" s="1522"/>
      <c r="BT5" s="1522"/>
      <c r="BU5" s="1483"/>
      <c r="BV5" s="1483"/>
      <c r="BW5" s="1483"/>
      <c r="BX5" s="1483"/>
      <c r="BY5" s="1483"/>
      <c r="BZ5" s="1483"/>
      <c r="CA5" s="1483"/>
      <c r="CB5" s="1483"/>
      <c r="CC5" s="1483"/>
    </row>
    <row r="6" spans="1:94" ht="18" customHeight="1" x14ac:dyDescent="0.2">
      <c r="A6" s="2209" t="s">
        <v>654</v>
      </c>
      <c r="B6" s="1526"/>
      <c r="C6" s="1526"/>
      <c r="D6" s="1526"/>
      <c r="E6" s="1486"/>
      <c r="F6" s="1486"/>
      <c r="G6" s="1486"/>
      <c r="H6" s="1526"/>
      <c r="I6" s="1526"/>
      <c r="J6" s="1526"/>
      <c r="K6" s="1526"/>
      <c r="L6" s="1526"/>
      <c r="M6" s="1526"/>
      <c r="N6" s="1526"/>
      <c r="O6" s="1526"/>
      <c r="P6" s="1526"/>
      <c r="Q6" s="1526"/>
      <c r="R6" s="1526"/>
      <c r="S6" s="1526"/>
      <c r="T6" s="1526"/>
      <c r="U6" s="1526"/>
      <c r="V6" s="1526"/>
      <c r="W6" s="1523"/>
      <c r="X6" s="1523"/>
      <c r="Y6" s="1523"/>
      <c r="Z6" s="1523"/>
      <c r="AA6" s="1523"/>
      <c r="AB6" s="1523"/>
      <c r="AC6" s="1523"/>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2"/>
      <c r="BB6" s="1522"/>
      <c r="BC6" s="1522"/>
      <c r="BD6" s="1522"/>
      <c r="BE6" s="1522"/>
      <c r="BF6" s="1522"/>
      <c r="BG6" s="1523"/>
      <c r="BH6" s="1522"/>
      <c r="BI6" s="1522"/>
      <c r="BJ6" s="1564"/>
      <c r="BK6" s="1564"/>
      <c r="BL6" s="1522"/>
      <c r="BM6" s="1522"/>
      <c r="BN6" s="1522"/>
      <c r="BO6" s="1522"/>
      <c r="BP6" s="1522"/>
      <c r="BQ6" s="1522"/>
      <c r="BR6" s="1522"/>
      <c r="BS6" s="1522"/>
      <c r="BT6" s="1522"/>
      <c r="BU6" s="1483"/>
      <c r="BV6" s="1483"/>
      <c r="BW6" s="1483"/>
      <c r="BX6" s="1483"/>
      <c r="BY6" s="1483"/>
      <c r="BZ6" s="1483"/>
      <c r="CA6" s="1483"/>
      <c r="CB6" s="1483"/>
      <c r="CC6" s="1483"/>
    </row>
    <row r="7" spans="1:94" ht="18" hidden="1" customHeight="1" x14ac:dyDescent="0.2">
      <c r="A7" s="2209" t="s">
        <v>345</v>
      </c>
      <c r="B7" s="1526"/>
      <c r="C7" s="1526"/>
      <c r="D7" s="1526"/>
      <c r="E7" s="1486"/>
      <c r="F7" s="1486"/>
      <c r="G7" s="148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778"/>
      <c r="BB7" s="1778"/>
      <c r="BC7" s="1778"/>
      <c r="BD7" s="1778"/>
      <c r="BE7" s="1778"/>
      <c r="BF7" s="1778"/>
      <c r="BG7" s="1526"/>
      <c r="BH7" s="1778"/>
      <c r="BI7" s="1526"/>
      <c r="BJ7" s="2440"/>
      <c r="BK7" s="2440"/>
      <c r="BL7" s="1778"/>
      <c r="BM7" s="1778"/>
      <c r="BN7" s="1778"/>
      <c r="BO7" s="1778"/>
      <c r="BP7" s="1778"/>
      <c r="BQ7" s="1522"/>
      <c r="BR7" s="1522"/>
      <c r="BS7" s="1522"/>
      <c r="BT7" s="1522"/>
      <c r="BU7" s="1483"/>
      <c r="BV7" s="1483"/>
      <c r="BW7" s="1483"/>
      <c r="BX7" s="1483"/>
      <c r="BY7" s="1483"/>
      <c r="BZ7" s="1483"/>
      <c r="CA7" s="1483"/>
      <c r="CB7" s="1483"/>
      <c r="CC7" s="1483"/>
    </row>
    <row r="8" spans="1:94" ht="18" customHeight="1" x14ac:dyDescent="0.2">
      <c r="A8" s="2225" t="s">
        <v>634</v>
      </c>
      <c r="B8" s="1525"/>
      <c r="C8" s="1525"/>
      <c r="D8" s="1525"/>
      <c r="E8" s="1485"/>
      <c r="F8" s="1485"/>
      <c r="G8" s="1485"/>
      <c r="H8" s="1525"/>
      <c r="I8" s="1525"/>
      <c r="J8" s="1525"/>
      <c r="K8" s="1525"/>
      <c r="L8" s="1525"/>
      <c r="M8" s="1525"/>
      <c r="N8" s="1525"/>
      <c r="O8" s="1525"/>
      <c r="P8" s="1525"/>
      <c r="Q8" s="1525"/>
      <c r="R8" s="1525"/>
      <c r="S8" s="1525"/>
      <c r="T8" s="1525"/>
      <c r="U8" s="1525"/>
      <c r="V8" s="1525"/>
      <c r="W8" s="1767"/>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6"/>
      <c r="AY8" s="1526"/>
      <c r="AZ8" s="1526"/>
      <c r="BA8" s="1778"/>
      <c r="BB8" s="1778"/>
      <c r="BC8" s="1778"/>
      <c r="BD8" s="1778"/>
      <c r="BE8" s="1778"/>
      <c r="BF8" s="1778"/>
      <c r="BG8" s="1526"/>
      <c r="BH8" s="1778"/>
      <c r="BI8" s="1778"/>
      <c r="BJ8" s="2507"/>
      <c r="BK8" s="2440"/>
      <c r="BL8" s="1778"/>
      <c r="BM8" s="1778"/>
      <c r="BN8" s="1778"/>
      <c r="BO8" s="1778"/>
      <c r="BP8" s="1778"/>
      <c r="BQ8" s="1522"/>
      <c r="BR8" s="1522"/>
      <c r="BS8" s="1522"/>
      <c r="BT8" s="1522"/>
      <c r="BU8" s="1483"/>
      <c r="BV8" s="1483"/>
      <c r="BW8" s="1483"/>
      <c r="BX8" s="1483"/>
      <c r="BY8" s="1483"/>
      <c r="BZ8" s="1483"/>
      <c r="CA8" s="1483"/>
      <c r="CB8" s="1483"/>
      <c r="CC8" s="1483"/>
    </row>
    <row r="9" spans="1:94" ht="16.5" customHeight="1" x14ac:dyDescent="0.2">
      <c r="A9" s="944"/>
      <c r="B9" s="1526"/>
      <c r="C9" s="1526"/>
      <c r="D9" s="1526"/>
      <c r="E9" s="1486"/>
      <c r="F9" s="1486"/>
      <c r="G9" s="1486"/>
      <c r="H9" s="2844"/>
      <c r="I9" s="2844"/>
      <c r="J9" s="1526"/>
      <c r="K9" s="1526"/>
      <c r="L9" s="1526"/>
      <c r="M9" s="2844"/>
      <c r="N9" s="1526"/>
      <c r="O9" s="1526"/>
      <c r="P9" s="1526"/>
      <c r="Q9" s="1526"/>
      <c r="R9" s="1526"/>
      <c r="S9" s="1526"/>
      <c r="T9" s="1526"/>
      <c r="U9" s="1526"/>
      <c r="V9" s="1526"/>
      <c r="W9" s="1526"/>
      <c r="X9" s="1526"/>
      <c r="Y9" s="1567"/>
      <c r="Z9" s="1526"/>
      <c r="AA9" s="1526"/>
      <c r="AB9" s="1567"/>
      <c r="AC9" s="1567"/>
      <c r="AD9" s="1526"/>
      <c r="AE9" s="1526"/>
      <c r="AF9" s="1526"/>
      <c r="AG9" s="1567"/>
      <c r="AH9" s="1526"/>
      <c r="AI9" s="1526"/>
      <c r="AJ9" s="1526"/>
      <c r="AK9" s="1567"/>
      <c r="AL9" s="1526"/>
      <c r="AM9" s="1567"/>
      <c r="AN9" s="1526"/>
      <c r="AO9" s="1567"/>
      <c r="AP9" s="1526"/>
      <c r="AQ9" s="1567"/>
      <c r="AR9" s="1526"/>
      <c r="AS9" s="1567"/>
      <c r="AT9" s="1526"/>
      <c r="AU9" s="1567"/>
      <c r="AV9" s="1526"/>
      <c r="AW9" s="1526"/>
      <c r="AX9" s="1526"/>
      <c r="AY9" s="1526"/>
      <c r="AZ9" s="1526"/>
      <c r="BA9" s="1778"/>
      <c r="BB9" s="1778"/>
      <c r="BC9" s="1778"/>
      <c r="BD9" s="1778"/>
      <c r="BE9" s="1778"/>
      <c r="BF9" s="1778"/>
      <c r="BG9" s="1526"/>
      <c r="BH9" s="1778"/>
      <c r="BI9" s="1778"/>
      <c r="BJ9" s="2441"/>
      <c r="BK9" s="2441"/>
      <c r="BL9" s="1778"/>
      <c r="BM9" s="1778"/>
      <c r="BN9" s="1778"/>
      <c r="BO9" s="1778"/>
      <c r="BP9" s="1778"/>
      <c r="BQ9" s="1522"/>
      <c r="BR9" s="1522"/>
      <c r="BS9" s="1522"/>
      <c r="BT9" s="1522"/>
      <c r="BU9" s="1483"/>
      <c r="BV9" s="1483"/>
      <c r="BW9" s="1483"/>
      <c r="BX9" s="1483"/>
      <c r="BY9" s="1483"/>
      <c r="BZ9" s="1483"/>
      <c r="CA9" s="1483"/>
      <c r="CB9" s="1483"/>
      <c r="CC9" s="1483"/>
    </row>
    <row r="10" spans="1:94" ht="16.5" customHeight="1" x14ac:dyDescent="0.2">
      <c r="A10" s="944"/>
      <c r="B10" s="1526"/>
      <c r="C10" s="1526"/>
      <c r="D10" s="1526"/>
      <c r="E10" s="1486"/>
      <c r="F10" s="1486"/>
      <c r="G10" s="1486"/>
      <c r="H10" s="1526"/>
      <c r="I10" s="1526"/>
      <c r="J10" s="1526"/>
      <c r="K10" s="1526"/>
      <c r="L10" s="1526"/>
      <c r="M10" s="1526"/>
      <c r="N10" s="1526"/>
      <c r="O10" s="1526"/>
      <c r="P10" s="1526"/>
      <c r="Q10" s="1526"/>
      <c r="R10" s="1526"/>
      <c r="S10" s="1526"/>
      <c r="T10" s="1567"/>
      <c r="U10" s="1567"/>
      <c r="V10" s="1567"/>
      <c r="W10" s="1567"/>
      <c r="X10" s="1567"/>
      <c r="Y10" s="1526"/>
      <c r="Z10" s="1526"/>
      <c r="AA10" s="1526"/>
      <c r="AB10" s="1526"/>
      <c r="AC10" s="1526"/>
      <c r="AD10" s="1526"/>
      <c r="AE10" s="1526"/>
      <c r="AF10" s="1526"/>
      <c r="AG10" s="1526"/>
      <c r="AH10" s="1526"/>
      <c r="AI10" s="1526"/>
      <c r="AJ10" s="1526"/>
      <c r="AK10" s="1526"/>
      <c r="AL10" s="1526"/>
      <c r="AM10" s="1526"/>
      <c r="AN10" s="1526"/>
      <c r="AO10" s="1526"/>
      <c r="AP10" s="1526"/>
      <c r="AQ10" s="1526"/>
      <c r="AR10" s="1526"/>
      <c r="AS10" s="1526"/>
      <c r="AT10" s="1526"/>
      <c r="AU10" s="1526"/>
      <c r="AV10" s="1526"/>
      <c r="AW10" s="1526"/>
      <c r="AX10" s="1526"/>
      <c r="AY10" s="1526"/>
      <c r="AZ10" s="1526"/>
      <c r="BA10" s="1778"/>
      <c r="BB10" s="1778"/>
      <c r="BC10" s="1778"/>
      <c r="BD10" s="1778"/>
      <c r="BE10" s="1778"/>
      <c r="BF10" s="1778"/>
      <c r="BG10" s="1526"/>
      <c r="BH10" s="1778"/>
      <c r="BI10" s="1778"/>
      <c r="BJ10" s="2441"/>
      <c r="BK10" s="2441"/>
      <c r="BL10" s="1778"/>
      <c r="BM10" s="1778"/>
      <c r="BN10" s="1778"/>
      <c r="BO10" s="1778"/>
      <c r="BP10" s="1778"/>
      <c r="BQ10" s="1522"/>
      <c r="BR10" s="1522"/>
      <c r="BS10" s="1522"/>
      <c r="BT10" s="1522"/>
      <c r="BU10" s="1483"/>
      <c r="BV10" s="1483"/>
      <c r="BW10" s="1483"/>
      <c r="BX10" s="1483"/>
      <c r="BY10" s="1483"/>
      <c r="BZ10" s="1483"/>
      <c r="CA10" s="1483"/>
      <c r="CB10" s="1483"/>
      <c r="CC10" s="1483"/>
    </row>
    <row r="11" spans="1:94" x14ac:dyDescent="0.2">
      <c r="A11" s="1527" t="s">
        <v>1</v>
      </c>
      <c r="B11" s="1528"/>
      <c r="C11" s="3073" t="s">
        <v>671</v>
      </c>
      <c r="D11" s="3074"/>
      <c r="E11" s="1488"/>
      <c r="F11" s="2445"/>
      <c r="G11" s="2445"/>
      <c r="H11" s="2443"/>
      <c r="I11" s="2443"/>
      <c r="J11" s="2443"/>
      <c r="K11" s="2444"/>
      <c r="L11" s="2443"/>
      <c r="M11" s="2443"/>
      <c r="N11" s="2443"/>
      <c r="O11" s="2444"/>
      <c r="P11" s="2443"/>
      <c r="Q11" s="2443"/>
      <c r="R11" s="2442"/>
      <c r="S11" s="2443"/>
      <c r="T11" s="1526"/>
      <c r="U11" s="1526"/>
      <c r="V11" s="2508"/>
      <c r="W11" s="1526"/>
      <c r="X11" s="1526"/>
      <c r="Y11" s="1526"/>
      <c r="Z11" s="2442"/>
      <c r="AA11" s="2443"/>
      <c r="AB11" s="1526"/>
      <c r="AC11" s="1526"/>
      <c r="AD11" s="2442"/>
      <c r="AE11" s="2443"/>
      <c r="AF11" s="2443"/>
      <c r="AG11" s="1526"/>
      <c r="AH11" s="2442"/>
      <c r="AI11" s="2443"/>
      <c r="AJ11" s="2443"/>
      <c r="AK11" s="1526"/>
      <c r="AL11" s="2442"/>
      <c r="AM11" s="2443"/>
      <c r="AN11" s="2443"/>
      <c r="AO11" s="1526"/>
      <c r="AP11" s="2442"/>
      <c r="AQ11" s="2443"/>
      <c r="AR11" s="2443"/>
      <c r="AS11" s="1526"/>
      <c r="AT11" s="2442"/>
      <c r="AU11" s="1526"/>
      <c r="AV11" s="2443"/>
      <c r="AW11" s="2443"/>
      <c r="AX11" s="2442"/>
      <c r="AY11" s="2443"/>
      <c r="AZ11" s="2443"/>
      <c r="BA11" s="2443"/>
      <c r="BB11" s="2443"/>
      <c r="BC11" s="2444"/>
      <c r="BD11" s="2442"/>
      <c r="BE11" s="2442"/>
      <c r="BF11" s="2442"/>
      <c r="BG11" s="2478"/>
      <c r="BH11" s="988" t="s">
        <v>660</v>
      </c>
      <c r="BI11" s="988"/>
      <c r="BJ11" s="988" t="s">
        <v>563</v>
      </c>
      <c r="BK11" s="989"/>
      <c r="BL11" s="1570"/>
      <c r="BM11" s="1571"/>
      <c r="BN11" s="1571"/>
      <c r="BO11" s="1571"/>
      <c r="BP11" s="1571"/>
      <c r="BQ11" s="1571"/>
      <c r="BR11" s="1571"/>
      <c r="BS11" s="1571"/>
      <c r="BT11" s="1571"/>
      <c r="BU11" s="2062"/>
      <c r="BV11" s="2062"/>
      <c r="BW11" s="2062"/>
      <c r="BX11" s="1490"/>
      <c r="BY11" s="2063"/>
      <c r="BZ11" s="2062"/>
      <c r="CA11" s="2064"/>
      <c r="CB11" s="2064"/>
      <c r="CC11" s="2065"/>
    </row>
    <row r="12" spans="1:94" x14ac:dyDescent="0.2">
      <c r="A12" s="1527" t="s">
        <v>496</v>
      </c>
      <c r="B12" s="1528"/>
      <c r="C12" s="3186" t="s">
        <v>38</v>
      </c>
      <c r="D12" s="3187"/>
      <c r="E12" s="1491"/>
      <c r="F12" s="1948" t="s">
        <v>670</v>
      </c>
      <c r="G12" s="1948" t="s">
        <v>558</v>
      </c>
      <c r="H12" s="992" t="s">
        <v>559</v>
      </c>
      <c r="I12" s="992" t="s">
        <v>560</v>
      </c>
      <c r="J12" s="992" t="s">
        <v>561</v>
      </c>
      <c r="K12" s="994" t="s">
        <v>508</v>
      </c>
      <c r="L12" s="992" t="s">
        <v>507</v>
      </c>
      <c r="M12" s="992" t="s">
        <v>506</v>
      </c>
      <c r="N12" s="992" t="s">
        <v>505</v>
      </c>
      <c r="O12" s="994" t="s">
        <v>382</v>
      </c>
      <c r="P12" s="992" t="s">
        <v>383</v>
      </c>
      <c r="Q12" s="992" t="s">
        <v>384</v>
      </c>
      <c r="R12" s="993" t="s">
        <v>385</v>
      </c>
      <c r="S12" s="992" t="s">
        <v>368</v>
      </c>
      <c r="T12" s="992" t="s">
        <v>367</v>
      </c>
      <c r="U12" s="992" t="s">
        <v>366</v>
      </c>
      <c r="V12" s="993" t="s">
        <v>364</v>
      </c>
      <c r="W12" s="992" t="s">
        <v>348</v>
      </c>
      <c r="X12" s="992" t="s">
        <v>349</v>
      </c>
      <c r="Y12" s="992" t="s">
        <v>350</v>
      </c>
      <c r="Z12" s="993" t="s">
        <v>351</v>
      </c>
      <c r="AA12" s="1572" t="s">
        <v>315</v>
      </c>
      <c r="AB12" s="1572" t="s">
        <v>314</v>
      </c>
      <c r="AC12" s="1572" t="s">
        <v>313</v>
      </c>
      <c r="AD12" s="1573" t="s">
        <v>311</v>
      </c>
      <c r="AE12" s="1572" t="s">
        <v>270</v>
      </c>
      <c r="AF12" s="1572" t="s">
        <v>271</v>
      </c>
      <c r="AG12" s="1572" t="s">
        <v>272</v>
      </c>
      <c r="AH12" s="1573" t="s">
        <v>273</v>
      </c>
      <c r="AI12" s="1572" t="s">
        <v>223</v>
      </c>
      <c r="AJ12" s="1572" t="s">
        <v>224</v>
      </c>
      <c r="AK12" s="1572" t="s">
        <v>225</v>
      </c>
      <c r="AL12" s="1573" t="s">
        <v>222</v>
      </c>
      <c r="AM12" s="1572" t="s">
        <v>189</v>
      </c>
      <c r="AN12" s="1572" t="s">
        <v>190</v>
      </c>
      <c r="AO12" s="1572" t="s">
        <v>191</v>
      </c>
      <c r="AP12" s="1573" t="s">
        <v>192</v>
      </c>
      <c r="AQ12" s="1572" t="s">
        <v>121</v>
      </c>
      <c r="AR12" s="1572" t="s">
        <v>120</v>
      </c>
      <c r="AS12" s="1572" t="s">
        <v>119</v>
      </c>
      <c r="AT12" s="1573" t="s">
        <v>118</v>
      </c>
      <c r="AU12" s="1572" t="s">
        <v>81</v>
      </c>
      <c r="AV12" s="1572" t="s">
        <v>82</v>
      </c>
      <c r="AW12" s="1572" t="s">
        <v>83</v>
      </c>
      <c r="AX12" s="1573" t="s">
        <v>29</v>
      </c>
      <c r="AY12" s="1572" t="s">
        <v>30</v>
      </c>
      <c r="AZ12" s="1572" t="s">
        <v>31</v>
      </c>
      <c r="BA12" s="1572" t="s">
        <v>32</v>
      </c>
      <c r="BB12" s="1572" t="s">
        <v>33</v>
      </c>
      <c r="BC12" s="1574" t="s">
        <v>34</v>
      </c>
      <c r="BD12" s="1573" t="s">
        <v>35</v>
      </c>
      <c r="BE12" s="1573" t="s">
        <v>36</v>
      </c>
      <c r="BF12" s="1573" t="s">
        <v>37</v>
      </c>
      <c r="BG12" s="1569"/>
      <c r="BH12" s="992" t="s">
        <v>558</v>
      </c>
      <c r="BI12" s="992" t="s">
        <v>508</v>
      </c>
      <c r="BJ12" s="3071" t="s">
        <v>38</v>
      </c>
      <c r="BK12" s="3072"/>
      <c r="BL12" s="1576"/>
      <c r="BM12" s="994" t="s">
        <v>562</v>
      </c>
      <c r="BN12" s="994" t="s">
        <v>509</v>
      </c>
      <c r="BO12" s="994" t="s">
        <v>502</v>
      </c>
      <c r="BP12" s="994" t="s">
        <v>379</v>
      </c>
      <c r="BQ12" s="994" t="s">
        <v>360</v>
      </c>
      <c r="BR12" s="994" t="s">
        <v>317</v>
      </c>
      <c r="BS12" s="1577" t="s">
        <v>275</v>
      </c>
      <c r="BT12" s="1577" t="s">
        <v>227</v>
      </c>
      <c r="BU12" s="2067" t="s">
        <v>123</v>
      </c>
      <c r="BV12" s="2067" t="s">
        <v>122</v>
      </c>
      <c r="BW12" s="2066" t="s">
        <v>42</v>
      </c>
      <c r="BX12" s="2066" t="s">
        <v>39</v>
      </c>
      <c r="BY12" s="2067" t="s">
        <v>40</v>
      </c>
      <c r="BZ12" s="2067" t="s">
        <v>142</v>
      </c>
      <c r="CA12" s="2067" t="s">
        <v>143</v>
      </c>
      <c r="CB12" s="2067" t="s">
        <v>144</v>
      </c>
      <c r="CC12" s="2065"/>
      <c r="CD12" s="2742"/>
      <c r="CE12" s="2737" t="s">
        <v>533</v>
      </c>
      <c r="CF12" s="2738"/>
      <c r="CG12" s="2738"/>
      <c r="CH12" s="2738"/>
      <c r="CI12" s="1315"/>
      <c r="CJ12" s="2738" t="s">
        <v>534</v>
      </c>
      <c r="CK12" s="2738"/>
      <c r="CL12" s="1180"/>
      <c r="CM12" s="2739" t="s">
        <v>535</v>
      </c>
      <c r="CN12" s="2739"/>
      <c r="CO12" s="2739"/>
      <c r="CP12" s="2739"/>
    </row>
    <row r="13" spans="1:94" s="2740" customFormat="1" hidden="1" x14ac:dyDescent="0.2">
      <c r="A13" s="1527"/>
      <c r="B13" s="1527"/>
      <c r="C13" s="1529"/>
      <c r="D13" s="1530"/>
      <c r="E13" s="1492"/>
      <c r="F13" s="2027"/>
      <c r="G13" s="2027"/>
      <c r="H13" s="1768"/>
      <c r="I13" s="1768"/>
      <c r="J13" s="1768"/>
      <c r="K13" s="1363"/>
      <c r="L13" s="1768"/>
      <c r="M13" s="1768"/>
      <c r="N13" s="1768"/>
      <c r="O13" s="1363"/>
      <c r="P13" s="1768"/>
      <c r="Q13" s="1768"/>
      <c r="R13" s="1769"/>
      <c r="S13" s="1768"/>
      <c r="T13" s="1768"/>
      <c r="U13" s="1768"/>
      <c r="V13" s="1769"/>
      <c r="W13" s="1768" t="s">
        <v>240</v>
      </c>
      <c r="X13" s="1768" t="s">
        <v>240</v>
      </c>
      <c r="Y13" s="1768" t="s">
        <v>240</v>
      </c>
      <c r="Z13" s="1769" t="s">
        <v>240</v>
      </c>
      <c r="AA13" s="1770" t="s">
        <v>240</v>
      </c>
      <c r="AB13" s="1770" t="s">
        <v>240</v>
      </c>
      <c r="AC13" s="1770" t="s">
        <v>240</v>
      </c>
      <c r="AD13" s="1771" t="s">
        <v>240</v>
      </c>
      <c r="AE13" s="1770" t="s">
        <v>240</v>
      </c>
      <c r="AF13" s="1770" t="s">
        <v>240</v>
      </c>
      <c r="AG13" s="1770" t="s">
        <v>240</v>
      </c>
      <c r="AH13" s="1771" t="s">
        <v>240</v>
      </c>
      <c r="AI13" s="1770" t="s">
        <v>240</v>
      </c>
      <c r="AJ13" s="1770" t="s">
        <v>240</v>
      </c>
      <c r="AK13" s="1770" t="s">
        <v>240</v>
      </c>
      <c r="AL13" s="1771" t="s">
        <v>240</v>
      </c>
      <c r="AM13" s="1770" t="s">
        <v>240</v>
      </c>
      <c r="AN13" s="1770" t="s">
        <v>240</v>
      </c>
      <c r="AO13" s="1770" t="s">
        <v>240</v>
      </c>
      <c r="AP13" s="1771" t="s">
        <v>240</v>
      </c>
      <c r="AQ13" s="1770" t="s">
        <v>241</v>
      </c>
      <c r="AR13" s="1770" t="s">
        <v>241</v>
      </c>
      <c r="AS13" s="1770" t="s">
        <v>241</v>
      </c>
      <c r="AT13" s="1771" t="s">
        <v>241</v>
      </c>
      <c r="AU13" s="1580"/>
      <c r="AV13" s="1580"/>
      <c r="AW13" s="1580"/>
      <c r="AX13" s="1581"/>
      <c r="AY13" s="1580"/>
      <c r="AZ13" s="1580"/>
      <c r="BA13" s="1580"/>
      <c r="BB13" s="1580"/>
      <c r="BC13" s="1582"/>
      <c r="BD13" s="1581"/>
      <c r="BE13" s="1581"/>
      <c r="BF13" s="1581"/>
      <c r="BG13" s="1588"/>
      <c r="BH13" s="1584" t="s">
        <v>240</v>
      </c>
      <c r="BI13" s="1584" t="s">
        <v>240</v>
      </c>
      <c r="BJ13" s="2447"/>
      <c r="BK13" s="2448"/>
      <c r="BL13" s="1585"/>
      <c r="BM13" s="1587"/>
      <c r="BN13" s="1587"/>
      <c r="BO13" s="1587"/>
      <c r="BP13" s="1587"/>
      <c r="BQ13" s="1587"/>
      <c r="BR13" s="1587" t="s">
        <v>240</v>
      </c>
      <c r="BS13" s="1587" t="s">
        <v>240</v>
      </c>
      <c r="BT13" s="1587" t="s">
        <v>240</v>
      </c>
      <c r="BU13" s="2070" t="s">
        <v>240</v>
      </c>
      <c r="BV13" s="2070" t="s">
        <v>241</v>
      </c>
      <c r="BW13" s="2070" t="s">
        <v>241</v>
      </c>
      <c r="BX13" s="2070" t="s">
        <v>241</v>
      </c>
      <c r="BY13" s="2070" t="s">
        <v>241</v>
      </c>
      <c r="BZ13" s="2070" t="s">
        <v>241</v>
      </c>
      <c r="CA13" s="2071"/>
      <c r="CB13" s="2071"/>
      <c r="CC13" s="2072"/>
      <c r="CD13" s="2751"/>
      <c r="CE13" s="1315"/>
      <c r="CF13" s="1315"/>
      <c r="CG13" s="1315"/>
      <c r="CH13" s="1315"/>
      <c r="CI13" s="1180"/>
      <c r="CJ13" s="1180"/>
      <c r="CK13" s="1180"/>
      <c r="CL13" s="1180"/>
      <c r="CM13" s="1180"/>
      <c r="CN13" s="1180"/>
      <c r="CO13" s="1180"/>
    </row>
    <row r="14" spans="1:94" ht="12.75" customHeight="1" x14ac:dyDescent="0.2">
      <c r="A14" s="1531" t="s">
        <v>59</v>
      </c>
      <c r="B14" s="1532"/>
      <c r="C14" s="2506"/>
      <c r="D14" s="2504"/>
      <c r="E14" s="2452"/>
      <c r="F14" s="2454"/>
      <c r="G14" s="2454"/>
      <c r="H14" s="1528"/>
      <c r="I14" s="1528"/>
      <c r="J14" s="1528"/>
      <c r="K14" s="2450"/>
      <c r="L14" s="1528"/>
      <c r="M14" s="1528"/>
      <c r="N14" s="1528"/>
      <c r="O14" s="2521"/>
      <c r="P14" s="1528"/>
      <c r="Q14" s="1528"/>
      <c r="R14" s="2451"/>
      <c r="S14" s="1528"/>
      <c r="T14" s="1528"/>
      <c r="U14" s="1528"/>
      <c r="V14" s="2451"/>
      <c r="W14" s="1528"/>
      <c r="X14" s="1528"/>
      <c r="Y14" s="1528"/>
      <c r="Z14" s="2451"/>
      <c r="AA14" s="1528"/>
      <c r="AB14" s="1528"/>
      <c r="AC14" s="1528"/>
      <c r="AD14" s="2451"/>
      <c r="AE14" s="1528"/>
      <c r="AF14" s="1528"/>
      <c r="AG14" s="1528"/>
      <c r="AH14" s="2451"/>
      <c r="AI14" s="1528"/>
      <c r="AJ14" s="1528"/>
      <c r="AK14" s="1528"/>
      <c r="AL14" s="2451"/>
      <c r="AM14" s="1528"/>
      <c r="AN14" s="1528"/>
      <c r="AO14" s="1528"/>
      <c r="AP14" s="2451"/>
      <c r="AQ14" s="1528"/>
      <c r="AR14" s="1528"/>
      <c r="AS14" s="1528"/>
      <c r="AT14" s="2451"/>
      <c r="AU14" s="1528"/>
      <c r="AV14" s="1528"/>
      <c r="AW14" s="1528"/>
      <c r="AX14" s="2451"/>
      <c r="AY14" s="2505"/>
      <c r="AZ14" s="1528"/>
      <c r="BA14" s="1528"/>
      <c r="BB14" s="2451"/>
      <c r="BC14" s="2450"/>
      <c r="BD14" s="2451"/>
      <c r="BE14" s="2451"/>
      <c r="BF14" s="2451"/>
      <c r="BG14" s="1629"/>
      <c r="BH14" s="2506"/>
      <c r="BI14" s="2505"/>
      <c r="BJ14" s="2511"/>
      <c r="BK14" s="2512"/>
      <c r="BL14" s="1539"/>
      <c r="BM14" s="1629"/>
      <c r="BN14" s="1629"/>
      <c r="BO14" s="1629"/>
      <c r="BP14" s="1629"/>
      <c r="BQ14" s="1589"/>
      <c r="BR14" s="1589"/>
      <c r="BS14" s="1589"/>
      <c r="BT14" s="1589"/>
      <c r="BU14" s="1496"/>
      <c r="BV14" s="1496"/>
      <c r="BW14" s="1496"/>
      <c r="BX14" s="2073"/>
      <c r="BY14" s="1496"/>
      <c r="BZ14" s="2075"/>
      <c r="CA14" s="2076"/>
      <c r="CB14" s="2076"/>
      <c r="CC14" s="2065"/>
      <c r="CD14" s="2742"/>
      <c r="CE14" s="1315"/>
      <c r="CF14" s="1315"/>
      <c r="CG14" s="1315"/>
      <c r="CH14" s="1315"/>
      <c r="CI14" s="1180"/>
      <c r="CJ14" s="1180"/>
      <c r="CK14" s="1180"/>
      <c r="CL14" s="1180"/>
      <c r="CM14" s="1180"/>
      <c r="CN14" s="1180"/>
      <c r="CO14" s="1180"/>
    </row>
    <row r="15" spans="1:94" ht="12.75" customHeight="1" x14ac:dyDescent="0.2">
      <c r="A15" s="1528"/>
      <c r="B15" s="1528" t="s">
        <v>369</v>
      </c>
      <c r="C15" s="1533">
        <v>715</v>
      </c>
      <c r="D15" s="1536">
        <v>3.2962980037803701E-2</v>
      </c>
      <c r="E15" s="2208"/>
      <c r="F15" s="1516">
        <v>22406</v>
      </c>
      <c r="G15" s="2116">
        <v>28851</v>
      </c>
      <c r="H15" s="1660">
        <v>38529</v>
      </c>
      <c r="I15" s="1660">
        <v>19568</v>
      </c>
      <c r="J15" s="1662">
        <v>21691</v>
      </c>
      <c r="K15" s="1660">
        <v>34761</v>
      </c>
      <c r="L15" s="1660">
        <v>32218</v>
      </c>
      <c r="M15" s="1660">
        <v>34638</v>
      </c>
      <c r="N15" s="1662">
        <v>26654</v>
      </c>
      <c r="O15" s="2311">
        <v>49474</v>
      </c>
      <c r="P15" s="1662">
        <v>32011</v>
      </c>
      <c r="Q15" s="1660">
        <v>27820</v>
      </c>
      <c r="R15" s="1662">
        <v>24518</v>
      </c>
      <c r="S15" s="2311">
        <v>32531</v>
      </c>
      <c r="T15" s="1660">
        <v>29341</v>
      </c>
      <c r="U15" s="1662">
        <v>38339</v>
      </c>
      <c r="V15" s="1662">
        <v>45233</v>
      </c>
      <c r="W15" s="2311">
        <v>38594</v>
      </c>
      <c r="X15" s="1662">
        <v>23692</v>
      </c>
      <c r="Y15" s="1660">
        <v>48910</v>
      </c>
      <c r="Z15" s="1660">
        <v>44746</v>
      </c>
      <c r="AA15" s="1660">
        <v>63175</v>
      </c>
      <c r="AB15" s="1660">
        <v>65707</v>
      </c>
      <c r="AC15" s="1660">
        <v>42936</v>
      </c>
      <c r="AD15" s="1660">
        <v>40489</v>
      </c>
      <c r="AE15" s="1660">
        <v>45552</v>
      </c>
      <c r="AF15" s="1398">
        <v>44248</v>
      </c>
      <c r="AG15" s="1660">
        <v>39034</v>
      </c>
      <c r="AH15" s="1660">
        <v>29220</v>
      </c>
      <c r="AI15" s="1660">
        <v>19861</v>
      </c>
      <c r="AJ15" s="1398">
        <v>12748</v>
      </c>
      <c r="AK15" s="1398">
        <v>9338</v>
      </c>
      <c r="AL15" s="1398">
        <v>9246</v>
      </c>
      <c r="AM15" s="1398">
        <v>34555</v>
      </c>
      <c r="AN15" s="1398">
        <v>23339</v>
      </c>
      <c r="AO15" s="1398">
        <v>18338</v>
      </c>
      <c r="AP15" s="1398"/>
      <c r="AQ15" s="1660"/>
      <c r="AR15" s="1660"/>
      <c r="AS15" s="1657"/>
      <c r="AT15" s="1660"/>
      <c r="AU15" s="1603"/>
      <c r="AV15" s="1603"/>
      <c r="AW15" s="1603"/>
      <c r="AX15" s="1660"/>
      <c r="AY15" s="1558"/>
      <c r="AZ15" s="1558"/>
      <c r="BA15" s="1558"/>
      <c r="BB15" s="1558"/>
      <c r="BC15" s="1558"/>
      <c r="BD15" s="1558"/>
      <c r="BE15" s="1558"/>
      <c r="BF15" s="1558"/>
      <c r="BG15" s="1528"/>
      <c r="BH15" s="1666">
        <v>108639</v>
      </c>
      <c r="BI15" s="1660">
        <v>128271</v>
      </c>
      <c r="BJ15" s="1596">
        <v>-19632</v>
      </c>
      <c r="BK15" s="1536">
        <v>-0.15305096241551092</v>
      </c>
      <c r="BL15" s="1528"/>
      <c r="BM15" s="1679">
        <v>108639</v>
      </c>
      <c r="BN15" s="1679">
        <v>128271</v>
      </c>
      <c r="BO15" s="1679">
        <v>133823</v>
      </c>
      <c r="BP15" s="1679">
        <v>145444</v>
      </c>
      <c r="BQ15" s="1665">
        <v>155942</v>
      </c>
      <c r="BR15" s="1703">
        <v>212307</v>
      </c>
      <c r="BS15" s="1665">
        <v>158054</v>
      </c>
      <c r="BT15" s="1703">
        <v>51193</v>
      </c>
      <c r="BU15" s="2207">
        <v>92677</v>
      </c>
      <c r="BV15" s="1317">
        <v>82454</v>
      </c>
      <c r="BW15" s="1317">
        <v>72926</v>
      </c>
      <c r="BX15" s="1317">
        <v>118332</v>
      </c>
      <c r="BY15" s="2079">
        <v>187562</v>
      </c>
      <c r="BZ15" s="2075">
        <v>150470</v>
      </c>
      <c r="CA15" s="2075">
        <v>95559</v>
      </c>
      <c r="CB15" s="2075"/>
      <c r="CC15" s="2065"/>
      <c r="CE15" s="1920">
        <v>207</v>
      </c>
      <c r="CF15" s="1180">
        <v>6.4665271312986158E-3</v>
      </c>
      <c r="CG15" s="1180">
        <v>508</v>
      </c>
      <c r="CH15" s="1180">
        <v>2.6496452906505083E-2</v>
      </c>
      <c r="CI15" s="1180"/>
      <c r="CJ15" s="1920">
        <v>93510</v>
      </c>
      <c r="CK15" s="1315">
        <v>15129</v>
      </c>
      <c r="CL15" s="1920"/>
      <c r="CM15" s="1315">
        <v>-19632</v>
      </c>
      <c r="CN15" s="1315">
        <v>-0.15305096241551092</v>
      </c>
      <c r="CO15" s="1315">
        <v>0</v>
      </c>
      <c r="CP15" s="1180">
        <v>0</v>
      </c>
    </row>
    <row r="16" spans="1:94" ht="12.75" customHeight="1" x14ac:dyDescent="0.2">
      <c r="A16" s="1528"/>
      <c r="B16" s="1528" t="s">
        <v>386</v>
      </c>
      <c r="C16" s="1533">
        <v>-100</v>
      </c>
      <c r="D16" s="1536">
        <v>-1</v>
      </c>
      <c r="E16" s="1498"/>
      <c r="F16" s="2210">
        <v>0</v>
      </c>
      <c r="G16" s="2210">
        <v>37</v>
      </c>
      <c r="H16" s="1304">
        <v>13</v>
      </c>
      <c r="I16" s="1304">
        <v>0</v>
      </c>
      <c r="J16" s="1304">
        <v>100</v>
      </c>
      <c r="K16" s="1307">
        <v>35</v>
      </c>
      <c r="L16" s="1304">
        <v>4</v>
      </c>
      <c r="M16" s="1304">
        <v>31</v>
      </c>
      <c r="N16" s="1304">
        <v>117</v>
      </c>
      <c r="O16" s="1274">
        <v>12716</v>
      </c>
      <c r="P16" s="2206">
        <v>0</v>
      </c>
      <c r="Q16" s="1593">
        <v>72</v>
      </c>
      <c r="R16" s="1662">
        <v>201</v>
      </c>
      <c r="S16" s="1593">
        <v>34</v>
      </c>
      <c r="T16" s="2206">
        <v>0</v>
      </c>
      <c r="U16" s="2206">
        <v>0</v>
      </c>
      <c r="V16" s="2025">
        <v>0</v>
      </c>
      <c r="W16" s="2206">
        <v>0</v>
      </c>
      <c r="X16" s="2206">
        <v>0</v>
      </c>
      <c r="Y16" s="1593"/>
      <c r="Z16" s="1662"/>
      <c r="AA16" s="1593"/>
      <c r="AB16" s="1593"/>
      <c r="AC16" s="1593"/>
      <c r="AD16" s="1662"/>
      <c r="AE16" s="1593"/>
      <c r="AF16" s="1420"/>
      <c r="AG16" s="1593"/>
      <c r="AH16" s="1662"/>
      <c r="AI16" s="1593"/>
      <c r="AJ16" s="1420"/>
      <c r="AK16" s="1420"/>
      <c r="AL16" s="1421"/>
      <c r="AM16" s="1420"/>
      <c r="AN16" s="1420"/>
      <c r="AO16" s="1420"/>
      <c r="AP16" s="1397"/>
      <c r="AQ16" s="1593"/>
      <c r="AR16" s="1593"/>
      <c r="AS16" s="1672"/>
      <c r="AT16" s="1662"/>
      <c r="AU16" s="1603"/>
      <c r="AV16" s="1603"/>
      <c r="AW16" s="1603"/>
      <c r="AX16" s="1662"/>
      <c r="AY16" s="1558"/>
      <c r="AZ16" s="1718"/>
      <c r="BA16" s="1718"/>
      <c r="BB16" s="1558"/>
      <c r="BC16" s="1554"/>
      <c r="BD16" s="1719"/>
      <c r="BE16" s="1719"/>
      <c r="BF16" s="1719"/>
      <c r="BG16" s="1629"/>
      <c r="BH16" s="1670">
        <v>150</v>
      </c>
      <c r="BI16" s="1593">
        <v>187</v>
      </c>
      <c r="BJ16" s="1613">
        <v>-37</v>
      </c>
      <c r="BK16" s="1538">
        <v>-0.19786096256684493</v>
      </c>
      <c r="BL16" s="1539"/>
      <c r="BM16" s="1679">
        <v>150</v>
      </c>
      <c r="BN16" s="1274">
        <v>187</v>
      </c>
      <c r="BO16" s="1274">
        <v>12989</v>
      </c>
      <c r="BP16" s="1274">
        <v>34</v>
      </c>
      <c r="BQ16" s="1775">
        <v>0</v>
      </c>
      <c r="BR16" s="1775">
        <v>0</v>
      </c>
      <c r="BS16" s="1775">
        <v>0</v>
      </c>
      <c r="BT16" s="1775">
        <v>0</v>
      </c>
      <c r="BU16" s="2151"/>
      <c r="BV16" s="1317"/>
      <c r="BW16" s="1317"/>
      <c r="BX16" s="1317"/>
      <c r="BY16" s="2079"/>
      <c r="BZ16" s="2075"/>
      <c r="CA16" s="2075"/>
      <c r="CB16" s="2075"/>
      <c r="CC16" s="2065"/>
      <c r="CD16" s="2742"/>
      <c r="CE16" s="1920">
        <v>4</v>
      </c>
      <c r="CF16" s="1180" t="e">
        <v>#DIV/0!</v>
      </c>
      <c r="CG16" s="1180">
        <v>-104</v>
      </c>
      <c r="CH16" s="1180" t="e">
        <v>#DIV/0!</v>
      </c>
      <c r="CI16" s="1180"/>
      <c r="CJ16" s="1920">
        <v>152</v>
      </c>
      <c r="CK16" s="1315">
        <v>-2</v>
      </c>
      <c r="CL16" s="1920"/>
      <c r="CM16" s="1315">
        <v>-37</v>
      </c>
      <c r="CN16" s="1315">
        <v>-0.19786096256684493</v>
      </c>
      <c r="CO16" s="1315">
        <v>0</v>
      </c>
      <c r="CP16" s="1180">
        <v>0</v>
      </c>
    </row>
    <row r="17" spans="1:94 16372:16372" ht="12.75" customHeight="1" x14ac:dyDescent="0.2">
      <c r="A17" s="1532"/>
      <c r="B17" s="1528"/>
      <c r="C17" s="1534">
        <v>615</v>
      </c>
      <c r="D17" s="1535">
        <v>2.8222660731494653E-2</v>
      </c>
      <c r="E17" s="1498"/>
      <c r="F17" s="2210">
        <v>22406</v>
      </c>
      <c r="G17" s="2210">
        <v>28888</v>
      </c>
      <c r="H17" s="1304">
        <v>38542</v>
      </c>
      <c r="I17" s="1304">
        <v>19568</v>
      </c>
      <c r="J17" s="1304">
        <v>21791</v>
      </c>
      <c r="K17" s="1307">
        <v>34796</v>
      </c>
      <c r="L17" s="1304">
        <v>32222</v>
      </c>
      <c r="M17" s="1304">
        <v>34669</v>
      </c>
      <c r="N17" s="1304">
        <v>26771</v>
      </c>
      <c r="O17" s="1307">
        <v>62190</v>
      </c>
      <c r="P17" s="1304">
        <v>32011</v>
      </c>
      <c r="Q17" s="1593">
        <v>27892</v>
      </c>
      <c r="R17" s="1721">
        <v>24719</v>
      </c>
      <c r="S17" s="1593">
        <v>32565</v>
      </c>
      <c r="T17" s="1593">
        <v>29341</v>
      </c>
      <c r="U17" s="1593">
        <v>38339</v>
      </c>
      <c r="V17" s="1721">
        <v>45233</v>
      </c>
      <c r="W17" s="1593">
        <v>38594</v>
      </c>
      <c r="X17" s="1593">
        <v>23692</v>
      </c>
      <c r="Y17" s="1593">
        <v>48910</v>
      </c>
      <c r="Z17" s="1721">
        <v>44746</v>
      </c>
      <c r="AA17" s="1593">
        <v>63175</v>
      </c>
      <c r="AB17" s="1593">
        <v>65707</v>
      </c>
      <c r="AC17" s="1593">
        <v>42936</v>
      </c>
      <c r="AD17" s="1721">
        <v>40489</v>
      </c>
      <c r="AE17" s="1593">
        <v>45552</v>
      </c>
      <c r="AF17" s="1593">
        <v>44248</v>
      </c>
      <c r="AG17" s="1593">
        <v>39034</v>
      </c>
      <c r="AH17" s="1721">
        <v>29220</v>
      </c>
      <c r="AI17" s="1593">
        <v>19861</v>
      </c>
      <c r="AJ17" s="1593">
        <v>12748</v>
      </c>
      <c r="AK17" s="1593">
        <v>9338</v>
      </c>
      <c r="AL17" s="1674">
        <v>9246</v>
      </c>
      <c r="AM17" s="1593">
        <v>34555</v>
      </c>
      <c r="AN17" s="1593">
        <v>23339</v>
      </c>
      <c r="AO17" s="1593">
        <v>18338</v>
      </c>
      <c r="AP17" s="1721"/>
      <c r="AQ17" s="1593"/>
      <c r="AR17" s="1593"/>
      <c r="AS17" s="1593"/>
      <c r="AT17" s="1721"/>
      <c r="AU17" s="1720"/>
      <c r="AV17" s="1720"/>
      <c r="AW17" s="1720"/>
      <c r="AX17" s="1721"/>
      <c r="AY17" s="1720"/>
      <c r="AZ17" s="1720"/>
      <c r="BA17" s="1720"/>
      <c r="BB17" s="1720"/>
      <c r="BC17" s="1722"/>
      <c r="BD17" s="1721"/>
      <c r="BE17" s="1721"/>
      <c r="BF17" s="1721"/>
      <c r="BG17" s="1629"/>
      <c r="BH17" s="1670">
        <v>108789</v>
      </c>
      <c r="BI17" s="1593">
        <v>128458</v>
      </c>
      <c r="BJ17" s="1613">
        <v>-19669</v>
      </c>
      <c r="BK17" s="1538">
        <v>-0.15311619361970449</v>
      </c>
      <c r="BL17" s="1539"/>
      <c r="BM17" s="2479">
        <v>108789</v>
      </c>
      <c r="BN17" s="1671">
        <v>128458</v>
      </c>
      <c r="BO17" s="1671">
        <v>146812</v>
      </c>
      <c r="BP17" s="1671">
        <v>145478</v>
      </c>
      <c r="BQ17" s="1602">
        <v>155942</v>
      </c>
      <c r="BR17" s="1602">
        <v>212307</v>
      </c>
      <c r="BS17" s="1602">
        <v>158054</v>
      </c>
      <c r="BT17" s="1602">
        <v>51193</v>
      </c>
      <c r="BU17" s="2081">
        <v>92677</v>
      </c>
      <c r="BV17" s="2081">
        <v>82454</v>
      </c>
      <c r="BW17" s="2081">
        <v>72926</v>
      </c>
      <c r="BX17" s="2081">
        <v>118332</v>
      </c>
      <c r="BY17" s="2081">
        <v>187562</v>
      </c>
      <c r="BZ17" s="2082">
        <v>150470</v>
      </c>
      <c r="CA17" s="2082">
        <v>95559</v>
      </c>
      <c r="CB17" s="2082">
        <v>211758</v>
      </c>
      <c r="CC17" s="2065"/>
      <c r="CE17" s="1920">
        <v>211</v>
      </c>
      <c r="CF17" s="1180">
        <v>6.5914841773140479E-3</v>
      </c>
      <c r="CG17" s="1180">
        <v>404</v>
      </c>
      <c r="CH17" s="1180">
        <v>2.1631176554180606E-2</v>
      </c>
      <c r="CI17" s="1180"/>
      <c r="CJ17" s="1920">
        <v>93662</v>
      </c>
      <c r="CK17" s="1315">
        <v>15127</v>
      </c>
      <c r="CL17" s="1920"/>
      <c r="CM17" s="1315">
        <v>-19669</v>
      </c>
      <c r="CN17" s="1315">
        <v>-0.15311619361970449</v>
      </c>
      <c r="CO17" s="1315">
        <v>0</v>
      </c>
      <c r="CP17" s="1180">
        <v>0</v>
      </c>
    </row>
    <row r="18" spans="1:94 16372:16372" ht="12.75" customHeight="1" x14ac:dyDescent="0.2">
      <c r="A18" s="1531" t="s">
        <v>5</v>
      </c>
      <c r="B18" s="1528"/>
      <c r="C18" s="1804"/>
      <c r="D18" s="1631"/>
      <c r="E18" s="1498"/>
      <c r="F18" s="2907"/>
      <c r="G18" s="2907"/>
      <c r="H18" s="1407"/>
      <c r="I18" s="1407"/>
      <c r="J18" s="1424"/>
      <c r="K18" s="1396"/>
      <c r="L18" s="1205"/>
      <c r="M18" s="1205"/>
      <c r="N18" s="1205"/>
      <c r="O18" s="1396"/>
      <c r="P18" s="1205"/>
      <c r="Q18" s="1603"/>
      <c r="R18" s="1662"/>
      <c r="S18" s="1603"/>
      <c r="T18" s="1603"/>
      <c r="U18" s="1603"/>
      <c r="V18" s="1662"/>
      <c r="W18" s="1603"/>
      <c r="X18" s="1603"/>
      <c r="Y18" s="1603"/>
      <c r="Z18" s="1662"/>
      <c r="AA18" s="1603"/>
      <c r="AB18" s="1603"/>
      <c r="AC18" s="1603"/>
      <c r="AD18" s="1662"/>
      <c r="AE18" s="1603"/>
      <c r="AF18" s="1723"/>
      <c r="AG18" s="1603"/>
      <c r="AH18" s="1662"/>
      <c r="AI18" s="1603"/>
      <c r="AJ18" s="1723"/>
      <c r="AK18" s="1603"/>
      <c r="AL18" s="1662"/>
      <c r="AM18" s="1603"/>
      <c r="AN18" s="1723"/>
      <c r="AO18" s="1603"/>
      <c r="AP18" s="1662"/>
      <c r="AQ18" s="1603"/>
      <c r="AR18" s="1723"/>
      <c r="AS18" s="1603"/>
      <c r="AT18" s="1662"/>
      <c r="AU18" s="1723"/>
      <c r="AV18" s="1723"/>
      <c r="AW18" s="1723"/>
      <c r="AX18" s="1663"/>
      <c r="AY18" s="1660"/>
      <c r="AZ18" s="1660"/>
      <c r="BA18" s="1660"/>
      <c r="BB18" s="1660"/>
      <c r="BC18" s="1666"/>
      <c r="BD18" s="1662"/>
      <c r="BE18" s="1662"/>
      <c r="BF18" s="1662"/>
      <c r="BG18" s="1629"/>
      <c r="BH18" s="2199"/>
      <c r="BI18" s="1603"/>
      <c r="BJ18" s="1596"/>
      <c r="BK18" s="1536"/>
      <c r="BL18" s="1539"/>
      <c r="BM18" s="2896"/>
      <c r="BN18" s="1724"/>
      <c r="BO18" s="1724"/>
      <c r="BP18" s="1724"/>
      <c r="BQ18" s="1608"/>
      <c r="BR18" s="1608"/>
      <c r="BS18" s="1608"/>
      <c r="BT18" s="1608"/>
      <c r="BU18" s="2083"/>
      <c r="BV18" s="2083"/>
      <c r="BW18" s="2083"/>
      <c r="BX18" s="2079"/>
      <c r="BY18" s="2079"/>
      <c r="BZ18" s="2084"/>
      <c r="CA18" s="2084"/>
      <c r="CB18" s="2084"/>
      <c r="CC18" s="2065"/>
      <c r="CE18" s="2742"/>
      <c r="CF18" s="2742"/>
      <c r="CG18" s="2742"/>
    </row>
    <row r="19" spans="1:94 16372:16372" ht="12.75" hidden="1" customHeight="1" x14ac:dyDescent="0.2">
      <c r="A19" s="1531"/>
      <c r="B19" s="1528" t="s">
        <v>292</v>
      </c>
      <c r="C19" s="1533">
        <v>-3135</v>
      </c>
      <c r="D19" s="1536">
        <v>-0.2199228340933006</v>
      </c>
      <c r="E19" s="2208"/>
      <c r="F19" s="2035">
        <v>11120</v>
      </c>
      <c r="G19" s="2035">
        <v>17859</v>
      </c>
      <c r="H19" s="1205">
        <v>22765</v>
      </c>
      <c r="I19" s="1205">
        <v>15465</v>
      </c>
      <c r="J19" s="1409">
        <v>14255</v>
      </c>
      <c r="K19" s="1396">
        <v>19760</v>
      </c>
      <c r="L19" s="1205">
        <v>17107</v>
      </c>
      <c r="M19" s="1205">
        <v>18246</v>
      </c>
      <c r="N19" s="1205">
        <v>16968</v>
      </c>
      <c r="O19" s="1396">
        <v>30671</v>
      </c>
      <c r="P19" s="1205">
        <v>18124</v>
      </c>
      <c r="Q19" s="1603">
        <v>19661</v>
      </c>
      <c r="R19" s="1773">
        <v>17290</v>
      </c>
      <c r="S19" s="1603">
        <v>17074</v>
      </c>
      <c r="T19" s="1603">
        <v>25078</v>
      </c>
      <c r="U19" s="1603">
        <v>20678</v>
      </c>
      <c r="V19" s="1773">
        <v>25936</v>
      </c>
      <c r="W19" s="1603">
        <v>26454</v>
      </c>
      <c r="X19" s="1603">
        <v>17707</v>
      </c>
      <c r="Y19" s="1603">
        <v>24445</v>
      </c>
      <c r="Z19" s="1773">
        <v>21416</v>
      </c>
      <c r="AA19" s="1603">
        <v>30712</v>
      </c>
      <c r="AB19" s="1603">
        <v>29546</v>
      </c>
      <c r="AC19" s="1603">
        <v>20354</v>
      </c>
      <c r="AD19" s="1773">
        <v>15804</v>
      </c>
      <c r="AE19" s="1603">
        <v>23564</v>
      </c>
      <c r="AF19" s="1603">
        <v>20627</v>
      </c>
      <c r="AG19" s="1603">
        <v>21105</v>
      </c>
      <c r="AH19" s="1773">
        <v>11868</v>
      </c>
      <c r="AI19" s="1603">
        <v>16143</v>
      </c>
      <c r="AJ19" s="1603">
        <v>5356</v>
      </c>
      <c r="AK19" s="1603">
        <v>5606</v>
      </c>
      <c r="AL19" s="1662">
        <v>5085</v>
      </c>
      <c r="AM19" s="1603">
        <v>17779</v>
      </c>
      <c r="AN19" s="1603">
        <v>11299</v>
      </c>
      <c r="AO19" s="1603">
        <v>9187</v>
      </c>
      <c r="AP19" s="1662"/>
      <c r="AQ19" s="1603"/>
      <c r="AR19" s="1603"/>
      <c r="AS19" s="1603"/>
      <c r="AT19" s="1662"/>
      <c r="AU19" s="1603"/>
      <c r="AV19" s="1603"/>
      <c r="AW19" s="1603"/>
      <c r="AX19" s="1662"/>
      <c r="AY19" s="1660"/>
      <c r="AZ19" s="1660"/>
      <c r="BA19" s="1660"/>
      <c r="BB19" s="1660"/>
      <c r="BC19" s="1666"/>
      <c r="BD19" s="1662"/>
      <c r="BE19" s="1662"/>
      <c r="BF19" s="1662"/>
      <c r="BG19" s="1629"/>
      <c r="BH19" s="1666">
        <v>70344</v>
      </c>
      <c r="BI19" s="1660">
        <v>72081</v>
      </c>
      <c r="BJ19" s="1596">
        <v>-1737</v>
      </c>
      <c r="BK19" s="1536">
        <v>-2.4097889873891873E-2</v>
      </c>
      <c r="BL19" s="1539"/>
      <c r="BM19" s="1684">
        <v>70344</v>
      </c>
      <c r="BN19" s="1684">
        <v>72081</v>
      </c>
      <c r="BO19" s="1684">
        <v>85746</v>
      </c>
      <c r="BP19" s="1684">
        <v>88766</v>
      </c>
      <c r="BQ19" s="1665">
        <v>90022</v>
      </c>
      <c r="BR19" s="1665">
        <v>96416</v>
      </c>
      <c r="BS19" s="1665">
        <v>77164</v>
      </c>
      <c r="BT19" s="1665">
        <v>32190</v>
      </c>
      <c r="BU19" s="2114">
        <v>45538</v>
      </c>
      <c r="BV19" s="2114">
        <v>42535</v>
      </c>
      <c r="BW19" s="2114">
        <v>34016</v>
      </c>
      <c r="BX19" s="2114">
        <v>57211</v>
      </c>
      <c r="BY19" s="2079"/>
      <c r="BZ19" s="2084"/>
      <c r="CA19" s="2084"/>
      <c r="CB19" s="2084"/>
      <c r="CC19" s="2065"/>
      <c r="CE19" s="1920">
        <v>-1017</v>
      </c>
      <c r="CF19" s="1180">
        <v>-5.6113440741558156E-2</v>
      </c>
      <c r="CG19" s="1180">
        <v>-2118</v>
      </c>
      <c r="CH19" s="1180">
        <v>-0.16380939335174244</v>
      </c>
      <c r="CI19" s="1180"/>
      <c r="CJ19" s="1920">
        <v>52321</v>
      </c>
      <c r="CK19" s="1315">
        <v>18023</v>
      </c>
      <c r="CL19" s="1920"/>
      <c r="CM19" s="1315">
        <v>-1737</v>
      </c>
      <c r="CN19" s="1315">
        <v>-2.4097889873891873E-2</v>
      </c>
      <c r="CO19" s="1315">
        <v>0</v>
      </c>
      <c r="CP19" s="1180">
        <v>0</v>
      </c>
    </row>
    <row r="20" spans="1:94 16372:16372" ht="12.75" hidden="1" customHeight="1" x14ac:dyDescent="0.2">
      <c r="A20" s="1531"/>
      <c r="B20" s="946" t="s">
        <v>293</v>
      </c>
      <c r="C20" s="1537">
        <v>-34</v>
      </c>
      <c r="D20" s="1538">
        <v>-6.4761904761904757E-2</v>
      </c>
      <c r="E20" s="1498"/>
      <c r="F20" s="2017">
        <v>491</v>
      </c>
      <c r="G20" s="2043">
        <v>1925</v>
      </c>
      <c r="H20" s="1252">
        <v>1</v>
      </c>
      <c r="I20" s="1252">
        <v>233</v>
      </c>
      <c r="J20" s="1430">
        <v>525</v>
      </c>
      <c r="K20" s="1429">
        <v>883</v>
      </c>
      <c r="L20" s="1252">
        <v>2119</v>
      </c>
      <c r="M20" s="1252">
        <v>2028</v>
      </c>
      <c r="N20" s="1252">
        <v>2912</v>
      </c>
      <c r="O20" s="1429">
        <v>1412</v>
      </c>
      <c r="P20" s="1252">
        <v>843</v>
      </c>
      <c r="Q20" s="1252">
        <v>1126</v>
      </c>
      <c r="R20" s="1674">
        <v>1411</v>
      </c>
      <c r="S20" s="1612">
        <v>516</v>
      </c>
      <c r="T20" s="1252">
        <v>1359</v>
      </c>
      <c r="U20" s="1252">
        <v>1312</v>
      </c>
      <c r="V20" s="1674">
        <v>1664</v>
      </c>
      <c r="W20" s="1612">
        <v>1884</v>
      </c>
      <c r="X20" s="1252">
        <v>2336</v>
      </c>
      <c r="Y20" s="1252">
        <v>2572</v>
      </c>
      <c r="Z20" s="1674">
        <v>3403</v>
      </c>
      <c r="AA20" s="1612">
        <v>2564</v>
      </c>
      <c r="AB20" s="1252">
        <v>3951</v>
      </c>
      <c r="AC20" s="1252">
        <v>1085</v>
      </c>
      <c r="AD20" s="1674">
        <v>2323</v>
      </c>
      <c r="AE20" s="1612">
        <v>3356</v>
      </c>
      <c r="AF20" s="1612">
        <v>3313</v>
      </c>
      <c r="AG20" s="1612">
        <v>3095</v>
      </c>
      <c r="AH20" s="1674">
        <v>6575</v>
      </c>
      <c r="AI20" s="1612">
        <v>-1761</v>
      </c>
      <c r="AJ20" s="1612">
        <v>1073</v>
      </c>
      <c r="AK20" s="1612">
        <v>855</v>
      </c>
      <c r="AL20" s="1674">
        <v>1124</v>
      </c>
      <c r="AM20" s="1612">
        <v>-521</v>
      </c>
      <c r="AN20" s="1612">
        <v>1670</v>
      </c>
      <c r="AO20" s="1612">
        <v>466</v>
      </c>
      <c r="AP20" s="1662"/>
      <c r="AQ20" s="1603"/>
      <c r="AR20" s="1603"/>
      <c r="AS20" s="1603"/>
      <c r="AT20" s="1662"/>
      <c r="AU20" s="1603"/>
      <c r="AV20" s="1603"/>
      <c r="AW20" s="1603"/>
      <c r="AX20" s="1662"/>
      <c r="AY20" s="1660"/>
      <c r="AZ20" s="1660"/>
      <c r="BA20" s="1660"/>
      <c r="BB20" s="1660"/>
      <c r="BC20" s="1666"/>
      <c r="BD20" s="1662"/>
      <c r="BE20" s="1662"/>
      <c r="BF20" s="1662"/>
      <c r="BG20" s="1629"/>
      <c r="BH20" s="1670">
        <v>2684</v>
      </c>
      <c r="BI20" s="1593">
        <v>7942</v>
      </c>
      <c r="BJ20" s="1613">
        <v>-5258</v>
      </c>
      <c r="BK20" s="1538">
        <v>-0.66204986149584488</v>
      </c>
      <c r="BL20" s="1539"/>
      <c r="BM20" s="1694">
        <v>2684</v>
      </c>
      <c r="BN20" s="1694">
        <v>7942</v>
      </c>
      <c r="BO20" s="1694">
        <v>4792</v>
      </c>
      <c r="BP20" s="1694">
        <v>4851</v>
      </c>
      <c r="BQ20" s="1675">
        <v>10195</v>
      </c>
      <c r="BR20" s="1675">
        <v>9923</v>
      </c>
      <c r="BS20" s="1675">
        <v>16339</v>
      </c>
      <c r="BT20" s="1675">
        <v>1291</v>
      </c>
      <c r="BU20" s="2122">
        <v>2379</v>
      </c>
      <c r="BV20" s="2122">
        <v>3440</v>
      </c>
      <c r="BW20" s="2122">
        <v>1964</v>
      </c>
      <c r="BX20" s="2122">
        <v>4067</v>
      </c>
      <c r="BY20" s="2079"/>
      <c r="BZ20" s="2084"/>
      <c r="CA20" s="2084"/>
      <c r="CB20" s="2084"/>
      <c r="CC20" s="2065"/>
      <c r="CE20" s="1920">
        <v>1276</v>
      </c>
      <c r="CF20" s="1180">
        <v>1.5136417556346382</v>
      </c>
      <c r="CG20" s="1180">
        <v>-1310</v>
      </c>
      <c r="CH20" s="1180">
        <v>-1.578403660396543</v>
      </c>
      <c r="CI20" s="1180"/>
      <c r="CJ20" s="1920">
        <v>7059</v>
      </c>
      <c r="CK20" s="1315">
        <v>-4375</v>
      </c>
      <c r="CL20" s="1920"/>
      <c r="CM20" s="1315">
        <v>-5258</v>
      </c>
      <c r="CN20" s="1315">
        <v>-0.66204986149584488</v>
      </c>
      <c r="CO20" s="1315">
        <v>0</v>
      </c>
      <c r="CP20" s="1180">
        <v>0</v>
      </c>
    </row>
    <row r="21" spans="1:94 16372:16372" ht="12.75" hidden="1" customHeight="1" x14ac:dyDescent="0.2">
      <c r="A21" s="1532"/>
      <c r="B21" s="1059" t="s">
        <v>620</v>
      </c>
      <c r="C21" s="1533">
        <v>-3169</v>
      </c>
      <c r="D21" s="1536">
        <v>-0.21441136671177266</v>
      </c>
      <c r="E21" s="1498"/>
      <c r="F21" s="2035">
        <v>11611</v>
      </c>
      <c r="G21" s="2035">
        <v>19784</v>
      </c>
      <c r="H21" s="1205">
        <v>22766</v>
      </c>
      <c r="I21" s="1205">
        <v>15698</v>
      </c>
      <c r="J21" s="1205">
        <v>14780</v>
      </c>
      <c r="K21" s="1396">
        <v>20643</v>
      </c>
      <c r="L21" s="1205">
        <v>19226</v>
      </c>
      <c r="M21" s="1205">
        <v>20274</v>
      </c>
      <c r="N21" s="1205">
        <v>19880</v>
      </c>
      <c r="O21" s="1396">
        <v>32083</v>
      </c>
      <c r="P21" s="1205">
        <v>18967</v>
      </c>
      <c r="Q21" s="1603">
        <v>20787</v>
      </c>
      <c r="R21" s="1662">
        <v>18701</v>
      </c>
      <c r="S21" s="1603">
        <v>17590</v>
      </c>
      <c r="T21" s="1603">
        <v>26437</v>
      </c>
      <c r="U21" s="1603">
        <v>21990</v>
      </c>
      <c r="V21" s="1662">
        <v>27600</v>
      </c>
      <c r="W21" s="1398">
        <v>28338</v>
      </c>
      <c r="X21" s="1603">
        <v>20043</v>
      </c>
      <c r="Y21" s="1603">
        <v>27017</v>
      </c>
      <c r="Z21" s="1662">
        <v>24819</v>
      </c>
      <c r="AA21" s="1398">
        <v>33276</v>
      </c>
      <c r="AB21" s="1603">
        <v>33497</v>
      </c>
      <c r="AC21" s="1603">
        <v>21439</v>
      </c>
      <c r="AD21" s="1662">
        <v>18127</v>
      </c>
      <c r="AE21" s="1398">
        <v>26920</v>
      </c>
      <c r="AF21" s="1398">
        <v>23940</v>
      </c>
      <c r="AG21" s="1603">
        <v>24200</v>
      </c>
      <c r="AH21" s="1662">
        <v>18443</v>
      </c>
      <c r="AI21" s="1603">
        <v>14382</v>
      </c>
      <c r="AJ21" s="1398">
        <v>6429</v>
      </c>
      <c r="AK21" s="1398">
        <v>6461</v>
      </c>
      <c r="AL21" s="1397">
        <v>6209</v>
      </c>
      <c r="AM21" s="1398">
        <v>17258</v>
      </c>
      <c r="AN21" s="1398">
        <v>12969</v>
      </c>
      <c r="AO21" s="1398">
        <v>9652</v>
      </c>
      <c r="AP21" s="1397"/>
      <c r="AQ21" s="1603"/>
      <c r="AR21" s="1603"/>
      <c r="AS21" s="1603"/>
      <c r="AT21" s="1662"/>
      <c r="AU21" s="1603"/>
      <c r="AV21" s="1603"/>
      <c r="AW21" s="1603"/>
      <c r="AX21" s="1662"/>
      <c r="AY21" s="1660"/>
      <c r="AZ21" s="1660"/>
      <c r="BA21" s="1660"/>
      <c r="BB21" s="1660"/>
      <c r="BC21" s="1666"/>
      <c r="BD21" s="1662"/>
      <c r="BE21" s="1662"/>
      <c r="BF21" s="1662"/>
      <c r="BG21" s="1629"/>
      <c r="BH21" s="1603">
        <v>73028</v>
      </c>
      <c r="BI21" s="1603">
        <v>80023</v>
      </c>
      <c r="BJ21" s="1596">
        <v>-6995</v>
      </c>
      <c r="BK21" s="1536">
        <v>-8.741236894392862E-2</v>
      </c>
      <c r="BL21" s="1539"/>
      <c r="BM21" s="1679">
        <v>73028</v>
      </c>
      <c r="BN21" s="1937">
        <v>80023</v>
      </c>
      <c r="BO21" s="1937">
        <v>90538</v>
      </c>
      <c r="BP21" s="1937">
        <v>93617</v>
      </c>
      <c r="BQ21" s="1665">
        <v>100217</v>
      </c>
      <c r="BR21" s="1665">
        <v>106339</v>
      </c>
      <c r="BS21" s="1665">
        <v>93503</v>
      </c>
      <c r="BT21" s="1665">
        <v>33481</v>
      </c>
      <c r="BU21" s="2151">
        <v>47917</v>
      </c>
      <c r="BV21" s="1317">
        <v>45975</v>
      </c>
      <c r="BW21" s="1317">
        <v>35980</v>
      </c>
      <c r="BX21" s="1317">
        <v>61278</v>
      </c>
      <c r="BY21" s="2079">
        <v>98642</v>
      </c>
      <c r="BZ21" s="2084">
        <v>82259</v>
      </c>
      <c r="CA21" s="2084">
        <v>47759</v>
      </c>
      <c r="CB21" s="2084">
        <v>120298</v>
      </c>
      <c r="CC21" s="2065"/>
      <c r="CE21" s="1920">
        <v>259</v>
      </c>
      <c r="CF21" s="1180">
        <v>1.365529604049138E-2</v>
      </c>
      <c r="CG21" s="1180">
        <v>-3428</v>
      </c>
      <c r="CH21" s="1180">
        <v>-0.22806666275226403</v>
      </c>
      <c r="CI21" s="1180"/>
      <c r="CJ21" s="1920">
        <v>59380</v>
      </c>
      <c r="CK21" s="1315">
        <v>13648</v>
      </c>
      <c r="CL21" s="1920"/>
      <c r="CM21" s="1315">
        <v>-6995</v>
      </c>
      <c r="CN21" s="1315">
        <v>-8.741236894392862E-2</v>
      </c>
      <c r="CO21" s="1315">
        <v>0</v>
      </c>
      <c r="CP21" s="1180">
        <v>0</v>
      </c>
    </row>
    <row r="22" spans="1:94 16372:16372" ht="13.5" hidden="1" customHeight="1" x14ac:dyDescent="0.2">
      <c r="A22" s="1532"/>
      <c r="B22" s="2451" t="s">
        <v>64</v>
      </c>
      <c r="C22" s="1533">
        <v>230</v>
      </c>
      <c r="D22" s="1536">
        <v>0.15851137146795313</v>
      </c>
      <c r="E22" s="1498"/>
      <c r="F22" s="2035">
        <v>1681</v>
      </c>
      <c r="G22" s="2035">
        <v>1330</v>
      </c>
      <c r="H22" s="1205">
        <v>1311</v>
      </c>
      <c r="I22" s="1205">
        <v>1158</v>
      </c>
      <c r="J22" s="1205">
        <v>1451</v>
      </c>
      <c r="K22" s="1396">
        <v>1420</v>
      </c>
      <c r="L22" s="1205">
        <v>1370</v>
      </c>
      <c r="M22" s="1205">
        <v>1418</v>
      </c>
      <c r="N22" s="1205">
        <v>1464</v>
      </c>
      <c r="O22" s="1396">
        <v>1419</v>
      </c>
      <c r="P22" s="1205">
        <v>1306</v>
      </c>
      <c r="Q22" s="1603">
        <v>1328</v>
      </c>
      <c r="R22" s="1662">
        <v>1467</v>
      </c>
      <c r="S22" s="1603">
        <v>1719</v>
      </c>
      <c r="T22" s="1603">
        <v>1816</v>
      </c>
      <c r="U22" s="1603">
        <v>1757</v>
      </c>
      <c r="V22" s="1662">
        <v>1931</v>
      </c>
      <c r="W22" s="1603">
        <v>1511</v>
      </c>
      <c r="X22" s="1603">
        <v>1842</v>
      </c>
      <c r="Y22" s="1603">
        <v>1848</v>
      </c>
      <c r="Z22" s="1662">
        <v>1836</v>
      </c>
      <c r="AA22" s="1603">
        <v>4305</v>
      </c>
      <c r="AB22" s="1603">
        <v>4493</v>
      </c>
      <c r="AC22" s="1603">
        <v>3714</v>
      </c>
      <c r="AD22" s="1662">
        <v>4159</v>
      </c>
      <c r="AE22" s="1603">
        <v>4026</v>
      </c>
      <c r="AF22" s="1398">
        <v>3969</v>
      </c>
      <c r="AG22" s="1603">
        <v>3480</v>
      </c>
      <c r="AH22" s="1662">
        <v>4118</v>
      </c>
      <c r="AI22" s="1603">
        <v>1739</v>
      </c>
      <c r="AJ22" s="1398">
        <v>1253</v>
      </c>
      <c r="AK22" s="1398">
        <v>1213</v>
      </c>
      <c r="AL22" s="1397">
        <v>1267</v>
      </c>
      <c r="AM22" s="1398">
        <v>1248</v>
      </c>
      <c r="AN22" s="1398">
        <v>1303</v>
      </c>
      <c r="AO22" s="1398">
        <v>1255</v>
      </c>
      <c r="AP22" s="1397"/>
      <c r="AQ22" s="1603"/>
      <c r="AR22" s="1603"/>
      <c r="AS22" s="1603"/>
      <c r="AT22" s="1662"/>
      <c r="AU22" s="1603"/>
      <c r="AV22" s="1603"/>
      <c r="AW22" s="1603"/>
      <c r="AX22" s="1662"/>
      <c r="AY22" s="1660"/>
      <c r="AZ22" s="1660"/>
      <c r="BA22" s="1660"/>
      <c r="BB22" s="1660"/>
      <c r="BC22" s="1666"/>
      <c r="BD22" s="1662"/>
      <c r="BE22" s="1662"/>
      <c r="BF22" s="1662"/>
      <c r="BG22" s="1629"/>
      <c r="BH22" s="1666">
        <v>5250</v>
      </c>
      <c r="BI22" s="1660">
        <v>5672</v>
      </c>
      <c r="BJ22" s="1596">
        <v>-422</v>
      </c>
      <c r="BK22" s="1536">
        <v>-7.4400564174894213E-2</v>
      </c>
      <c r="BL22" s="1539"/>
      <c r="BM22" s="1679">
        <v>5250</v>
      </c>
      <c r="BN22" s="1684">
        <v>5672</v>
      </c>
      <c r="BO22" s="1684">
        <v>5520</v>
      </c>
      <c r="BP22" s="1684">
        <v>7223</v>
      </c>
      <c r="BQ22" s="1665">
        <v>7037</v>
      </c>
      <c r="BR22" s="1665">
        <v>16671</v>
      </c>
      <c r="BS22" s="1665">
        <v>15593</v>
      </c>
      <c r="BT22" s="1665">
        <v>5472</v>
      </c>
      <c r="BU22" s="2003">
        <v>5048</v>
      </c>
      <c r="BV22" s="2003">
        <v>6445</v>
      </c>
      <c r="BW22" s="1317">
        <v>5563</v>
      </c>
      <c r="BX22" s="1317">
        <v>4547</v>
      </c>
      <c r="BY22" s="2079">
        <v>1847</v>
      </c>
      <c r="BZ22" s="2084">
        <v>2414</v>
      </c>
      <c r="CA22" s="2084">
        <v>6699</v>
      </c>
      <c r="CB22" s="2084">
        <v>12517</v>
      </c>
      <c r="CC22" s="2065"/>
      <c r="CE22" s="1920">
        <v>64</v>
      </c>
      <c r="CF22" s="1180">
        <v>4.9004594180704443E-2</v>
      </c>
      <c r="CG22" s="1180">
        <v>166</v>
      </c>
      <c r="CH22" s="1180">
        <v>0.1095067772872487</v>
      </c>
      <c r="CI22" s="1180"/>
      <c r="CJ22" s="1920">
        <v>4252</v>
      </c>
      <c r="CK22" s="1315">
        <v>998</v>
      </c>
      <c r="CL22" s="1920"/>
      <c r="CM22" s="1315">
        <v>-422</v>
      </c>
      <c r="CN22" s="1315">
        <v>-7.4400564174894213E-2</v>
      </c>
      <c r="CO22" s="1315">
        <v>0</v>
      </c>
      <c r="CP22" s="1180">
        <v>0</v>
      </c>
    </row>
    <row r="23" spans="1:94 16372:16372" ht="13.5" customHeight="1" x14ac:dyDescent="0.2">
      <c r="A23" s="1532"/>
      <c r="B23" s="1201" t="s">
        <v>719</v>
      </c>
      <c r="C23" s="1533">
        <v>-2939</v>
      </c>
      <c r="D23" s="1536">
        <v>-0.18107325488263201</v>
      </c>
      <c r="E23" s="1498"/>
      <c r="F23" s="2035">
        <v>13292</v>
      </c>
      <c r="G23" s="2035">
        <v>21114</v>
      </c>
      <c r="H23" s="1205">
        <v>24077</v>
      </c>
      <c r="I23" s="1205">
        <v>16856</v>
      </c>
      <c r="J23" s="1205">
        <v>16231</v>
      </c>
      <c r="K23" s="2035">
        <v>22063</v>
      </c>
      <c r="L23" s="1205">
        <v>20596</v>
      </c>
      <c r="M23" s="1205">
        <v>21692</v>
      </c>
      <c r="N23" s="1205">
        <v>21344</v>
      </c>
      <c r="O23" s="1396"/>
      <c r="P23" s="1205"/>
      <c r="Q23" s="1603"/>
      <c r="R23" s="1662"/>
      <c r="S23" s="1603"/>
      <c r="T23" s="1603"/>
      <c r="U23" s="1603"/>
      <c r="V23" s="1662"/>
      <c r="W23" s="1603"/>
      <c r="X23" s="1603"/>
      <c r="Y23" s="1603"/>
      <c r="Z23" s="1662"/>
      <c r="AA23" s="1603"/>
      <c r="AB23" s="1603"/>
      <c r="AC23" s="1603"/>
      <c r="AD23" s="1662"/>
      <c r="AE23" s="1603"/>
      <c r="AF23" s="1398"/>
      <c r="AG23" s="1603"/>
      <c r="AH23" s="1662"/>
      <c r="AI23" s="1603"/>
      <c r="AJ23" s="1398"/>
      <c r="AK23" s="1398"/>
      <c r="AL23" s="1397"/>
      <c r="AM23" s="1398"/>
      <c r="AN23" s="1398"/>
      <c r="AO23" s="1398"/>
      <c r="AP23" s="1397"/>
      <c r="AQ23" s="1603"/>
      <c r="AR23" s="1603"/>
      <c r="AS23" s="1603"/>
      <c r="AT23" s="1662"/>
      <c r="AU23" s="1603"/>
      <c r="AV23" s="1603"/>
      <c r="AW23" s="1603"/>
      <c r="AX23" s="1662"/>
      <c r="AY23" s="1660"/>
      <c r="AZ23" s="1660"/>
      <c r="BA23" s="1660"/>
      <c r="BB23" s="1660"/>
      <c r="BC23" s="1666"/>
      <c r="BD23" s="1662"/>
      <c r="BE23" s="1662"/>
      <c r="BF23" s="1662"/>
      <c r="BG23" s="1629"/>
      <c r="BH23" s="1666"/>
      <c r="BI23" s="1660"/>
      <c r="BJ23" s="1596"/>
      <c r="BK23" s="1536"/>
      <c r="BL23" s="1539"/>
      <c r="BM23" s="1679">
        <v>78278</v>
      </c>
      <c r="BN23" s="1684">
        <v>85695</v>
      </c>
      <c r="BO23" s="1684">
        <v>96058</v>
      </c>
      <c r="BP23" s="1684">
        <v>100840</v>
      </c>
      <c r="BQ23" s="1665">
        <v>107254</v>
      </c>
      <c r="BR23" s="1665"/>
      <c r="BS23" s="1665"/>
      <c r="BT23" s="1665"/>
      <c r="BU23" s="2003"/>
      <c r="BV23" s="2003"/>
      <c r="BW23" s="1317"/>
      <c r="BX23" s="1317"/>
      <c r="BY23" s="2079"/>
      <c r="BZ23" s="2084"/>
      <c r="CA23" s="2084"/>
      <c r="CB23" s="2084"/>
      <c r="CC23" s="2065"/>
      <c r="CE23" s="1920"/>
      <c r="CF23" s="1180"/>
      <c r="CG23" s="1180"/>
      <c r="CH23" s="1180"/>
      <c r="CI23" s="1180"/>
      <c r="CJ23" s="1920"/>
      <c r="CK23" s="1315"/>
      <c r="CL23" s="1920"/>
      <c r="CM23" s="1315"/>
      <c r="CN23" s="1315"/>
      <c r="CO23" s="1315"/>
      <c r="CP23" s="1180"/>
      <c r="XER23" s="1205"/>
    </row>
    <row r="24" spans="1:94 16372:16372" ht="12.75" customHeight="1" x14ac:dyDescent="0.2">
      <c r="A24" s="1532"/>
      <c r="B24" s="2451" t="s">
        <v>93</v>
      </c>
      <c r="C24" s="1533">
        <v>15</v>
      </c>
      <c r="D24" s="1536">
        <v>1.058574453069866E-2</v>
      </c>
      <c r="E24" s="1498"/>
      <c r="F24" s="2035">
        <v>1432</v>
      </c>
      <c r="G24" s="2035">
        <v>1537</v>
      </c>
      <c r="H24" s="1205">
        <v>1360</v>
      </c>
      <c r="I24" s="1205">
        <v>1160</v>
      </c>
      <c r="J24" s="1205">
        <v>1417</v>
      </c>
      <c r="K24" s="1396">
        <v>1606</v>
      </c>
      <c r="L24" s="1205">
        <v>1364</v>
      </c>
      <c r="M24" s="1205">
        <v>1332</v>
      </c>
      <c r="N24" s="1205">
        <v>1023</v>
      </c>
      <c r="O24" s="1396">
        <v>1125</v>
      </c>
      <c r="P24" s="1205">
        <v>1074</v>
      </c>
      <c r="Q24" s="1603">
        <v>1010</v>
      </c>
      <c r="R24" s="1662">
        <v>1061</v>
      </c>
      <c r="S24" s="1603">
        <v>1269</v>
      </c>
      <c r="T24" s="1603">
        <v>1022</v>
      </c>
      <c r="U24" s="1603">
        <v>996</v>
      </c>
      <c r="V24" s="1662">
        <v>1130</v>
      </c>
      <c r="W24" s="1603">
        <v>888</v>
      </c>
      <c r="X24" s="1603">
        <v>1097</v>
      </c>
      <c r="Y24" s="1603">
        <v>931</v>
      </c>
      <c r="Z24" s="1662">
        <v>960</v>
      </c>
      <c r="AA24" s="1603">
        <v>980</v>
      </c>
      <c r="AB24" s="1603">
        <v>863</v>
      </c>
      <c r="AC24" s="1603">
        <v>945</v>
      </c>
      <c r="AD24" s="1662">
        <v>1041</v>
      </c>
      <c r="AE24" s="1603">
        <v>634</v>
      </c>
      <c r="AF24" s="1398">
        <v>527</v>
      </c>
      <c r="AG24" s="1603">
        <v>624</v>
      </c>
      <c r="AH24" s="1662">
        <v>872</v>
      </c>
      <c r="AI24" s="1603">
        <v>657</v>
      </c>
      <c r="AJ24" s="1398">
        <v>809</v>
      </c>
      <c r="AK24" s="1398">
        <v>940</v>
      </c>
      <c r="AL24" s="1397">
        <v>1024</v>
      </c>
      <c r="AM24" s="1398">
        <v>983</v>
      </c>
      <c r="AN24" s="1398">
        <v>870</v>
      </c>
      <c r="AO24" s="1398">
        <v>841</v>
      </c>
      <c r="AP24" s="1397"/>
      <c r="AQ24" s="1603"/>
      <c r="AR24" s="1603"/>
      <c r="AS24" s="1603"/>
      <c r="AT24" s="1662"/>
      <c r="AU24" s="1603"/>
      <c r="AV24" s="1603"/>
      <c r="AW24" s="1603"/>
      <c r="AX24" s="1662"/>
      <c r="AY24" s="1660"/>
      <c r="AZ24" s="1660"/>
      <c r="BA24" s="1660"/>
      <c r="BB24" s="1660"/>
      <c r="BC24" s="1666"/>
      <c r="BD24" s="1662"/>
      <c r="BE24" s="1662"/>
      <c r="BF24" s="1662"/>
      <c r="BG24" s="1629"/>
      <c r="BH24" s="1666">
        <v>5474</v>
      </c>
      <c r="BI24" s="1660">
        <v>5325</v>
      </c>
      <c r="BJ24" s="1596">
        <v>149</v>
      </c>
      <c r="BK24" s="1536">
        <v>2.7981220657276994E-2</v>
      </c>
      <c r="BL24" s="1539"/>
      <c r="BM24" s="1679">
        <v>5474</v>
      </c>
      <c r="BN24" s="1684">
        <v>5325</v>
      </c>
      <c r="BO24" s="1684">
        <v>4270</v>
      </c>
      <c r="BP24" s="1684">
        <v>4417</v>
      </c>
      <c r="BQ24" s="1665">
        <v>3876</v>
      </c>
      <c r="BR24" s="1665">
        <v>3829</v>
      </c>
      <c r="BS24" s="1665">
        <v>2657</v>
      </c>
      <c r="BT24" s="1665">
        <v>3430</v>
      </c>
      <c r="BU24" s="2003">
        <v>3514</v>
      </c>
      <c r="BV24" s="2003">
        <v>3552</v>
      </c>
      <c r="BW24" s="1317">
        <v>2941</v>
      </c>
      <c r="BX24" s="1317">
        <v>2179</v>
      </c>
      <c r="BY24" s="2079">
        <v>2191</v>
      </c>
      <c r="BZ24" s="2084">
        <v>2896</v>
      </c>
      <c r="CA24" s="2084">
        <v>1887</v>
      </c>
      <c r="CB24" s="2084">
        <v>3440</v>
      </c>
      <c r="CC24" s="2065"/>
      <c r="CE24" s="1920">
        <v>290</v>
      </c>
      <c r="CF24" s="1180">
        <v>0.27001862197392923</v>
      </c>
      <c r="CG24" s="1180">
        <v>-275</v>
      </c>
      <c r="CH24" s="1180">
        <v>-0.25943287744323057</v>
      </c>
      <c r="CI24" s="1180"/>
      <c r="CJ24" s="1920">
        <v>3719</v>
      </c>
      <c r="CK24" s="1315">
        <v>1755</v>
      </c>
      <c r="CL24" s="1920"/>
      <c r="CM24" s="1315">
        <v>149</v>
      </c>
      <c r="CN24" s="1315">
        <v>2.7981220657276994E-2</v>
      </c>
      <c r="CO24" s="1315">
        <v>0</v>
      </c>
      <c r="CP24" s="1180">
        <v>0</v>
      </c>
    </row>
    <row r="25" spans="1:94 16372:16372" ht="12.75" customHeight="1" x14ac:dyDescent="0.2">
      <c r="A25" s="1532"/>
      <c r="B25" s="2451" t="s">
        <v>66</v>
      </c>
      <c r="C25" s="1533">
        <v>-1127</v>
      </c>
      <c r="D25" s="1536">
        <v>-0.65219907407407407</v>
      </c>
      <c r="E25" s="1498"/>
      <c r="F25" s="2035">
        <v>601</v>
      </c>
      <c r="G25" s="2035">
        <v>1489</v>
      </c>
      <c r="H25" s="1205">
        <v>1667</v>
      </c>
      <c r="I25" s="1205">
        <v>1446</v>
      </c>
      <c r="J25" s="1205">
        <v>1728</v>
      </c>
      <c r="K25" s="1396">
        <v>1844</v>
      </c>
      <c r="L25" s="1205">
        <v>1823</v>
      </c>
      <c r="M25" s="1205">
        <v>1928</v>
      </c>
      <c r="N25" s="1205">
        <v>2119</v>
      </c>
      <c r="O25" s="1396">
        <v>1844</v>
      </c>
      <c r="P25" s="1205">
        <v>1881</v>
      </c>
      <c r="Q25" s="1603">
        <v>2063</v>
      </c>
      <c r="R25" s="1662">
        <v>1840</v>
      </c>
      <c r="S25" s="1603">
        <v>2225</v>
      </c>
      <c r="T25" s="1603">
        <v>2251</v>
      </c>
      <c r="U25" s="1603">
        <v>2119</v>
      </c>
      <c r="V25" s="1662">
        <v>2229</v>
      </c>
      <c r="W25" s="1603">
        <v>2374</v>
      </c>
      <c r="X25" s="1603">
        <v>2162</v>
      </c>
      <c r="Y25" s="1603">
        <v>2369</v>
      </c>
      <c r="Z25" s="1662">
        <v>2399</v>
      </c>
      <c r="AA25" s="1603">
        <v>1647</v>
      </c>
      <c r="AB25" s="1603">
        <v>2954</v>
      </c>
      <c r="AC25" s="1603">
        <v>2769</v>
      </c>
      <c r="AD25" s="1662">
        <v>2426</v>
      </c>
      <c r="AE25" s="1603">
        <v>3021</v>
      </c>
      <c r="AF25" s="1398">
        <v>2816</v>
      </c>
      <c r="AG25" s="1603">
        <v>3028</v>
      </c>
      <c r="AH25" s="1662">
        <v>3158</v>
      </c>
      <c r="AI25" s="1603">
        <v>1234</v>
      </c>
      <c r="AJ25" s="1398">
        <v>861</v>
      </c>
      <c r="AK25" s="1398">
        <v>875</v>
      </c>
      <c r="AL25" s="1397">
        <v>960</v>
      </c>
      <c r="AM25" s="1398">
        <v>855</v>
      </c>
      <c r="AN25" s="1398">
        <v>870</v>
      </c>
      <c r="AO25" s="1398">
        <v>875</v>
      </c>
      <c r="AP25" s="1397"/>
      <c r="AQ25" s="1603"/>
      <c r="AR25" s="1603"/>
      <c r="AS25" s="1603"/>
      <c r="AT25" s="1662"/>
      <c r="AU25" s="1603"/>
      <c r="AV25" s="1603"/>
      <c r="AW25" s="1603"/>
      <c r="AX25" s="1662"/>
      <c r="AY25" s="1660"/>
      <c r="AZ25" s="1660"/>
      <c r="BA25" s="1660"/>
      <c r="BB25" s="1660"/>
      <c r="BC25" s="1666"/>
      <c r="BD25" s="1662"/>
      <c r="BE25" s="1662"/>
      <c r="BF25" s="1662"/>
      <c r="BG25" s="1629"/>
      <c r="BH25" s="1666">
        <v>6330</v>
      </c>
      <c r="BI25" s="1660">
        <v>7714</v>
      </c>
      <c r="BJ25" s="1596">
        <v>-1384</v>
      </c>
      <c r="BK25" s="1536">
        <v>-0.17941405237231009</v>
      </c>
      <c r="BL25" s="1539"/>
      <c r="BM25" s="1679">
        <v>6330</v>
      </c>
      <c r="BN25" s="1684">
        <v>7714</v>
      </c>
      <c r="BO25" s="1684">
        <v>7628</v>
      </c>
      <c r="BP25" s="1684">
        <v>8824</v>
      </c>
      <c r="BQ25" s="1665">
        <v>9304</v>
      </c>
      <c r="BR25" s="1665">
        <v>9796</v>
      </c>
      <c r="BS25" s="1665">
        <v>12023</v>
      </c>
      <c r="BT25" s="1665">
        <v>3930</v>
      </c>
      <c r="BU25" s="2003">
        <v>3474</v>
      </c>
      <c r="BV25" s="2003">
        <v>3842</v>
      </c>
      <c r="BW25" s="1317">
        <v>4046</v>
      </c>
      <c r="BX25" s="1317">
        <v>3227</v>
      </c>
      <c r="BY25" s="2079">
        <v>3000</v>
      </c>
      <c r="BZ25" s="2084">
        <v>2293</v>
      </c>
      <c r="CA25" s="2084">
        <v>1365</v>
      </c>
      <c r="CB25" s="2084">
        <v>4236</v>
      </c>
      <c r="CC25" s="2065"/>
      <c r="CE25" s="1920">
        <v>-58</v>
      </c>
      <c r="CF25" s="1180">
        <v>-3.0834662413609781E-2</v>
      </c>
      <c r="CG25" s="1180">
        <v>-1069</v>
      </c>
      <c r="CH25" s="1180">
        <v>-0.6213644116604643</v>
      </c>
      <c r="CI25" s="1180"/>
      <c r="CJ25" s="1920">
        <v>5870</v>
      </c>
      <c r="CK25" s="1315">
        <v>460</v>
      </c>
      <c r="CL25" s="1920"/>
      <c r="CM25" s="1315">
        <v>-1384</v>
      </c>
      <c r="CN25" s="1315">
        <v>-0.17941405237231009</v>
      </c>
      <c r="CO25" s="1315">
        <v>0</v>
      </c>
      <c r="CP25" s="1180">
        <v>0</v>
      </c>
    </row>
    <row r="26" spans="1:94 16372:16372" ht="12.75" customHeight="1" x14ac:dyDescent="0.2">
      <c r="A26" s="1532"/>
      <c r="B26" s="2451" t="s">
        <v>67</v>
      </c>
      <c r="C26" s="1533">
        <v>28</v>
      </c>
      <c r="D26" s="1536">
        <v>1.0798303123794832E-2</v>
      </c>
      <c r="E26" s="1498"/>
      <c r="F26" s="2035">
        <v>2621</v>
      </c>
      <c r="G26" s="2035">
        <v>2711</v>
      </c>
      <c r="H26" s="1205">
        <v>2643</v>
      </c>
      <c r="I26" s="1205">
        <v>2489</v>
      </c>
      <c r="J26" s="1205">
        <v>2593</v>
      </c>
      <c r="K26" s="1396">
        <v>2615</v>
      </c>
      <c r="L26" s="1205">
        <v>2535</v>
      </c>
      <c r="M26" s="1205">
        <v>2604</v>
      </c>
      <c r="N26" s="1205">
        <v>2705</v>
      </c>
      <c r="O26" s="1396">
        <v>2722</v>
      </c>
      <c r="P26" s="1205">
        <v>2588</v>
      </c>
      <c r="Q26" s="1603">
        <v>2983</v>
      </c>
      <c r="R26" s="1662">
        <v>3166</v>
      </c>
      <c r="S26" s="1603">
        <v>3379</v>
      </c>
      <c r="T26" s="1603">
        <v>3395</v>
      </c>
      <c r="U26" s="1603">
        <v>3651</v>
      </c>
      <c r="V26" s="1662">
        <v>3688</v>
      </c>
      <c r="W26" s="1603">
        <v>3863</v>
      </c>
      <c r="X26" s="1603">
        <v>3481</v>
      </c>
      <c r="Y26" s="1603">
        <v>3145</v>
      </c>
      <c r="Z26" s="1662">
        <v>2855</v>
      </c>
      <c r="AA26" s="1603">
        <v>2745</v>
      </c>
      <c r="AB26" s="1603">
        <v>2816</v>
      </c>
      <c r="AC26" s="1603">
        <v>2586</v>
      </c>
      <c r="AD26" s="1662">
        <v>2394</v>
      </c>
      <c r="AE26" s="1603">
        <v>2901</v>
      </c>
      <c r="AF26" s="1398">
        <v>3129</v>
      </c>
      <c r="AG26" s="1603">
        <v>2870</v>
      </c>
      <c r="AH26" s="1662">
        <v>5139</v>
      </c>
      <c r="AI26" s="1603">
        <v>1661</v>
      </c>
      <c r="AJ26" s="1398">
        <v>1399</v>
      </c>
      <c r="AK26" s="1398">
        <v>1479</v>
      </c>
      <c r="AL26" s="1397">
        <v>1345</v>
      </c>
      <c r="AM26" s="1398">
        <v>1313</v>
      </c>
      <c r="AN26" s="1398">
        <v>1310</v>
      </c>
      <c r="AO26" s="1398">
        <v>1340</v>
      </c>
      <c r="AP26" s="1397"/>
      <c r="AQ26" s="1603"/>
      <c r="AR26" s="1603"/>
      <c r="AS26" s="1603"/>
      <c r="AT26" s="1662"/>
      <c r="AU26" s="1603"/>
      <c r="AV26" s="1603"/>
      <c r="AW26" s="1603"/>
      <c r="AX26" s="1662"/>
      <c r="AY26" s="1660"/>
      <c r="AZ26" s="1660"/>
      <c r="BA26" s="1660"/>
      <c r="BB26" s="1660"/>
      <c r="BC26" s="1666"/>
      <c r="BD26" s="1662"/>
      <c r="BE26" s="1662"/>
      <c r="BF26" s="1662"/>
      <c r="BG26" s="1629"/>
      <c r="BH26" s="1666">
        <v>10436</v>
      </c>
      <c r="BI26" s="1660">
        <v>10459</v>
      </c>
      <c r="BJ26" s="1596">
        <v>-23</v>
      </c>
      <c r="BK26" s="1536">
        <v>-2.1990630079357491E-3</v>
      </c>
      <c r="BL26" s="1539"/>
      <c r="BM26" s="1679">
        <v>10436</v>
      </c>
      <c r="BN26" s="1684">
        <v>10459</v>
      </c>
      <c r="BO26" s="1684">
        <v>11459</v>
      </c>
      <c r="BP26" s="1684">
        <v>14113</v>
      </c>
      <c r="BQ26" s="1665">
        <v>13344</v>
      </c>
      <c r="BR26" s="1665">
        <v>10541</v>
      </c>
      <c r="BS26" s="1665">
        <v>14039</v>
      </c>
      <c r="BT26" s="1665">
        <v>5884</v>
      </c>
      <c r="BU26" s="2003">
        <v>5143</v>
      </c>
      <c r="BV26" s="2003">
        <v>2433</v>
      </c>
      <c r="BW26" s="1317">
        <v>2049</v>
      </c>
      <c r="BX26" s="1317">
        <v>2816</v>
      </c>
      <c r="BY26" s="2079">
        <v>3930</v>
      </c>
      <c r="BZ26" s="2084">
        <v>2980</v>
      </c>
      <c r="CA26" s="2084">
        <v>2274</v>
      </c>
      <c r="CB26" s="2084">
        <v>4205</v>
      </c>
      <c r="CC26" s="2065"/>
      <c r="CE26" s="1920">
        <v>-53</v>
      </c>
      <c r="CF26" s="1180">
        <v>-2.0479134466769706E-2</v>
      </c>
      <c r="CG26" s="1180">
        <v>81</v>
      </c>
      <c r="CH26" s="1180">
        <v>3.127743759056454E-2</v>
      </c>
      <c r="CI26" s="1180"/>
      <c r="CJ26" s="1920">
        <v>7844</v>
      </c>
      <c r="CK26" s="1315">
        <v>2592</v>
      </c>
      <c r="CL26" s="1920"/>
      <c r="CM26" s="1315">
        <v>-23</v>
      </c>
      <c r="CN26" s="1315">
        <v>-2.1990630079357491E-3</v>
      </c>
      <c r="CO26" s="1315">
        <v>0</v>
      </c>
      <c r="CP26" s="1180">
        <v>0</v>
      </c>
    </row>
    <row r="27" spans="1:94 16372:16372" ht="12.75" customHeight="1" x14ac:dyDescent="0.2">
      <c r="A27" s="1532"/>
      <c r="B27" s="2451" t="s">
        <v>62</v>
      </c>
      <c r="C27" s="1533">
        <v>227</v>
      </c>
      <c r="D27" s="1536">
        <v>0.43907156673114117</v>
      </c>
      <c r="E27" s="1498"/>
      <c r="F27" s="2035">
        <v>744</v>
      </c>
      <c r="G27" s="2035">
        <v>446</v>
      </c>
      <c r="H27" s="1205">
        <v>406</v>
      </c>
      <c r="I27" s="1205">
        <v>501</v>
      </c>
      <c r="J27" s="1205">
        <v>517</v>
      </c>
      <c r="K27" s="1396">
        <v>509</v>
      </c>
      <c r="L27" s="1205">
        <v>593</v>
      </c>
      <c r="M27" s="1205">
        <v>480</v>
      </c>
      <c r="N27" s="1205">
        <v>562</v>
      </c>
      <c r="O27" s="1396">
        <v>628</v>
      </c>
      <c r="P27" s="1205">
        <v>655</v>
      </c>
      <c r="Q27" s="1603">
        <v>627</v>
      </c>
      <c r="R27" s="1662">
        <v>411</v>
      </c>
      <c r="S27" s="1603">
        <v>634</v>
      </c>
      <c r="T27" s="1603">
        <v>718</v>
      </c>
      <c r="U27" s="1603">
        <v>336</v>
      </c>
      <c r="V27" s="1662">
        <v>548</v>
      </c>
      <c r="W27" s="1603">
        <v>461</v>
      </c>
      <c r="X27" s="1603">
        <v>504</v>
      </c>
      <c r="Y27" s="1603">
        <v>406</v>
      </c>
      <c r="Z27" s="1662">
        <v>496</v>
      </c>
      <c r="AA27" s="1603">
        <v>558</v>
      </c>
      <c r="AB27" s="1603">
        <v>526</v>
      </c>
      <c r="AC27" s="1603">
        <v>697</v>
      </c>
      <c r="AD27" s="1662">
        <v>929</v>
      </c>
      <c r="AE27" s="1603">
        <v>831</v>
      </c>
      <c r="AF27" s="1398">
        <v>782</v>
      </c>
      <c r="AG27" s="1603">
        <v>916</v>
      </c>
      <c r="AH27" s="1662">
        <v>792</v>
      </c>
      <c r="AI27" s="1603">
        <v>153</v>
      </c>
      <c r="AJ27" s="1398">
        <v>8</v>
      </c>
      <c r="AK27" s="1398">
        <v>17</v>
      </c>
      <c r="AL27" s="1397">
        <v>-9</v>
      </c>
      <c r="AM27" s="1398">
        <v>60</v>
      </c>
      <c r="AN27" s="1398">
        <v>12</v>
      </c>
      <c r="AO27" s="1398">
        <v>13</v>
      </c>
      <c r="AP27" s="1397"/>
      <c r="AQ27" s="1603"/>
      <c r="AR27" s="1603"/>
      <c r="AS27" s="1603"/>
      <c r="AT27" s="1662"/>
      <c r="AU27" s="1603"/>
      <c r="AV27" s="1603"/>
      <c r="AW27" s="1603"/>
      <c r="AX27" s="1662"/>
      <c r="AY27" s="1660"/>
      <c r="AZ27" s="1660"/>
      <c r="BA27" s="1660"/>
      <c r="BB27" s="1660"/>
      <c r="BC27" s="1666"/>
      <c r="BD27" s="1662"/>
      <c r="BE27" s="1662"/>
      <c r="BF27" s="1662"/>
      <c r="BG27" s="1629"/>
      <c r="BH27" s="1666">
        <v>1870</v>
      </c>
      <c r="BI27" s="1660">
        <v>2144</v>
      </c>
      <c r="BJ27" s="1596">
        <v>-274</v>
      </c>
      <c r="BK27" s="1536">
        <v>-0.12779850746268656</v>
      </c>
      <c r="BL27" s="1539"/>
      <c r="BM27" s="1679">
        <v>1870</v>
      </c>
      <c r="BN27" s="1684">
        <v>2144</v>
      </c>
      <c r="BO27" s="1684">
        <v>2321</v>
      </c>
      <c r="BP27" s="1684">
        <v>2236</v>
      </c>
      <c r="BQ27" s="1665">
        <v>1867</v>
      </c>
      <c r="BR27" s="1665">
        <v>2710</v>
      </c>
      <c r="BS27" s="1665">
        <v>3321</v>
      </c>
      <c r="BT27" s="1665">
        <v>169</v>
      </c>
      <c r="BU27" s="2003">
        <v>102</v>
      </c>
      <c r="BV27" s="2003">
        <v>74</v>
      </c>
      <c r="BW27" s="1317">
        <v>253</v>
      </c>
      <c r="BX27" s="1317">
        <v>-4</v>
      </c>
      <c r="BY27" s="2079">
        <v>551</v>
      </c>
      <c r="BZ27" s="2084">
        <v>175</v>
      </c>
      <c r="CA27" s="2084">
        <v>114</v>
      </c>
      <c r="CB27" s="2084">
        <v>35</v>
      </c>
      <c r="CC27" s="1484"/>
      <c r="CE27" s="1920">
        <v>-62</v>
      </c>
      <c r="CF27" s="1180">
        <v>-9.465648854961832E-2</v>
      </c>
      <c r="CG27" s="1180">
        <v>289</v>
      </c>
      <c r="CH27" s="1180">
        <v>0.53372805528075951</v>
      </c>
      <c r="CI27" s="1180"/>
      <c r="CJ27" s="1920">
        <v>1635</v>
      </c>
      <c r="CK27" s="1315">
        <v>235</v>
      </c>
      <c r="CL27" s="1920"/>
      <c r="CM27" s="1315">
        <v>-274</v>
      </c>
      <c r="CN27" s="1315">
        <v>-0.12779850746268656</v>
      </c>
      <c r="CO27" s="1315">
        <v>0</v>
      </c>
      <c r="CP27" s="1180">
        <v>0</v>
      </c>
    </row>
    <row r="28" spans="1:94 16372:16372" ht="12.75" customHeight="1" x14ac:dyDescent="0.2">
      <c r="A28" s="1532"/>
      <c r="B28" s="2451" t="s">
        <v>68</v>
      </c>
      <c r="C28" s="1533">
        <v>-992</v>
      </c>
      <c r="D28" s="1536">
        <v>-0.28078120577412963</v>
      </c>
      <c r="E28" s="1498"/>
      <c r="F28" s="2035">
        <v>2541</v>
      </c>
      <c r="G28" s="2035">
        <v>3541</v>
      </c>
      <c r="H28" s="1205">
        <v>3046</v>
      </c>
      <c r="I28" s="1205">
        <v>2473</v>
      </c>
      <c r="J28" s="1205">
        <v>3533</v>
      </c>
      <c r="K28" s="1396">
        <v>2693</v>
      </c>
      <c r="L28" s="1205">
        <v>3657</v>
      </c>
      <c r="M28" s="1205">
        <v>2443</v>
      </c>
      <c r="N28" s="1205">
        <v>2784</v>
      </c>
      <c r="O28" s="1396">
        <v>3519</v>
      </c>
      <c r="P28" s="1205">
        <v>3084</v>
      </c>
      <c r="Q28" s="1603">
        <v>2716</v>
      </c>
      <c r="R28" s="1662">
        <v>3646</v>
      </c>
      <c r="S28" s="1603">
        <v>3686</v>
      </c>
      <c r="T28" s="1603">
        <v>4111</v>
      </c>
      <c r="U28" s="1603">
        <v>5091</v>
      </c>
      <c r="V28" s="1662">
        <v>4414</v>
      </c>
      <c r="W28" s="1603">
        <v>5102</v>
      </c>
      <c r="X28" s="1603">
        <v>5699</v>
      </c>
      <c r="Y28" s="1603">
        <v>3901</v>
      </c>
      <c r="Z28" s="1662">
        <v>4859</v>
      </c>
      <c r="AA28" s="1603">
        <v>5475</v>
      </c>
      <c r="AB28" s="1603">
        <v>5038</v>
      </c>
      <c r="AC28" s="1603">
        <v>5118</v>
      </c>
      <c r="AD28" s="1662">
        <v>4908</v>
      </c>
      <c r="AE28" s="1603">
        <v>4343</v>
      </c>
      <c r="AF28" s="1398">
        <v>6684</v>
      </c>
      <c r="AG28" s="1603">
        <v>3481</v>
      </c>
      <c r="AH28" s="1662">
        <v>6393</v>
      </c>
      <c r="AI28" s="1603">
        <v>3450</v>
      </c>
      <c r="AJ28" s="1398">
        <v>1763</v>
      </c>
      <c r="AK28" s="1398">
        <v>1485</v>
      </c>
      <c r="AL28" s="1397">
        <v>2212</v>
      </c>
      <c r="AM28" s="1398">
        <v>1710</v>
      </c>
      <c r="AN28" s="1398">
        <v>1633</v>
      </c>
      <c r="AO28" s="1398">
        <v>1593</v>
      </c>
      <c r="AP28" s="1397"/>
      <c r="AQ28" s="1603"/>
      <c r="AR28" s="1603"/>
      <c r="AS28" s="1603"/>
      <c r="AT28" s="1662"/>
      <c r="AU28" s="1603"/>
      <c r="AV28" s="1603"/>
      <c r="AW28" s="1603"/>
      <c r="AX28" s="1662"/>
      <c r="AY28" s="1660"/>
      <c r="AZ28" s="1660"/>
      <c r="BA28" s="1660"/>
      <c r="BB28" s="1660"/>
      <c r="BC28" s="1666"/>
      <c r="BD28" s="1662"/>
      <c r="BE28" s="1662"/>
      <c r="BF28" s="1662"/>
      <c r="BG28" s="1629"/>
      <c r="BH28" s="1666">
        <v>12593</v>
      </c>
      <c r="BI28" s="1660">
        <v>11577</v>
      </c>
      <c r="BJ28" s="1596">
        <v>1016</v>
      </c>
      <c r="BK28" s="1536">
        <v>8.7760214217845731E-2</v>
      </c>
      <c r="BL28" s="1539"/>
      <c r="BM28" s="1679">
        <v>12593</v>
      </c>
      <c r="BN28" s="1684">
        <v>11577</v>
      </c>
      <c r="BO28" s="1684">
        <v>12965</v>
      </c>
      <c r="BP28" s="1684">
        <v>17302</v>
      </c>
      <c r="BQ28" s="1665">
        <v>19561</v>
      </c>
      <c r="BR28" s="1665">
        <v>20539</v>
      </c>
      <c r="BS28" s="1665">
        <v>20901</v>
      </c>
      <c r="BT28" s="1665">
        <v>8910</v>
      </c>
      <c r="BU28" s="2003">
        <v>7399</v>
      </c>
      <c r="BV28" s="2003">
        <v>5985</v>
      </c>
      <c r="BW28" s="1317">
        <v>15606</v>
      </c>
      <c r="BX28" s="1317">
        <v>11718</v>
      </c>
      <c r="BY28" s="2079">
        <v>12437</v>
      </c>
      <c r="BZ28" s="2084">
        <v>11037</v>
      </c>
      <c r="CA28" s="2084">
        <v>6277</v>
      </c>
      <c r="CB28" s="2084">
        <v>7632</v>
      </c>
      <c r="CC28" s="1484"/>
      <c r="CE28" s="1920">
        <v>573</v>
      </c>
      <c r="CF28" s="1180">
        <v>0.18579766536964981</v>
      </c>
      <c r="CG28" s="1180">
        <v>-1565</v>
      </c>
      <c r="CH28" s="1180">
        <v>-0.46657887114377944</v>
      </c>
      <c r="CI28" s="1180"/>
      <c r="CJ28" s="1920">
        <v>8884</v>
      </c>
      <c r="CK28" s="1315">
        <v>3709</v>
      </c>
      <c r="CL28" s="1920"/>
      <c r="CM28" s="1315">
        <v>1016</v>
      </c>
      <c r="CN28" s="1315">
        <v>8.7760214217845731E-2</v>
      </c>
      <c r="CO28" s="1315">
        <v>0</v>
      </c>
      <c r="CP28" s="1180">
        <v>0</v>
      </c>
    </row>
    <row r="29" spans="1:94 16372:16372" ht="12.75" customHeight="1" x14ac:dyDescent="0.2">
      <c r="A29" s="1532"/>
      <c r="B29" s="2451" t="s">
        <v>69</v>
      </c>
      <c r="C29" s="1533">
        <v>-159</v>
      </c>
      <c r="D29" s="1536">
        <v>-0.29775280898876405</v>
      </c>
      <c r="E29" s="1498"/>
      <c r="F29" s="2035">
        <v>375</v>
      </c>
      <c r="G29" s="2035">
        <v>408</v>
      </c>
      <c r="H29" s="1205">
        <v>345</v>
      </c>
      <c r="I29" s="1205">
        <v>343</v>
      </c>
      <c r="J29" s="1205">
        <v>534</v>
      </c>
      <c r="K29" s="1396">
        <v>762</v>
      </c>
      <c r="L29" s="1205">
        <v>788</v>
      </c>
      <c r="M29" s="1205">
        <v>910</v>
      </c>
      <c r="N29" s="1205">
        <v>923</v>
      </c>
      <c r="O29" s="1396">
        <v>872</v>
      </c>
      <c r="P29" s="1205">
        <v>879</v>
      </c>
      <c r="Q29" s="1603">
        <v>919</v>
      </c>
      <c r="R29" s="1662">
        <v>948</v>
      </c>
      <c r="S29" s="1603">
        <v>1072</v>
      </c>
      <c r="T29" s="1603">
        <v>1431</v>
      </c>
      <c r="U29" s="1603">
        <v>1457</v>
      </c>
      <c r="V29" s="1662">
        <v>1162</v>
      </c>
      <c r="W29" s="1603">
        <v>1090</v>
      </c>
      <c r="X29" s="1603">
        <v>1048</v>
      </c>
      <c r="Y29" s="1603">
        <v>1343</v>
      </c>
      <c r="Z29" s="1662">
        <v>1353</v>
      </c>
      <c r="AA29" s="1603">
        <v>1471</v>
      </c>
      <c r="AB29" s="1603">
        <v>1175</v>
      </c>
      <c r="AC29" s="1603">
        <v>813</v>
      </c>
      <c r="AD29" s="1662">
        <v>806</v>
      </c>
      <c r="AE29" s="1603">
        <v>1782</v>
      </c>
      <c r="AF29" s="1398">
        <v>1768</v>
      </c>
      <c r="AG29" s="1603">
        <v>1790</v>
      </c>
      <c r="AH29" s="1662">
        <v>2061</v>
      </c>
      <c r="AI29" s="1603">
        <v>320</v>
      </c>
      <c r="AJ29" s="1398">
        <v>307</v>
      </c>
      <c r="AK29" s="1398">
        <v>291</v>
      </c>
      <c r="AL29" s="1397">
        <v>312</v>
      </c>
      <c r="AM29" s="1398">
        <v>314</v>
      </c>
      <c r="AN29" s="1398">
        <v>314</v>
      </c>
      <c r="AO29" s="1398">
        <v>314</v>
      </c>
      <c r="AP29" s="1397"/>
      <c r="AQ29" s="1603"/>
      <c r="AR29" s="1603"/>
      <c r="AS29" s="1603"/>
      <c r="AT29" s="1662"/>
      <c r="AU29" s="1603"/>
      <c r="AV29" s="1603"/>
      <c r="AW29" s="1603"/>
      <c r="AX29" s="1662"/>
      <c r="AY29" s="1660"/>
      <c r="AZ29" s="1660"/>
      <c r="BA29" s="1660"/>
      <c r="BB29" s="1660"/>
      <c r="BC29" s="1666"/>
      <c r="BD29" s="1662"/>
      <c r="BE29" s="1662"/>
      <c r="BF29" s="1662"/>
      <c r="BG29" s="1629"/>
      <c r="BH29" s="1666">
        <v>1630</v>
      </c>
      <c r="BI29" s="1660">
        <v>3383</v>
      </c>
      <c r="BJ29" s="1596">
        <v>-1753</v>
      </c>
      <c r="BK29" s="1536">
        <v>-0.51817913094886192</v>
      </c>
      <c r="BL29" s="1539"/>
      <c r="BM29" s="1679">
        <v>1630</v>
      </c>
      <c r="BN29" s="1684">
        <v>3383</v>
      </c>
      <c r="BO29" s="1684">
        <v>3618</v>
      </c>
      <c r="BP29" s="1684">
        <v>5122</v>
      </c>
      <c r="BQ29" s="1665">
        <v>4834</v>
      </c>
      <c r="BR29" s="1665">
        <v>4265</v>
      </c>
      <c r="BS29" s="1665">
        <v>7401</v>
      </c>
      <c r="BT29" s="1665">
        <v>1230</v>
      </c>
      <c r="BU29" s="2003">
        <v>1254</v>
      </c>
      <c r="BV29" s="2003">
        <v>1603</v>
      </c>
      <c r="BW29" s="1317">
        <v>1843</v>
      </c>
      <c r="BX29" s="1317">
        <v>1825</v>
      </c>
      <c r="BY29" s="2079">
        <v>1063</v>
      </c>
      <c r="BZ29" s="2084">
        <v>893</v>
      </c>
      <c r="CA29" s="2084">
        <v>470</v>
      </c>
      <c r="CB29" s="2084">
        <v>1291</v>
      </c>
      <c r="CC29" s="1484"/>
      <c r="CE29" s="1920">
        <v>-91</v>
      </c>
      <c r="CF29" s="1180">
        <v>-0.10352673492605233</v>
      </c>
      <c r="CG29" s="1180">
        <v>-68</v>
      </c>
      <c r="CH29" s="1180">
        <v>-0.19422607406271172</v>
      </c>
      <c r="CI29" s="1180"/>
      <c r="CJ29" s="1920">
        <v>2621</v>
      </c>
      <c r="CK29" s="1315">
        <v>-991</v>
      </c>
      <c r="CL29" s="1920"/>
      <c r="CM29" s="1315">
        <v>-1753</v>
      </c>
      <c r="CN29" s="1315">
        <v>-0.51817913094886192</v>
      </c>
      <c r="CO29" s="1315">
        <v>0</v>
      </c>
      <c r="CP29" s="1180">
        <v>0</v>
      </c>
    </row>
    <row r="30" spans="1:94 16372:16372" ht="12.75" customHeight="1" x14ac:dyDescent="0.2">
      <c r="A30" s="1532"/>
      <c r="B30" s="1528" t="s">
        <v>684</v>
      </c>
      <c r="C30" s="1533">
        <v>728</v>
      </c>
      <c r="D30" s="1536" t="s">
        <v>41</v>
      </c>
      <c r="E30" s="1498"/>
      <c r="F30" s="2035">
        <v>728</v>
      </c>
      <c r="G30" s="2035"/>
      <c r="H30" s="1205"/>
      <c r="I30" s="1205"/>
      <c r="J30" s="1205"/>
      <c r="K30" s="1396"/>
      <c r="L30" s="1205"/>
      <c r="M30" s="1205"/>
      <c r="N30" s="1205"/>
      <c r="O30" s="1396"/>
      <c r="P30" s="1205"/>
      <c r="Q30" s="1603"/>
      <c r="R30" s="1662"/>
      <c r="S30" s="1603"/>
      <c r="T30" s="1603"/>
      <c r="U30" s="1603"/>
      <c r="V30" s="1662"/>
      <c r="W30" s="1603"/>
      <c r="X30" s="1603"/>
      <c r="Y30" s="1603"/>
      <c r="Z30" s="1662"/>
      <c r="AA30" s="1603"/>
      <c r="AB30" s="1603"/>
      <c r="AC30" s="1603"/>
      <c r="AD30" s="1662"/>
      <c r="AE30" s="1603"/>
      <c r="AF30" s="1398"/>
      <c r="AG30" s="1603"/>
      <c r="AH30" s="1662"/>
      <c r="AI30" s="1603"/>
      <c r="AJ30" s="1398"/>
      <c r="AK30" s="1398"/>
      <c r="AL30" s="1397"/>
      <c r="AM30" s="1398"/>
      <c r="AN30" s="1398"/>
      <c r="AO30" s="1398"/>
      <c r="AP30" s="1397"/>
      <c r="AQ30" s="1603"/>
      <c r="AR30" s="1603"/>
      <c r="AS30" s="1603"/>
      <c r="AT30" s="1662"/>
      <c r="AU30" s="1603"/>
      <c r="AV30" s="1603"/>
      <c r="AW30" s="1603"/>
      <c r="AX30" s="1662"/>
      <c r="AY30" s="1660"/>
      <c r="AZ30" s="1660"/>
      <c r="BA30" s="1660"/>
      <c r="BB30" s="1660"/>
      <c r="BC30" s="1666"/>
      <c r="BD30" s="1662"/>
      <c r="BE30" s="1662"/>
      <c r="BF30" s="1662"/>
      <c r="BG30" s="1629"/>
      <c r="BH30" s="1666"/>
      <c r="BI30" s="1660"/>
      <c r="BJ30" s="1596"/>
      <c r="BK30" s="1536"/>
      <c r="BL30" s="1539"/>
      <c r="BM30" s="1679"/>
      <c r="BN30" s="1684"/>
      <c r="BO30" s="1684"/>
      <c r="BP30" s="1684"/>
      <c r="BQ30" s="1665"/>
      <c r="BR30" s="1665"/>
      <c r="BS30" s="1665"/>
      <c r="BT30" s="1665"/>
      <c r="BU30" s="2003"/>
      <c r="BV30" s="2003"/>
      <c r="BW30" s="1317"/>
      <c r="BX30" s="1317"/>
      <c r="BY30" s="2079"/>
      <c r="BZ30" s="2084"/>
      <c r="CA30" s="2084"/>
      <c r="CB30" s="2084"/>
      <c r="CC30" s="1484"/>
      <c r="CE30" s="1920"/>
      <c r="CF30" s="1180"/>
      <c r="CG30" s="1180"/>
      <c r="CH30" s="1180"/>
      <c r="CI30" s="1180"/>
      <c r="CJ30" s="1920"/>
      <c r="CK30" s="1315"/>
      <c r="CL30" s="1920"/>
      <c r="CM30" s="1315"/>
      <c r="CN30" s="1315"/>
      <c r="CO30" s="1315"/>
      <c r="CP30" s="1180"/>
    </row>
    <row r="31" spans="1:94 16372:16372" ht="12.75" customHeight="1" x14ac:dyDescent="0.2">
      <c r="A31" s="1528"/>
      <c r="B31" s="2451" t="s">
        <v>70</v>
      </c>
      <c r="C31" s="1533">
        <v>-4</v>
      </c>
      <c r="D31" s="1536">
        <v>-1</v>
      </c>
      <c r="E31" s="1505"/>
      <c r="F31" s="2035">
        <v>0</v>
      </c>
      <c r="G31" s="2035">
        <v>54</v>
      </c>
      <c r="H31" s="1205">
        <v>0</v>
      </c>
      <c r="I31" s="1205">
        <v>38</v>
      </c>
      <c r="J31" s="1205">
        <v>4</v>
      </c>
      <c r="K31" s="1396">
        <v>0</v>
      </c>
      <c r="L31" s="1205">
        <v>0</v>
      </c>
      <c r="M31" s="1205">
        <v>0</v>
      </c>
      <c r="N31" s="1205">
        <v>19</v>
      </c>
      <c r="O31" s="1396">
        <v>122</v>
      </c>
      <c r="P31" s="1205">
        <v>187</v>
      </c>
      <c r="Q31" s="1595">
        <v>439</v>
      </c>
      <c r="R31" s="1725">
        <v>156</v>
      </c>
      <c r="S31" s="1603">
        <v>872</v>
      </c>
      <c r="T31" s="1595">
        <v>722</v>
      </c>
      <c r="U31" s="1595">
        <v>792</v>
      </c>
      <c r="V31" s="1725">
        <v>535</v>
      </c>
      <c r="W31" s="1603">
        <v>926</v>
      </c>
      <c r="X31" s="1595">
        <v>2222</v>
      </c>
      <c r="Y31" s="1595">
        <v>-40</v>
      </c>
      <c r="Z31" s="1725">
        <v>668</v>
      </c>
      <c r="AA31" s="1595">
        <v>532</v>
      </c>
      <c r="AB31" s="1595">
        <v>-447</v>
      </c>
      <c r="AC31" s="1595">
        <v>3172</v>
      </c>
      <c r="AD31" s="1725">
        <v>582</v>
      </c>
      <c r="AE31" s="1595">
        <v>715</v>
      </c>
      <c r="AF31" s="1398">
        <v>664</v>
      </c>
      <c r="AG31" s="1595">
        <v>0</v>
      </c>
      <c r="AH31" s="1725">
        <v>0</v>
      </c>
      <c r="AI31" s="1595">
        <v>0</v>
      </c>
      <c r="AJ31" s="1398">
        <v>512</v>
      </c>
      <c r="AK31" s="1398">
        <v>533</v>
      </c>
      <c r="AL31" s="1397">
        <v>760</v>
      </c>
      <c r="AM31" s="1398">
        <v>1474</v>
      </c>
      <c r="AN31" s="1398">
        <v>1103</v>
      </c>
      <c r="AO31" s="1398">
        <v>1012</v>
      </c>
      <c r="AP31" s="1397"/>
      <c r="AQ31" s="1603"/>
      <c r="AR31" s="1603"/>
      <c r="AS31" s="1603"/>
      <c r="AT31" s="1662"/>
      <c r="AU31" s="1603"/>
      <c r="AV31" s="1603"/>
      <c r="AW31" s="1603"/>
      <c r="AX31" s="1662"/>
      <c r="AY31" s="1660"/>
      <c r="AZ31" s="1660"/>
      <c r="BA31" s="1660"/>
      <c r="BB31" s="1660"/>
      <c r="BC31" s="1666"/>
      <c r="BD31" s="1662"/>
      <c r="BE31" s="1662"/>
      <c r="BF31" s="1662"/>
      <c r="BG31" s="1629"/>
      <c r="BH31" s="1666">
        <v>96</v>
      </c>
      <c r="BI31" s="1660">
        <v>19</v>
      </c>
      <c r="BJ31" s="1596">
        <v>77</v>
      </c>
      <c r="BK31" s="1536" t="s">
        <v>41</v>
      </c>
      <c r="BL31" s="1539"/>
      <c r="BM31" s="1679">
        <v>96</v>
      </c>
      <c r="BN31" s="1684">
        <v>19</v>
      </c>
      <c r="BO31" s="1684">
        <v>904</v>
      </c>
      <c r="BP31" s="1684">
        <v>2921</v>
      </c>
      <c r="BQ31" s="1665">
        <v>3776</v>
      </c>
      <c r="BR31" s="1665">
        <v>3839</v>
      </c>
      <c r="BS31" s="1665">
        <v>1379</v>
      </c>
      <c r="BT31" s="1665">
        <v>1805</v>
      </c>
      <c r="BU31" s="2003">
        <v>4697</v>
      </c>
      <c r="BV31" s="2003">
        <v>3012</v>
      </c>
      <c r="BW31" s="1317">
        <v>1340</v>
      </c>
      <c r="BX31" s="1317">
        <v>1133</v>
      </c>
      <c r="BY31" s="2079">
        <v>1510</v>
      </c>
      <c r="BZ31" s="2084">
        <v>538</v>
      </c>
      <c r="CA31" s="2084">
        <v>590</v>
      </c>
      <c r="CB31" s="2084">
        <v>836</v>
      </c>
      <c r="CC31" s="1484"/>
      <c r="CE31" s="1920">
        <v>-187</v>
      </c>
      <c r="CF31" s="1180">
        <v>-1</v>
      </c>
      <c r="CG31" s="1180">
        <v>183</v>
      </c>
      <c r="CH31" s="1180">
        <v>0</v>
      </c>
      <c r="CI31" s="1180"/>
      <c r="CJ31" s="1920">
        <v>19</v>
      </c>
      <c r="CK31" s="1315">
        <v>77</v>
      </c>
      <c r="CL31" s="1920"/>
      <c r="CM31" s="1315">
        <v>77</v>
      </c>
      <c r="CN31" s="1315">
        <v>4.0526315789473681</v>
      </c>
      <c r="CO31" s="1315">
        <v>0</v>
      </c>
      <c r="CP31" s="1180" t="e">
        <v>#VALUE!</v>
      </c>
    </row>
    <row r="32" spans="1:94 16372:16372" ht="12.75" customHeight="1" x14ac:dyDescent="0.2">
      <c r="A32" s="1532"/>
      <c r="B32" s="1528" t="s">
        <v>164</v>
      </c>
      <c r="C32" s="1533">
        <v>-1316</v>
      </c>
      <c r="D32" s="1536">
        <v>-1</v>
      </c>
      <c r="E32" s="1498"/>
      <c r="F32" s="2035">
        <v>0</v>
      </c>
      <c r="G32" s="2035">
        <v>11754</v>
      </c>
      <c r="H32" s="1205">
        <v>0</v>
      </c>
      <c r="I32" s="1205">
        <v>0</v>
      </c>
      <c r="J32" s="1205">
        <v>1316</v>
      </c>
      <c r="K32" s="1396">
        <v>0</v>
      </c>
      <c r="L32" s="1205">
        <v>0</v>
      </c>
      <c r="M32" s="1205">
        <v>0</v>
      </c>
      <c r="N32" s="1205">
        <v>448</v>
      </c>
      <c r="O32" s="1396">
        <v>0</v>
      </c>
      <c r="P32" s="1205">
        <v>0</v>
      </c>
      <c r="Q32" s="1595">
        <v>0</v>
      </c>
      <c r="R32" s="1725">
        <v>0</v>
      </c>
      <c r="S32" s="1625">
        <v>3344</v>
      </c>
      <c r="T32" s="1595">
        <v>0</v>
      </c>
      <c r="U32" s="1595">
        <v>0</v>
      </c>
      <c r="V32" s="1725">
        <v>0</v>
      </c>
      <c r="W32" s="1625">
        <v>9143</v>
      </c>
      <c r="X32" s="1595">
        <v>0</v>
      </c>
      <c r="Y32" s="1595">
        <v>0</v>
      </c>
      <c r="Z32" s="1725">
        <v>0</v>
      </c>
      <c r="AA32" s="1625">
        <v>0</v>
      </c>
      <c r="AB32" s="1595">
        <v>0</v>
      </c>
      <c r="AC32" s="1595">
        <v>1307</v>
      </c>
      <c r="AD32" s="1725">
        <v>0</v>
      </c>
      <c r="AE32" s="1625">
        <v>5561</v>
      </c>
      <c r="AF32" s="1009">
        <v>2291</v>
      </c>
      <c r="AG32" s="1595">
        <v>0</v>
      </c>
      <c r="AH32" s="1725">
        <v>0</v>
      </c>
      <c r="AI32" s="1625">
        <v>18049</v>
      </c>
      <c r="AJ32" s="1009">
        <v>0</v>
      </c>
      <c r="AK32" s="1009">
        <v>0</v>
      </c>
      <c r="AL32" s="1726">
        <v>0</v>
      </c>
      <c r="AM32" s="1625">
        <v>0</v>
      </c>
      <c r="AN32" s="1431">
        <v>0</v>
      </c>
      <c r="AO32" s="1431">
        <v>0</v>
      </c>
      <c r="AP32" s="1726"/>
      <c r="AQ32" s="1727"/>
      <c r="AR32" s="1728"/>
      <c r="AS32" s="1728"/>
      <c r="AT32" s="1729"/>
      <c r="AU32" s="1603"/>
      <c r="AV32" s="1603"/>
      <c r="AW32" s="1728"/>
      <c r="AX32" s="1729"/>
      <c r="AY32" s="1730"/>
      <c r="AZ32" s="1548"/>
      <c r="BA32" s="1548"/>
      <c r="BB32" s="1548"/>
      <c r="BC32" s="1731"/>
      <c r="BD32" s="1732"/>
      <c r="BE32" s="1662"/>
      <c r="BF32" s="1662"/>
      <c r="BG32" s="1629"/>
      <c r="BH32" s="1666">
        <v>13070</v>
      </c>
      <c r="BI32" s="1660">
        <v>448</v>
      </c>
      <c r="BJ32" s="1596">
        <v>12622</v>
      </c>
      <c r="BK32" s="1536" t="s">
        <v>41</v>
      </c>
      <c r="BL32" s="1539"/>
      <c r="BM32" s="1679">
        <v>13070</v>
      </c>
      <c r="BN32" s="1265">
        <v>448</v>
      </c>
      <c r="BO32" s="1263">
        <v>0</v>
      </c>
      <c r="BP32" s="1684">
        <v>3344</v>
      </c>
      <c r="BQ32" s="1774">
        <v>9143</v>
      </c>
      <c r="BR32" s="1774">
        <v>1307</v>
      </c>
      <c r="BS32" s="1774">
        <v>7852</v>
      </c>
      <c r="BT32" s="1774">
        <v>18049</v>
      </c>
      <c r="BU32" s="926">
        <v>0</v>
      </c>
      <c r="BV32" s="2139">
        <v>0</v>
      </c>
      <c r="BW32" s="2139">
        <v>1274</v>
      </c>
      <c r="BX32" s="2152">
        <v>0</v>
      </c>
      <c r="BY32" s="2093">
        <v>0</v>
      </c>
      <c r="BZ32" s="2093">
        <v>0</v>
      </c>
      <c r="CA32" s="2084">
        <v>0</v>
      </c>
      <c r="CB32" s="2084">
        <v>0</v>
      </c>
      <c r="CC32" s="1484"/>
      <c r="CE32" s="1920">
        <v>0</v>
      </c>
      <c r="CF32" s="1180" t="e">
        <v>#DIV/0!</v>
      </c>
      <c r="CG32" s="1180">
        <v>-1316</v>
      </c>
      <c r="CH32" s="1180" t="e">
        <v>#DIV/0!</v>
      </c>
      <c r="CI32" s="1180"/>
      <c r="CJ32" s="1920">
        <v>448</v>
      </c>
      <c r="CK32" s="1315">
        <v>12622</v>
      </c>
      <c r="CL32" s="1920"/>
      <c r="CM32" s="1315">
        <v>12622</v>
      </c>
      <c r="CN32" s="1315">
        <v>28.174107142857142</v>
      </c>
      <c r="CO32" s="1315">
        <v>0</v>
      </c>
      <c r="CP32" s="1180" t="e">
        <v>#VALUE!</v>
      </c>
    </row>
    <row r="33" spans="1:94" ht="12.75" customHeight="1" x14ac:dyDescent="0.2">
      <c r="A33" s="1528"/>
      <c r="B33" s="1201" t="s">
        <v>621</v>
      </c>
      <c r="C33" s="1533">
        <v>0</v>
      </c>
      <c r="D33" s="1536">
        <v>0</v>
      </c>
      <c r="E33" s="2208"/>
      <c r="F33" s="2035">
        <v>0</v>
      </c>
      <c r="G33" s="2035">
        <v>0</v>
      </c>
      <c r="H33" s="1205">
        <v>0</v>
      </c>
      <c r="I33" s="1205">
        <v>0</v>
      </c>
      <c r="J33" s="1205">
        <v>0</v>
      </c>
      <c r="K33" s="1396">
        <v>12870</v>
      </c>
      <c r="L33" s="1205">
        <v>0</v>
      </c>
      <c r="M33" s="1205">
        <v>0</v>
      </c>
      <c r="N33" s="1205">
        <v>0</v>
      </c>
      <c r="O33" s="1396"/>
      <c r="P33" s="1205"/>
      <c r="Q33" s="1595"/>
      <c r="R33" s="1725"/>
      <c r="S33" s="1009"/>
      <c r="T33" s="1595"/>
      <c r="U33" s="1595"/>
      <c r="V33" s="1725"/>
      <c r="W33" s="1009"/>
      <c r="X33" s="1595"/>
      <c r="Y33" s="1595"/>
      <c r="Z33" s="1725"/>
      <c r="AA33" s="1009"/>
      <c r="AB33" s="1595"/>
      <c r="AC33" s="1595"/>
      <c r="AD33" s="1725"/>
      <c r="AE33" s="1009"/>
      <c r="AF33" s="1009"/>
      <c r="AG33" s="1595"/>
      <c r="AH33" s="1725"/>
      <c r="AI33" s="1009"/>
      <c r="AJ33" s="1009"/>
      <c r="AK33" s="1625"/>
      <c r="AL33" s="1725"/>
      <c r="AM33" s="1009"/>
      <c r="AN33" s="1009"/>
      <c r="AO33" s="1625"/>
      <c r="AP33" s="1725"/>
      <c r="AQ33" s="1603"/>
      <c r="AR33" s="1727"/>
      <c r="AS33" s="1727"/>
      <c r="AT33" s="1735"/>
      <c r="AU33" s="1727"/>
      <c r="AV33" s="1727"/>
      <c r="AW33" s="1727"/>
      <c r="AX33" s="1736"/>
      <c r="AY33" s="1687"/>
      <c r="AZ33" s="1687"/>
      <c r="BA33" s="1687"/>
      <c r="BB33" s="1687"/>
      <c r="BC33" s="1737"/>
      <c r="BD33" s="1736"/>
      <c r="BE33" s="1736"/>
      <c r="BF33" s="1736"/>
      <c r="BG33" s="1621"/>
      <c r="BH33" s="1914">
        <v>0</v>
      </c>
      <c r="BI33" s="1660">
        <v>12870</v>
      </c>
      <c r="BJ33" s="1668">
        <v>-12870</v>
      </c>
      <c r="BK33" s="1536">
        <v>-1</v>
      </c>
      <c r="BL33" s="1687"/>
      <c r="BM33" s="1914">
        <v>0</v>
      </c>
      <c r="BN33" s="1265">
        <v>12870</v>
      </c>
      <c r="BO33" s="1263">
        <v>0</v>
      </c>
      <c r="BP33" s="1263">
        <v>0</v>
      </c>
      <c r="BQ33" s="1640">
        <v>0</v>
      </c>
      <c r="BR33" s="1725">
        <v>0</v>
      </c>
      <c r="BS33" s="1775"/>
      <c r="BT33" s="1665"/>
      <c r="BU33" s="2153"/>
      <c r="BV33" s="2154"/>
      <c r="BW33" s="2154"/>
      <c r="BX33" s="2154"/>
      <c r="BY33" s="2090"/>
      <c r="BZ33" s="2091"/>
      <c r="CA33" s="2084"/>
      <c r="CB33" s="2084"/>
      <c r="CC33" s="1484"/>
      <c r="CE33" s="1920">
        <v>0</v>
      </c>
      <c r="CF33" s="1180" t="e">
        <v>#DIV/0!</v>
      </c>
      <c r="CG33" s="1180">
        <v>0</v>
      </c>
      <c r="CH33" s="1180" t="e">
        <v>#DIV/0!</v>
      </c>
      <c r="CI33" s="1180"/>
      <c r="CJ33" s="1920">
        <v>0</v>
      </c>
      <c r="CK33" s="1315">
        <v>0</v>
      </c>
      <c r="CL33" s="1920"/>
      <c r="CM33" s="1315">
        <v>-12870</v>
      </c>
      <c r="CN33" s="1315">
        <v>-1</v>
      </c>
      <c r="CO33" s="1315">
        <v>0</v>
      </c>
      <c r="CP33" s="1180">
        <v>0</v>
      </c>
    </row>
    <row r="34" spans="1:94" ht="12.75" customHeight="1" x14ac:dyDescent="0.2">
      <c r="A34" s="1532"/>
      <c r="B34" s="1528" t="s">
        <v>380</v>
      </c>
      <c r="C34" s="1533">
        <v>0</v>
      </c>
      <c r="D34" s="1536">
        <v>0</v>
      </c>
      <c r="E34" s="1498"/>
      <c r="F34" s="2035">
        <v>0</v>
      </c>
      <c r="G34" s="2035">
        <v>0</v>
      </c>
      <c r="H34" s="1205">
        <v>0</v>
      </c>
      <c r="I34" s="1205">
        <v>0</v>
      </c>
      <c r="J34" s="1205">
        <v>0</v>
      </c>
      <c r="K34" s="1396">
        <v>0</v>
      </c>
      <c r="L34" s="1205">
        <v>0</v>
      </c>
      <c r="M34" s="1205">
        <v>0</v>
      </c>
      <c r="N34" s="1205">
        <v>0</v>
      </c>
      <c r="O34" s="1396">
        <v>0</v>
      </c>
      <c r="P34" s="1205">
        <v>0</v>
      </c>
      <c r="Q34" s="1595">
        <v>0</v>
      </c>
      <c r="R34" s="1725">
        <v>0</v>
      </c>
      <c r="S34" s="1625">
        <v>0</v>
      </c>
      <c r="T34" s="1595">
        <v>106858</v>
      </c>
      <c r="U34" s="1595">
        <v>0</v>
      </c>
      <c r="V34" s="1725">
        <v>0</v>
      </c>
      <c r="W34" s="1625">
        <v>0</v>
      </c>
      <c r="X34" s="1595">
        <v>0</v>
      </c>
      <c r="Y34" s="1595">
        <v>0</v>
      </c>
      <c r="Z34" s="1725">
        <v>0</v>
      </c>
      <c r="AA34" s="1625">
        <v>0</v>
      </c>
      <c r="AB34" s="1595">
        <v>0</v>
      </c>
      <c r="AC34" s="1595"/>
      <c r="AD34" s="1725"/>
      <c r="AE34" s="1625"/>
      <c r="AF34" s="1431"/>
      <c r="AG34" s="1595"/>
      <c r="AH34" s="1725"/>
      <c r="AI34" s="1625"/>
      <c r="AJ34" s="1431"/>
      <c r="AK34" s="1431"/>
      <c r="AL34" s="1726"/>
      <c r="AM34" s="1625"/>
      <c r="AN34" s="1431"/>
      <c r="AO34" s="1431"/>
      <c r="AP34" s="1726"/>
      <c r="AQ34" s="1727"/>
      <c r="AR34" s="1728"/>
      <c r="AS34" s="1728"/>
      <c r="AT34" s="1729"/>
      <c r="AU34" s="1603"/>
      <c r="AV34" s="1603"/>
      <c r="AW34" s="1728"/>
      <c r="AX34" s="1729"/>
      <c r="AY34" s="1730"/>
      <c r="AZ34" s="1548"/>
      <c r="BA34" s="1548"/>
      <c r="BB34" s="1548"/>
      <c r="BC34" s="1731"/>
      <c r="BD34" s="1732"/>
      <c r="BE34" s="1662"/>
      <c r="BF34" s="1662"/>
      <c r="BG34" s="1629"/>
      <c r="BH34" s="1914">
        <v>0</v>
      </c>
      <c r="BI34" s="1077">
        <v>0</v>
      </c>
      <c r="BJ34" s="1596">
        <v>0</v>
      </c>
      <c r="BK34" s="1536">
        <v>0</v>
      </c>
      <c r="BL34" s="1539"/>
      <c r="BM34" s="1914">
        <v>0</v>
      </c>
      <c r="BN34" s="1263">
        <v>0</v>
      </c>
      <c r="BO34" s="1263">
        <v>0</v>
      </c>
      <c r="BP34" s="1684">
        <v>106858</v>
      </c>
      <c r="BQ34" s="1774">
        <v>0</v>
      </c>
      <c r="BR34" s="1774">
        <v>0</v>
      </c>
      <c r="BS34" s="1774">
        <v>0</v>
      </c>
      <c r="BT34" s="1774">
        <v>0</v>
      </c>
      <c r="BU34" s="926">
        <v>0</v>
      </c>
      <c r="BV34" s="2139"/>
      <c r="BW34" s="2139"/>
      <c r="BX34" s="2152"/>
      <c r="BY34" s="2093"/>
      <c r="BZ34" s="2093"/>
      <c r="CA34" s="2084"/>
      <c r="CB34" s="2084"/>
      <c r="CC34" s="1484"/>
      <c r="CE34" s="1920">
        <v>0</v>
      </c>
      <c r="CF34" s="1180" t="e">
        <v>#DIV/0!</v>
      </c>
      <c r="CG34" s="1180">
        <v>0</v>
      </c>
      <c r="CH34" s="1180" t="e">
        <v>#DIV/0!</v>
      </c>
      <c r="CI34" s="1180"/>
      <c r="CJ34" s="1920">
        <v>0</v>
      </c>
      <c r="CK34" s="1315">
        <v>0</v>
      </c>
      <c r="CL34" s="1920"/>
      <c r="CM34" s="1315">
        <v>0</v>
      </c>
      <c r="CN34" s="1315" t="e">
        <v>#DIV/0!</v>
      </c>
      <c r="CO34" s="1315">
        <v>0</v>
      </c>
      <c r="CP34" s="1180" t="e">
        <v>#DIV/0!</v>
      </c>
    </row>
    <row r="35" spans="1:94" ht="12.75" customHeight="1" x14ac:dyDescent="0.2">
      <c r="A35" s="1532"/>
      <c r="B35" s="1528"/>
      <c r="C35" s="1534">
        <v>-5539</v>
      </c>
      <c r="D35" s="1535">
        <v>-0.19872277831593299</v>
      </c>
      <c r="E35" s="1498"/>
      <c r="F35" s="2247">
        <v>22334</v>
      </c>
      <c r="G35" s="1195">
        <v>43054</v>
      </c>
      <c r="H35" s="1276">
        <v>33544</v>
      </c>
      <c r="I35" s="1276">
        <v>25306</v>
      </c>
      <c r="J35" s="1276">
        <v>27873</v>
      </c>
      <c r="K35" s="1276">
        <v>44962</v>
      </c>
      <c r="L35" s="1276">
        <v>31356</v>
      </c>
      <c r="M35" s="1276">
        <v>31389</v>
      </c>
      <c r="N35" s="1276">
        <v>31927</v>
      </c>
      <c r="O35" s="1195">
        <v>44334</v>
      </c>
      <c r="P35" s="1276">
        <v>30621</v>
      </c>
      <c r="Q35" s="1720">
        <v>32872</v>
      </c>
      <c r="R35" s="1721">
        <v>31396</v>
      </c>
      <c r="S35" s="1722">
        <v>35790</v>
      </c>
      <c r="T35" s="1720">
        <v>148761</v>
      </c>
      <c r="U35" s="1720">
        <v>38189</v>
      </c>
      <c r="V35" s="1663">
        <v>43237</v>
      </c>
      <c r="W35" s="1720">
        <v>53696</v>
      </c>
      <c r="X35" s="1720">
        <v>38098</v>
      </c>
      <c r="Y35" s="1720">
        <v>40920</v>
      </c>
      <c r="Z35" s="1663">
        <v>40245</v>
      </c>
      <c r="AA35" s="1720">
        <v>50989</v>
      </c>
      <c r="AB35" s="1720">
        <v>50915</v>
      </c>
      <c r="AC35" s="1720">
        <v>42560</v>
      </c>
      <c r="AD35" s="1663">
        <v>35372</v>
      </c>
      <c r="AE35" s="1722">
        <v>50734</v>
      </c>
      <c r="AF35" s="1720">
        <v>46570</v>
      </c>
      <c r="AG35" s="1720">
        <v>40389</v>
      </c>
      <c r="AH35" s="1721">
        <v>40976</v>
      </c>
      <c r="AI35" s="1720">
        <v>47530</v>
      </c>
      <c r="AJ35" s="1720">
        <v>13751</v>
      </c>
      <c r="AK35" s="1720">
        <v>13294</v>
      </c>
      <c r="AL35" s="1721">
        <v>14080</v>
      </c>
      <c r="AM35" s="1720">
        <v>25215</v>
      </c>
      <c r="AN35" s="1739">
        <v>20384</v>
      </c>
      <c r="AO35" s="1720">
        <v>16895</v>
      </c>
      <c r="AP35" s="1663">
        <v>0</v>
      </c>
      <c r="AQ35" s="1720">
        <v>27693</v>
      </c>
      <c r="AR35" s="1739">
        <v>37922</v>
      </c>
      <c r="AS35" s="1720">
        <v>19480</v>
      </c>
      <c r="AT35" s="1663">
        <v>22187</v>
      </c>
      <c r="AU35" s="1739">
        <v>0</v>
      </c>
      <c r="AV35" s="1739">
        <v>0</v>
      </c>
      <c r="AW35" s="1739">
        <v>0</v>
      </c>
      <c r="AX35" s="1663">
        <v>0</v>
      </c>
      <c r="AY35" s="1739">
        <v>0</v>
      </c>
      <c r="AZ35" s="1739">
        <v>87449</v>
      </c>
      <c r="BA35" s="1721">
        <v>74128</v>
      </c>
      <c r="BB35" s="1739">
        <v>106349</v>
      </c>
      <c r="BC35" s="1661">
        <v>100905</v>
      </c>
      <c r="BD35" s="1663">
        <v>75317</v>
      </c>
      <c r="BE35" s="1663">
        <v>70703</v>
      </c>
      <c r="BF35" s="1739">
        <v>91522</v>
      </c>
      <c r="BG35" s="1629"/>
      <c r="BH35" s="1720">
        <v>129777</v>
      </c>
      <c r="BI35" s="1720">
        <v>139634</v>
      </c>
      <c r="BJ35" s="1395">
        <v>-9857</v>
      </c>
      <c r="BK35" s="1631">
        <v>-7.0591689703080912E-2</v>
      </c>
      <c r="BL35" s="1528"/>
      <c r="BM35" s="2479">
        <v>129777</v>
      </c>
      <c r="BN35" s="1938">
        <v>139634</v>
      </c>
      <c r="BO35" s="1938">
        <v>139223</v>
      </c>
      <c r="BP35" s="1938">
        <v>265977</v>
      </c>
      <c r="BQ35" s="1632">
        <v>172959</v>
      </c>
      <c r="BR35" s="1632">
        <v>179836</v>
      </c>
      <c r="BS35" s="1632">
        <v>178669</v>
      </c>
      <c r="BT35" s="1632">
        <v>88655</v>
      </c>
      <c r="BU35" s="2094">
        <v>78548</v>
      </c>
      <c r="BV35" s="2094">
        <v>72921</v>
      </c>
      <c r="BW35" s="2094">
        <v>70895</v>
      </c>
      <c r="BX35" s="2094">
        <v>88719</v>
      </c>
      <c r="BY35" s="2094">
        <v>125171</v>
      </c>
      <c r="BZ35" s="2095">
        <v>105485</v>
      </c>
      <c r="CA35" s="2095">
        <v>67435</v>
      </c>
      <c r="CB35" s="2082">
        <v>154490</v>
      </c>
      <c r="CC35" s="1484"/>
      <c r="CE35" s="1920">
        <v>735</v>
      </c>
      <c r="CF35" s="1180">
        <v>2.400313510336044E-2</v>
      </c>
      <c r="CG35" s="1180">
        <v>-6274</v>
      </c>
      <c r="CH35" s="1180">
        <v>-0.22272591341929343</v>
      </c>
      <c r="CI35" s="1180"/>
      <c r="CJ35" s="1920">
        <v>94672</v>
      </c>
      <c r="CK35" s="1315">
        <v>35105</v>
      </c>
      <c r="CL35" s="1920"/>
      <c r="CM35" s="1315">
        <v>-9857</v>
      </c>
      <c r="CN35" s="1315">
        <v>-7.0591689703080912E-2</v>
      </c>
      <c r="CO35" s="1315">
        <v>0</v>
      </c>
      <c r="CP35" s="1180">
        <v>0</v>
      </c>
    </row>
    <row r="36" spans="1:94" s="2304" customFormat="1" ht="24.95" customHeight="1" thickBot="1" x14ac:dyDescent="0.25">
      <c r="A36" s="3157" t="s">
        <v>183</v>
      </c>
      <c r="B36" s="3151"/>
      <c r="C36" s="1533">
        <v>6154</v>
      </c>
      <c r="D36" s="1536">
        <v>-1.0118382111147648</v>
      </c>
      <c r="E36" s="1503"/>
      <c r="F36" s="2319">
        <v>72</v>
      </c>
      <c r="G36" s="2319">
        <v>-14166</v>
      </c>
      <c r="H36" s="1395">
        <v>4998</v>
      </c>
      <c r="I36" s="1395">
        <v>-5738</v>
      </c>
      <c r="J36" s="1395">
        <v>-6082</v>
      </c>
      <c r="K36" s="1401">
        <v>-10166</v>
      </c>
      <c r="L36" s="1395">
        <v>866</v>
      </c>
      <c r="M36" s="1395">
        <v>3280</v>
      </c>
      <c r="N36" s="1395">
        <v>-5156</v>
      </c>
      <c r="O36" s="1401">
        <v>17856</v>
      </c>
      <c r="P36" s="1395">
        <v>1390</v>
      </c>
      <c r="Q36" s="1633">
        <v>-4980</v>
      </c>
      <c r="R36" s="1634">
        <v>-6677</v>
      </c>
      <c r="S36" s="2845">
        <v>-3225</v>
      </c>
      <c r="T36" s="1633">
        <v>-119420</v>
      </c>
      <c r="U36" s="1633">
        <v>150</v>
      </c>
      <c r="V36" s="1634">
        <v>1996</v>
      </c>
      <c r="W36" s="1633">
        <v>-15102</v>
      </c>
      <c r="X36" s="1633">
        <v>-14406</v>
      </c>
      <c r="Y36" s="1633">
        <v>7990</v>
      </c>
      <c r="Z36" s="1634">
        <v>4501</v>
      </c>
      <c r="AA36" s="1633">
        <v>12186</v>
      </c>
      <c r="AB36" s="1633">
        <v>14792</v>
      </c>
      <c r="AC36" s="1633">
        <v>376</v>
      </c>
      <c r="AD36" s="1634">
        <v>5117</v>
      </c>
      <c r="AE36" s="1633">
        <v>-5182</v>
      </c>
      <c r="AF36" s="1633">
        <v>-2322</v>
      </c>
      <c r="AG36" s="1633">
        <v>-1355</v>
      </c>
      <c r="AH36" s="1634">
        <v>-11756</v>
      </c>
      <c r="AI36" s="1633">
        <v>-27669</v>
      </c>
      <c r="AJ36" s="1633">
        <v>-1003</v>
      </c>
      <c r="AK36" s="1633">
        <v>-3956</v>
      </c>
      <c r="AL36" s="1634">
        <v>-4834</v>
      </c>
      <c r="AM36" s="1633">
        <v>9340</v>
      </c>
      <c r="AN36" s="1633">
        <v>2955</v>
      </c>
      <c r="AO36" s="1615">
        <v>1443</v>
      </c>
      <c r="AP36" s="1634" t="e">
        <v>#REF!</v>
      </c>
      <c r="AQ36" s="1615" t="e">
        <v>#REF!</v>
      </c>
      <c r="AR36" s="1633" t="e">
        <v>#REF!</v>
      </c>
      <c r="AS36" s="1615" t="e">
        <v>#REF!</v>
      </c>
      <c r="AT36" s="1634" t="e">
        <v>#REF!</v>
      </c>
      <c r="AU36" s="1633" t="e">
        <v>#REF!</v>
      </c>
      <c r="AV36" s="1633" t="e">
        <v>#REF!</v>
      </c>
      <c r="AW36" s="1633" t="e">
        <v>#REF!</v>
      </c>
      <c r="AX36" s="1634" t="e">
        <v>#REF!</v>
      </c>
      <c r="AY36" s="1633" t="e">
        <v>#REF!</v>
      </c>
      <c r="AZ36" s="1599" t="s">
        <v>181</v>
      </c>
      <c r="BA36" s="1598" t="s">
        <v>181</v>
      </c>
      <c r="BB36" s="1599"/>
      <c r="BC36" s="1599"/>
      <c r="BD36" s="1599"/>
      <c r="BE36" s="1599"/>
      <c r="BF36" s="1599"/>
      <c r="BG36" s="1618"/>
      <c r="BH36" s="1633">
        <v>-20988</v>
      </c>
      <c r="BI36" s="1633">
        <v>-11176</v>
      </c>
      <c r="BJ36" s="1395">
        <v>-9812</v>
      </c>
      <c r="BK36" s="1535">
        <v>-0.87795275590551181</v>
      </c>
      <c r="BL36" s="1528"/>
      <c r="BM36" s="1633">
        <v>-20988</v>
      </c>
      <c r="BN36" s="1933">
        <v>-11176</v>
      </c>
      <c r="BO36" s="1933">
        <v>7589</v>
      </c>
      <c r="BP36" s="1933">
        <v>-120499</v>
      </c>
      <c r="BQ36" s="1403">
        <v>-17017</v>
      </c>
      <c r="BR36" s="1602">
        <v>32471</v>
      </c>
      <c r="BS36" s="1403">
        <v>-20615</v>
      </c>
      <c r="BT36" s="1403">
        <v>-37462</v>
      </c>
      <c r="BU36" s="2081">
        <v>14129</v>
      </c>
      <c r="BV36" s="2081">
        <v>9533</v>
      </c>
      <c r="BW36" s="2081">
        <v>2031</v>
      </c>
      <c r="BX36" s="2096">
        <v>29613</v>
      </c>
      <c r="BY36" s="2096" t="e">
        <v>#REF!</v>
      </c>
      <c r="BZ36" s="2082" t="e">
        <v>#REF!</v>
      </c>
      <c r="CA36" s="2082" t="e">
        <v>#REF!</v>
      </c>
      <c r="CB36" s="2097"/>
      <c r="CC36" s="1509"/>
      <c r="CD36" s="2734"/>
      <c r="CE36" s="1920">
        <v>-524</v>
      </c>
      <c r="CF36" s="1180">
        <v>-0.37697841726618703</v>
      </c>
      <c r="CG36" s="1180">
        <v>6678</v>
      </c>
      <c r="CH36" s="1180">
        <v>-0.63485979384857782</v>
      </c>
      <c r="CI36" s="1180"/>
      <c r="CJ36" s="1920">
        <v>-1010</v>
      </c>
      <c r="CK36" s="1315">
        <v>-19978</v>
      </c>
      <c r="CL36" s="1920"/>
      <c r="CM36" s="1315">
        <v>-9812</v>
      </c>
      <c r="CN36" s="1315">
        <v>0.87795275590551181</v>
      </c>
      <c r="CO36" s="1315">
        <v>0</v>
      </c>
      <c r="CP36" s="1180">
        <v>-1.7559055118110236</v>
      </c>
    </row>
    <row r="37" spans="1:94" s="2304" customFormat="1" ht="12.75" customHeight="1" thickTop="1" x14ac:dyDescent="0.2">
      <c r="A37" s="2992"/>
      <c r="B37" s="2232" t="s">
        <v>332</v>
      </c>
      <c r="C37" s="1534">
        <v>-508</v>
      </c>
      <c r="D37" s="1535">
        <v>-0.67733333333333334</v>
      </c>
      <c r="E37" s="1498"/>
      <c r="F37" s="2035">
        <v>242</v>
      </c>
      <c r="G37" s="2035">
        <v>662</v>
      </c>
      <c r="H37" s="1395">
        <v>754</v>
      </c>
      <c r="I37" s="1395">
        <v>742</v>
      </c>
      <c r="J37" s="1395">
        <v>750</v>
      </c>
      <c r="K37" s="1401">
        <v>763</v>
      </c>
      <c r="L37" s="1395">
        <v>731</v>
      </c>
      <c r="M37" s="1395">
        <v>738</v>
      </c>
      <c r="N37" s="1395">
        <v>737</v>
      </c>
      <c r="O37" s="1401">
        <v>751</v>
      </c>
      <c r="P37" s="1395">
        <v>736</v>
      </c>
      <c r="Q37" s="1742">
        <v>729</v>
      </c>
      <c r="R37" s="1400">
        <v>730</v>
      </c>
      <c r="S37" s="1401">
        <v>713</v>
      </c>
      <c r="T37" s="1742">
        <v>428</v>
      </c>
      <c r="U37" s="1742">
        <v>418</v>
      </c>
      <c r="V37" s="1400">
        <v>453</v>
      </c>
      <c r="W37" s="1395">
        <v>-144</v>
      </c>
      <c r="X37" s="1742">
        <v>-38</v>
      </c>
      <c r="Y37" s="1742">
        <v>-205</v>
      </c>
      <c r="Z37" s="1400">
        <v>-215</v>
      </c>
      <c r="AA37" s="1395">
        <v>-1534</v>
      </c>
      <c r="AB37" s="1742">
        <v>-1276</v>
      </c>
      <c r="AC37" s="1742">
        <v>-840</v>
      </c>
      <c r="AD37" s="1400">
        <v>-583</v>
      </c>
      <c r="AE37" s="1395">
        <v>0</v>
      </c>
      <c r="AF37" s="1395">
        <v>0</v>
      </c>
      <c r="AG37" s="1395">
        <v>0</v>
      </c>
      <c r="AH37" s="1400">
        <v>0</v>
      </c>
      <c r="AI37" s="1776">
        <v>0</v>
      </c>
      <c r="AJ37" s="1776">
        <v>0</v>
      </c>
      <c r="AK37" s="1777">
        <v>0</v>
      </c>
      <c r="AL37" s="1409">
        <v>0</v>
      </c>
      <c r="AM37" s="1395">
        <v>0</v>
      </c>
      <c r="AN37" s="1205"/>
      <c r="AO37" s="1395"/>
      <c r="AP37" s="1409"/>
      <c r="AQ37" s="1395"/>
      <c r="AR37" s="1205"/>
      <c r="AS37" s="1395"/>
      <c r="AT37" s="1409"/>
      <c r="AU37" s="1205"/>
      <c r="AV37" s="1205"/>
      <c r="AW37" s="1205"/>
      <c r="AX37" s="1409"/>
      <c r="AY37" s="1205"/>
      <c r="AZ37" s="1048"/>
      <c r="BA37" s="1745"/>
      <c r="BB37" s="1048"/>
      <c r="BC37" s="1048"/>
      <c r="BD37" s="1048"/>
      <c r="BE37" s="1048"/>
      <c r="BF37" s="1048"/>
      <c r="BG37" s="1746"/>
      <c r="BH37" s="1722">
        <v>2908</v>
      </c>
      <c r="BI37" s="1739">
        <v>2969</v>
      </c>
      <c r="BJ37" s="1395">
        <v>-61</v>
      </c>
      <c r="BK37" s="1535">
        <v>-2.0545638262041092E-2</v>
      </c>
      <c r="BL37" s="2513"/>
      <c r="BM37" s="2479">
        <v>2908</v>
      </c>
      <c r="BN37" s="1684">
        <v>2969</v>
      </c>
      <c r="BO37" s="1684">
        <v>2946</v>
      </c>
      <c r="BP37" s="1684">
        <v>2012</v>
      </c>
      <c r="BQ37" s="1403">
        <v>-602</v>
      </c>
      <c r="BR37" s="1403">
        <v>-4233</v>
      </c>
      <c r="BS37" s="1395">
        <v>-6736</v>
      </c>
      <c r="BT37" s="1403">
        <v>0</v>
      </c>
      <c r="BU37" s="2142">
        <v>0</v>
      </c>
      <c r="BV37" s="2142">
        <v>0</v>
      </c>
      <c r="BW37" s="2142">
        <v>0</v>
      </c>
      <c r="BX37" s="2079"/>
      <c r="BY37" s="2086"/>
      <c r="BZ37" s="2099"/>
      <c r="CA37" s="2084"/>
      <c r="CB37" s="1504"/>
      <c r="CC37" s="1509"/>
      <c r="CD37" s="2734"/>
      <c r="CE37" s="1920">
        <v>-5</v>
      </c>
      <c r="CF37" s="1180">
        <v>-6.793478260869565E-3</v>
      </c>
      <c r="CG37" s="1180">
        <v>-503</v>
      </c>
      <c r="CH37" s="1180">
        <v>-0.67053985507246383</v>
      </c>
      <c r="CI37" s="1180"/>
      <c r="CJ37" s="1920">
        <v>2206</v>
      </c>
      <c r="CK37" s="1315">
        <v>702</v>
      </c>
      <c r="CL37" s="1920"/>
      <c r="CM37" s="1315">
        <v>-61</v>
      </c>
      <c r="CN37" s="1315">
        <v>-2.0545638262041092E-2</v>
      </c>
      <c r="CO37" s="1315">
        <v>0</v>
      </c>
      <c r="CP37" s="1180">
        <v>0</v>
      </c>
    </row>
    <row r="38" spans="1:94" s="2304" customFormat="1" ht="18.75" customHeight="1" thickBot="1" x14ac:dyDescent="0.25">
      <c r="A38" s="3157" t="s">
        <v>72</v>
      </c>
      <c r="B38" s="3191"/>
      <c r="C38" s="1534">
        <v>6662</v>
      </c>
      <c r="D38" s="1535">
        <v>0.97511709601873531</v>
      </c>
      <c r="E38" s="1498"/>
      <c r="F38" s="2197">
        <v>-170</v>
      </c>
      <c r="G38" s="2197">
        <v>-14828</v>
      </c>
      <c r="H38" s="1435">
        <v>4244</v>
      </c>
      <c r="I38" s="1435">
        <v>-6480</v>
      </c>
      <c r="J38" s="1435">
        <v>-6832</v>
      </c>
      <c r="K38" s="1436">
        <v>-10929</v>
      </c>
      <c r="L38" s="1435">
        <v>135</v>
      </c>
      <c r="M38" s="1435">
        <v>2542</v>
      </c>
      <c r="N38" s="1435">
        <v>-5893</v>
      </c>
      <c r="O38" s="1436">
        <v>17105</v>
      </c>
      <c r="P38" s="1435">
        <v>654</v>
      </c>
      <c r="Q38" s="1435">
        <v>-5709</v>
      </c>
      <c r="R38" s="1439">
        <v>-7407</v>
      </c>
      <c r="S38" s="1436">
        <v>-3938</v>
      </c>
      <c r="T38" s="1435">
        <v>-119848</v>
      </c>
      <c r="U38" s="1435">
        <v>-268</v>
      </c>
      <c r="V38" s="1646">
        <v>1543</v>
      </c>
      <c r="W38" s="1435">
        <v>-14958</v>
      </c>
      <c r="X38" s="1435">
        <v>-14368</v>
      </c>
      <c r="Y38" s="1748">
        <v>8195</v>
      </c>
      <c r="Z38" s="1646">
        <v>4716</v>
      </c>
      <c r="AA38" s="1748">
        <v>13720</v>
      </c>
      <c r="AB38" s="1748">
        <v>16068</v>
      </c>
      <c r="AC38" s="1748">
        <v>1216</v>
      </c>
      <c r="AD38" s="1646">
        <v>5700</v>
      </c>
      <c r="AE38" s="1435">
        <v>-5182</v>
      </c>
      <c r="AF38" s="1435">
        <v>-2322</v>
      </c>
      <c r="AG38" s="1435">
        <v>-1355</v>
      </c>
      <c r="AH38" s="1439">
        <v>-11756</v>
      </c>
      <c r="AI38" s="1435">
        <v>-27669</v>
      </c>
      <c r="AJ38" s="1435">
        <v>-1003</v>
      </c>
      <c r="AK38" s="1435">
        <v>-3956</v>
      </c>
      <c r="AL38" s="1439">
        <v>-4834</v>
      </c>
      <c r="AM38" s="1435">
        <v>9340</v>
      </c>
      <c r="AN38" s="1435"/>
      <c r="AO38" s="1435"/>
      <c r="AP38" s="1439"/>
      <c r="AQ38" s="1435"/>
      <c r="AR38" s="1435"/>
      <c r="AS38" s="1435"/>
      <c r="AT38" s="1439"/>
      <c r="AU38" s="1435"/>
      <c r="AV38" s="1435"/>
      <c r="AW38" s="1435"/>
      <c r="AX38" s="1439"/>
      <c r="AY38" s="1435"/>
      <c r="AZ38" s="1749"/>
      <c r="BA38" s="1750"/>
      <c r="BB38" s="1749"/>
      <c r="BC38" s="1749"/>
      <c r="BD38" s="1749"/>
      <c r="BE38" s="1749"/>
      <c r="BF38" s="1749"/>
      <c r="BG38" s="1746"/>
      <c r="BH38" s="1436">
        <v>-23896</v>
      </c>
      <c r="BI38" s="1435">
        <v>-14145</v>
      </c>
      <c r="BJ38" s="1435">
        <v>-9751</v>
      </c>
      <c r="BK38" s="1542">
        <v>-0.68936019794980563</v>
      </c>
      <c r="BL38" s="1656"/>
      <c r="BM38" s="1436">
        <v>-23896</v>
      </c>
      <c r="BN38" s="1443">
        <v>-14145</v>
      </c>
      <c r="BO38" s="1443">
        <v>4643</v>
      </c>
      <c r="BP38" s="1443">
        <v>-122511</v>
      </c>
      <c r="BQ38" s="1443">
        <v>-16415</v>
      </c>
      <c r="BR38" s="1443">
        <v>36704</v>
      </c>
      <c r="BS38" s="1443">
        <v>-13879</v>
      </c>
      <c r="BT38" s="1443">
        <v>-37462</v>
      </c>
      <c r="BU38" s="2100">
        <v>14129</v>
      </c>
      <c r="BV38" s="2100">
        <v>9533</v>
      </c>
      <c r="BW38" s="2100">
        <v>2031</v>
      </c>
      <c r="BX38" s="2100"/>
      <c r="BY38" s="2101"/>
      <c r="BZ38" s="2102"/>
      <c r="CA38" s="2082"/>
      <c r="CB38" s="1504"/>
      <c r="CC38" s="1509"/>
      <c r="CD38" s="2734"/>
      <c r="CE38" s="1920">
        <v>-519</v>
      </c>
      <c r="CF38" s="1180">
        <v>-0.79357798165137616</v>
      </c>
      <c r="CG38" s="1180">
        <v>7181</v>
      </c>
      <c r="CH38" s="1180">
        <v>1.7686950776701114</v>
      </c>
      <c r="CI38" s="1180"/>
      <c r="CJ38" s="1920">
        <v>-3216</v>
      </c>
      <c r="CK38" s="1315">
        <v>-20680</v>
      </c>
      <c r="CL38" s="1920"/>
      <c r="CM38" s="1315">
        <v>-9751</v>
      </c>
      <c r="CN38" s="1315">
        <v>0.68936019794980563</v>
      </c>
      <c r="CO38" s="1315">
        <v>0</v>
      </c>
      <c r="CP38" s="1180">
        <v>-1.3787203958996113</v>
      </c>
    </row>
    <row r="39" spans="1:94" ht="12.75" customHeight="1" thickTop="1" x14ac:dyDescent="0.2">
      <c r="A39" s="1539"/>
      <c r="B39" s="1539"/>
      <c r="C39" s="1543"/>
      <c r="D39" s="1544"/>
      <c r="E39" s="1513"/>
      <c r="F39" s="1966"/>
      <c r="G39" s="1966"/>
      <c r="H39" s="1647"/>
      <c r="I39" s="1647"/>
      <c r="J39" s="1647"/>
      <c r="K39" s="1647"/>
      <c r="L39" s="1647"/>
      <c r="M39" s="1647"/>
      <c r="N39" s="1647"/>
      <c r="O39" s="1647"/>
      <c r="P39" s="1647"/>
      <c r="Q39" s="1647"/>
      <c r="R39" s="1528"/>
      <c r="S39" s="1544"/>
      <c r="T39" s="1647"/>
      <c r="U39" s="1647"/>
      <c r="V39" s="1528"/>
      <c r="W39" s="1544"/>
      <c r="X39" s="1647"/>
      <c r="Y39" s="1647"/>
      <c r="Z39" s="1528"/>
      <c r="AA39" s="1544"/>
      <c r="AB39" s="1647"/>
      <c r="AC39" s="1647"/>
      <c r="AD39" s="1528"/>
      <c r="AE39" s="1544"/>
      <c r="AF39" s="1647"/>
      <c r="AG39" s="1647"/>
      <c r="AH39" s="1528"/>
      <c r="AI39" s="1544"/>
      <c r="AJ39" s="1544"/>
      <c r="AK39" s="1647"/>
      <c r="AL39" s="1528"/>
      <c r="AM39" s="1544"/>
      <c r="AN39" s="1544"/>
      <c r="AO39" s="1544"/>
      <c r="AP39" s="1528"/>
      <c r="AQ39" s="1544"/>
      <c r="AR39" s="1544"/>
      <c r="AS39" s="1544"/>
      <c r="AT39" s="1528"/>
      <c r="AU39" s="1544"/>
      <c r="AV39" s="1544"/>
      <c r="AW39" s="1544"/>
      <c r="AX39" s="1528"/>
      <c r="AY39" s="1539"/>
      <c r="AZ39" s="1539"/>
      <c r="BA39" s="1539"/>
      <c r="BB39" s="1539"/>
      <c r="BC39" s="1648"/>
      <c r="BD39" s="1648"/>
      <c r="BE39" s="1648"/>
      <c r="BF39" s="1648"/>
      <c r="BG39" s="1528"/>
      <c r="BH39" s="1528"/>
      <c r="BI39" s="1528"/>
      <c r="BJ39" s="1596"/>
      <c r="BK39" s="1544"/>
      <c r="BL39" s="1528"/>
      <c r="BM39" s="1528"/>
      <c r="BN39" s="1528"/>
      <c r="BO39" s="1528"/>
      <c r="BP39" s="1528"/>
      <c r="BQ39" s="1549"/>
      <c r="BR39" s="1549"/>
      <c r="BS39" s="1549"/>
      <c r="BT39" s="1549"/>
      <c r="BU39" s="1497"/>
      <c r="BV39" s="1497"/>
      <c r="BW39" s="1497"/>
      <c r="BX39" s="1504"/>
      <c r="BY39" s="1504"/>
      <c r="BZ39" s="1504"/>
      <c r="CA39" s="1504"/>
      <c r="CB39" s="1504"/>
      <c r="CC39" s="1484"/>
      <c r="CE39" s="2742"/>
      <c r="CF39" s="2742"/>
      <c r="CG39" s="2742"/>
    </row>
    <row r="40" spans="1:94" ht="12.75" customHeight="1" x14ac:dyDescent="0.2">
      <c r="A40" s="1204" t="s">
        <v>623</v>
      </c>
      <c r="B40" s="1547"/>
      <c r="C40" s="1545">
        <v>-15.161483559461253</v>
      </c>
      <c r="D40" s="1544"/>
      <c r="E40" s="1513"/>
      <c r="F40" s="1514">
        <v>0.59323395519057398</v>
      </c>
      <c r="G40" s="1514">
        <v>0.73089171974522293</v>
      </c>
      <c r="H40" s="1559">
        <v>0.62469513777178143</v>
      </c>
      <c r="I40" s="1559">
        <v>0.86140637775960749</v>
      </c>
      <c r="J40" s="1559">
        <v>0.74484879078518651</v>
      </c>
      <c r="K40" s="1559">
        <v>0.63406713415335092</v>
      </c>
      <c r="L40" s="1559">
        <v>0.63919061510769037</v>
      </c>
      <c r="M40" s="1559">
        <v>0.62568865557125963</v>
      </c>
      <c r="N40" s="1559">
        <v>0.79728063949796424</v>
      </c>
      <c r="O40" s="1559">
        <v>0.53870397169963014</v>
      </c>
      <c r="P40" s="1559">
        <v>0.63331354846771426</v>
      </c>
      <c r="Q40" s="1559">
        <v>0.79287967876093501</v>
      </c>
      <c r="R40" s="1559">
        <v>0.81589061046158828</v>
      </c>
      <c r="S40" s="1559">
        <v>0.59293720251804083</v>
      </c>
      <c r="T40" s="1559">
        <v>0.96291878259091379</v>
      </c>
      <c r="U40" s="1559">
        <v>0.619395393724406</v>
      </c>
      <c r="V40" s="1559">
        <v>0.65286405942564052</v>
      </c>
      <c r="W40" s="1559">
        <v>0.7734103746696378</v>
      </c>
      <c r="X40" s="1559">
        <v>0.92372952895492144</v>
      </c>
      <c r="Y40" s="1559">
        <v>0.59016561030464121</v>
      </c>
      <c r="Z40" s="1559">
        <v>0.59569570464399058</v>
      </c>
      <c r="AA40" s="1559">
        <v>0.59487138899881287</v>
      </c>
      <c r="AB40" s="1559">
        <v>0.57817279741884431</v>
      </c>
      <c r="AC40" s="1559">
        <v>0.58582541457052362</v>
      </c>
      <c r="AD40" s="1559">
        <v>0.55042110202771122</v>
      </c>
      <c r="AE40" s="1559">
        <v>0.67935546188970841</v>
      </c>
      <c r="AF40" s="1559">
        <v>0.63074037244621228</v>
      </c>
      <c r="AG40" s="1559">
        <v>0.70912537787569807</v>
      </c>
      <c r="AH40" s="1559">
        <v>0.77210814510609171</v>
      </c>
      <c r="AI40" s="1559">
        <v>0.81169125421680677</v>
      </c>
      <c r="AJ40" s="1559">
        <v>0.60260433009099468</v>
      </c>
      <c r="AK40" s="1559">
        <v>0.8218033840222746</v>
      </c>
      <c r="AL40" s="1559">
        <v>0.80856586632057104</v>
      </c>
      <c r="AM40" s="1559">
        <v>0.53555201852119805</v>
      </c>
      <c r="AN40" s="1559">
        <v>0.61150863361755003</v>
      </c>
      <c r="AO40" s="1559">
        <v>0.59477587523175923</v>
      </c>
      <c r="AP40" s="1559" t="e">
        <v>#DIV/0!</v>
      </c>
      <c r="AQ40" s="1559">
        <v>0.53972862294480772</v>
      </c>
      <c r="AR40" s="1559">
        <v>0.55773363383825147</v>
      </c>
      <c r="AS40" s="1559">
        <v>0.58128301886792455</v>
      </c>
      <c r="AT40" s="1559">
        <v>0.58840753310707394</v>
      </c>
      <c r="AU40" s="1559" t="e">
        <v>#DIV/0!</v>
      </c>
      <c r="AV40" s="1559" t="e">
        <v>#DIV/0!</v>
      </c>
      <c r="AW40" s="1559" t="e">
        <v>#DIV/0!</v>
      </c>
      <c r="AX40" s="1559" t="e">
        <v>#DIV/0!</v>
      </c>
      <c r="AY40" s="1559" t="e">
        <v>#DIV/0!</v>
      </c>
      <c r="AZ40" s="1650">
        <v>0.55900000000000005</v>
      </c>
      <c r="BA40" s="1650">
        <v>0.51</v>
      </c>
      <c r="BB40" s="1650">
        <v>0.51700000000000002</v>
      </c>
      <c r="BC40" s="1650">
        <v>0.56399999999999995</v>
      </c>
      <c r="BD40" s="1650">
        <v>0.53900000000000003</v>
      </c>
      <c r="BE40" s="1650">
        <v>0.51100000000000001</v>
      </c>
      <c r="BF40" s="1650">
        <v>0.55300000000000005</v>
      </c>
      <c r="BG40" s="1528"/>
      <c r="BH40" s="1559">
        <v>0.7195396593405583</v>
      </c>
      <c r="BI40" s="1559">
        <v>0.66710520170016663</v>
      </c>
      <c r="BJ40" s="1545">
        <v>5.2434457640391674</v>
      </c>
      <c r="BK40" s="1544"/>
      <c r="BL40" s="1528"/>
      <c r="BM40" s="1559">
        <v>0.7195396593405583</v>
      </c>
      <c r="BN40" s="1559">
        <v>0.66710520170016663</v>
      </c>
      <c r="BO40" s="1559">
        <v>0.65429256464049257</v>
      </c>
      <c r="BP40" s="1559">
        <v>0.69316322742957703</v>
      </c>
      <c r="BQ40" s="1649">
        <v>0.68778135460619971</v>
      </c>
      <c r="BR40" s="1649">
        <v>0.57939681687367817</v>
      </c>
      <c r="BS40" s="1649">
        <v>0.69024510610297751</v>
      </c>
      <c r="BT40" s="1649">
        <v>0.76090481120465692</v>
      </c>
      <c r="BU40" s="2103">
        <v>0.5715010196704684</v>
      </c>
      <c r="BV40" s="2103">
        <v>0.63574841729934262</v>
      </c>
      <c r="BW40" s="2106">
        <v>0.56965965499273241</v>
      </c>
      <c r="BX40" s="2106">
        <v>0.55627387350843394</v>
      </c>
      <c r="BY40" s="2106">
        <v>0.53576417397980403</v>
      </c>
      <c r="BZ40" s="2107">
        <v>0.56272346647172189</v>
      </c>
      <c r="CA40" s="2107">
        <v>0.56988875982377385</v>
      </c>
      <c r="CB40" s="2107">
        <v>0.627</v>
      </c>
      <c r="CC40" s="1484"/>
      <c r="CE40" s="2742"/>
      <c r="CF40" s="2742"/>
      <c r="CG40" s="2742"/>
    </row>
    <row r="41" spans="1:94" ht="12.75" customHeight="1" x14ac:dyDescent="0.2">
      <c r="A41" s="1547" t="s">
        <v>75</v>
      </c>
      <c r="B41" s="1547"/>
      <c r="C41" s="1545">
        <v>-13.070464233848345</v>
      </c>
      <c r="D41" s="1544"/>
      <c r="E41" s="1513"/>
      <c r="F41" s="1514">
        <v>0.40355261983397306</v>
      </c>
      <c r="G41" s="1514">
        <v>0.75948490722791473</v>
      </c>
      <c r="H41" s="1559">
        <v>0.24562814591873799</v>
      </c>
      <c r="I41" s="1559">
        <v>0.43182747342600164</v>
      </c>
      <c r="J41" s="1559">
        <v>0.5342572621724565</v>
      </c>
      <c r="K41" s="1559">
        <v>0.6580928842395678</v>
      </c>
      <c r="L41" s="1559">
        <v>0.33393333747129289</v>
      </c>
      <c r="M41" s="1559">
        <v>0.2797023277279414</v>
      </c>
      <c r="N41" s="1559">
        <v>0.39531582682753724</v>
      </c>
      <c r="O41" s="1559">
        <v>0.1741759125261296</v>
      </c>
      <c r="P41" s="1559">
        <v>0.32326387804192308</v>
      </c>
      <c r="Q41" s="1559">
        <v>0.38566614082891154</v>
      </c>
      <c r="R41" s="1559">
        <v>0.45422549455884137</v>
      </c>
      <c r="S41" s="1559">
        <v>0.50609550130508218</v>
      </c>
      <c r="T41" s="1559">
        <v>4.1071538120718447</v>
      </c>
      <c r="U41" s="1559">
        <v>0.37669214116174132</v>
      </c>
      <c r="V41" s="1559">
        <v>0.30300886520902881</v>
      </c>
      <c r="W41" s="1559">
        <v>0.61789397315644923</v>
      </c>
      <c r="X41" s="1559">
        <v>0.68432382238730372</v>
      </c>
      <c r="Y41" s="1559">
        <v>0.24647311388264159</v>
      </c>
      <c r="Z41" s="1559">
        <v>0.30371429848478076</v>
      </c>
      <c r="AA41" s="1559">
        <v>0.21223585278986942</v>
      </c>
      <c r="AB41" s="1559">
        <v>0.19670659138295768</v>
      </c>
      <c r="AC41" s="1559">
        <v>0.40541736538103224</v>
      </c>
      <c r="AD41" s="1559">
        <v>0.32319889352663689</v>
      </c>
      <c r="AE41" s="1559">
        <v>0.434404636459431</v>
      </c>
      <c r="AF41" s="1559">
        <v>0.42173657566443679</v>
      </c>
      <c r="AG41" s="1559">
        <v>0.32558794896756671</v>
      </c>
      <c r="AH41" s="1559">
        <v>0.63021902806297059</v>
      </c>
      <c r="AI41" s="1559">
        <v>1.5814410150546296</v>
      </c>
      <c r="AJ41" s="1559">
        <v>0.47607467838092249</v>
      </c>
      <c r="AK41" s="1559">
        <v>0.60184193617476978</v>
      </c>
      <c r="AL41" s="1559">
        <v>0.71425481289206139</v>
      </c>
      <c r="AM41" s="1559">
        <v>0.1941542468528433</v>
      </c>
      <c r="AN41" s="1559">
        <v>0.26187925789451133</v>
      </c>
      <c r="AO41" s="1559">
        <v>0.32653506380194131</v>
      </c>
      <c r="AP41" s="1559" t="e">
        <v>#REF!</v>
      </c>
      <c r="AQ41" s="1559">
        <v>0.30658272721716279</v>
      </c>
      <c r="AR41" s="1559">
        <v>0.10480982581197477</v>
      </c>
      <c r="AS41" s="1559">
        <v>0.15381132075471698</v>
      </c>
      <c r="AT41" s="1559">
        <v>0.14983030545018966</v>
      </c>
      <c r="AU41" s="1559" t="e">
        <v>#REF!</v>
      </c>
      <c r="AV41" s="1559" t="e">
        <v>#REF!</v>
      </c>
      <c r="AW41" s="1559" t="e">
        <v>#REF!</v>
      </c>
      <c r="AX41" s="1559" t="e">
        <v>#REF!</v>
      </c>
      <c r="AY41" s="1559" t="e">
        <v>#REF!</v>
      </c>
      <c r="AZ41" s="1650">
        <v>0.23899999999999999</v>
      </c>
      <c r="BA41" s="1650">
        <v>0.32199999999999995</v>
      </c>
      <c r="BB41" s="1650">
        <v>0.16900000000000004</v>
      </c>
      <c r="BC41" s="1650">
        <v>0.21100000000000008</v>
      </c>
      <c r="BD41" s="1650">
        <v>0.20399999999999996</v>
      </c>
      <c r="BE41" s="1650">
        <v>0.249</v>
      </c>
      <c r="BF41" s="1650">
        <v>0.17899999999999994</v>
      </c>
      <c r="BG41" s="1528"/>
      <c r="BH41" s="1559">
        <v>0.47338425759957348</v>
      </c>
      <c r="BI41" s="1559">
        <v>0.41989599713525044</v>
      </c>
      <c r="BJ41" s="1545">
        <v>5.3488260464323032</v>
      </c>
      <c r="BK41" s="1544"/>
      <c r="BL41" s="1528"/>
      <c r="BM41" s="1559">
        <v>0.47338425759957348</v>
      </c>
      <c r="BN41" s="1559">
        <v>0.41989599713525044</v>
      </c>
      <c r="BO41" s="1559">
        <v>0.29401547557420377</v>
      </c>
      <c r="BP41" s="1559">
        <v>1.1351338346691595</v>
      </c>
      <c r="BQ41" s="1649">
        <v>0.42134255043541829</v>
      </c>
      <c r="BR41" s="1649">
        <v>0.26765956845511452</v>
      </c>
      <c r="BS41" s="1649">
        <v>0.44018500006326949</v>
      </c>
      <c r="BT41" s="1649">
        <v>0.97087492430605749</v>
      </c>
      <c r="BU41" s="2103">
        <v>0.27604475759897279</v>
      </c>
      <c r="BV41" s="2103">
        <v>0.24863560288160672</v>
      </c>
      <c r="BW41" s="2103">
        <v>0.4024901955406851</v>
      </c>
      <c r="BX41" s="2103">
        <v>0.19347260250819728</v>
      </c>
      <c r="BY41" s="2103">
        <v>0.13159381964363784</v>
      </c>
      <c r="BZ41" s="2103">
        <v>0.13831328504020735</v>
      </c>
      <c r="CA41" s="2103">
        <v>0.13580091880408962</v>
      </c>
      <c r="CB41" s="2103">
        <v>0.10235740798458617</v>
      </c>
      <c r="CC41" s="1484"/>
      <c r="CE41" s="2742"/>
      <c r="CF41" s="2742"/>
      <c r="CG41" s="2742"/>
    </row>
    <row r="42" spans="1:94" ht="12.75" customHeight="1" x14ac:dyDescent="0.2">
      <c r="A42" s="1547" t="s">
        <v>76</v>
      </c>
      <c r="B42" s="1547"/>
      <c r="C42" s="1545">
        <v>-28.231947793309597</v>
      </c>
      <c r="D42" s="1544"/>
      <c r="E42" s="1513"/>
      <c r="F42" s="1514">
        <v>0.99678657502454704</v>
      </c>
      <c r="G42" s="1514">
        <v>1.4903766269731376</v>
      </c>
      <c r="H42" s="1559">
        <v>0.87032328369051948</v>
      </c>
      <c r="I42" s="1559">
        <v>1.2932338511856092</v>
      </c>
      <c r="J42" s="1559">
        <v>1.279106052957643</v>
      </c>
      <c r="K42" s="1559">
        <v>1.2921600183929187</v>
      </c>
      <c r="L42" s="1559">
        <v>0.97312395257898332</v>
      </c>
      <c r="M42" s="1559">
        <v>0.90539098329920098</v>
      </c>
      <c r="N42" s="1559">
        <v>1.1925964663255015</v>
      </c>
      <c r="O42" s="1559">
        <v>0.71287988422575976</v>
      </c>
      <c r="P42" s="1559">
        <v>0.95657742650963729</v>
      </c>
      <c r="Q42" s="1559">
        <v>1.1785458195898466</v>
      </c>
      <c r="R42" s="1559">
        <v>1.2701161050204297</v>
      </c>
      <c r="S42" s="1559">
        <v>1.0990327038231229</v>
      </c>
      <c r="T42" s="1559">
        <v>5.0700725946627587</v>
      </c>
      <c r="U42" s="1559">
        <v>0.99608753488614732</v>
      </c>
      <c r="V42" s="1559">
        <v>0.95587292463466933</v>
      </c>
      <c r="W42" s="1559">
        <v>1.3913043478260869</v>
      </c>
      <c r="X42" s="1559">
        <v>1.6080533513422253</v>
      </c>
      <c r="Y42" s="1559">
        <v>0.8366387241872828</v>
      </c>
      <c r="Z42" s="1559">
        <v>0.89941000312877128</v>
      </c>
      <c r="AA42" s="1559">
        <v>0.80710724178868221</v>
      </c>
      <c r="AB42" s="1559">
        <v>0.77487938880180196</v>
      </c>
      <c r="AC42" s="1559">
        <v>0.99124277995155585</v>
      </c>
      <c r="AD42" s="1559">
        <v>0.87361999555434811</v>
      </c>
      <c r="AE42" s="1559">
        <v>1.1137600983491394</v>
      </c>
      <c r="AF42" s="1559">
        <v>1.0524769481106491</v>
      </c>
      <c r="AG42" s="1559">
        <v>1.0347133268432649</v>
      </c>
      <c r="AH42" s="1559">
        <v>1.4023271731690623</v>
      </c>
      <c r="AI42" s="1559">
        <v>2.3931322692714363</v>
      </c>
      <c r="AJ42" s="1559">
        <v>1.0786790084719171</v>
      </c>
      <c r="AK42" s="1559">
        <v>1.4236453201970443</v>
      </c>
      <c r="AL42" s="1559">
        <v>1.5228206792126324</v>
      </c>
      <c r="AM42" s="1559">
        <v>0.72970626537404137</v>
      </c>
      <c r="AN42" s="1559">
        <v>0.87338789151206131</v>
      </c>
      <c r="AO42" s="1559">
        <v>0.92131093903370054</v>
      </c>
      <c r="AP42" s="1559" t="e">
        <v>#DIV/0!</v>
      </c>
      <c r="AQ42" s="1559">
        <v>0.84631135016197057</v>
      </c>
      <c r="AR42" s="1559">
        <v>0.66254345965022621</v>
      </c>
      <c r="AS42" s="1559">
        <v>0.73509433962264148</v>
      </c>
      <c r="AT42" s="1559">
        <v>0.73823783855726355</v>
      </c>
      <c r="AU42" s="1559" t="e">
        <v>#DIV/0!</v>
      </c>
      <c r="AV42" s="1559" t="e">
        <v>#DIV/0!</v>
      </c>
      <c r="AW42" s="1559" t="e">
        <v>#DIV/0!</v>
      </c>
      <c r="AX42" s="1559" t="e">
        <v>#DIV/0!</v>
      </c>
      <c r="AY42" s="1559" t="e">
        <v>#DIV/0!</v>
      </c>
      <c r="AZ42" s="1650">
        <v>0.79800000000000004</v>
      </c>
      <c r="BA42" s="1650">
        <v>0.83199999999999996</v>
      </c>
      <c r="BB42" s="1650">
        <v>0.68600000000000005</v>
      </c>
      <c r="BC42" s="1650">
        <v>0.77500000000000002</v>
      </c>
      <c r="BD42" s="1650">
        <v>0.74299999999999999</v>
      </c>
      <c r="BE42" s="1650">
        <v>0.76</v>
      </c>
      <c r="BF42" s="1650">
        <v>0.73199999999999998</v>
      </c>
      <c r="BG42" s="1528"/>
      <c r="BH42" s="1559">
        <v>1.1929239169401318</v>
      </c>
      <c r="BI42" s="1559">
        <v>1.0870011988354171</v>
      </c>
      <c r="BJ42" s="1545">
        <v>10.592271810471466</v>
      </c>
      <c r="BK42" s="1544"/>
      <c r="BL42" s="1528"/>
      <c r="BM42" s="1559">
        <v>1.1929239169401318</v>
      </c>
      <c r="BN42" s="1559">
        <v>1.0870011988354171</v>
      </c>
      <c r="BO42" s="1559">
        <v>0.94830804021469639</v>
      </c>
      <c r="BP42" s="1559">
        <v>1.8282970620987367</v>
      </c>
      <c r="BQ42" s="1649">
        <v>1.109123905041618</v>
      </c>
      <c r="BR42" s="1649">
        <v>0.84705638532879279</v>
      </c>
      <c r="BS42" s="1649">
        <v>1.130430106166247</v>
      </c>
      <c r="BT42" s="1649">
        <v>1.7317797355107143</v>
      </c>
      <c r="BU42" s="2103">
        <v>0.84754577726944114</v>
      </c>
      <c r="BV42" s="2103">
        <v>0.88438402018094942</v>
      </c>
      <c r="BW42" s="2106">
        <v>0.9721498505334174</v>
      </c>
      <c r="BX42" s="2106">
        <v>0.74974647601663114</v>
      </c>
      <c r="BY42" s="2106">
        <v>0.66735799362344184</v>
      </c>
      <c r="BZ42" s="2107">
        <v>0.70103675151192923</v>
      </c>
      <c r="CA42" s="2107">
        <v>0.70568967862786336</v>
      </c>
      <c r="CB42" s="2107">
        <v>0.73</v>
      </c>
      <c r="CC42" s="1484"/>
      <c r="CE42" s="2742"/>
      <c r="CF42" s="2742"/>
      <c r="CG42" s="2742"/>
    </row>
    <row r="43" spans="1:94" ht="12.75" customHeight="1" x14ac:dyDescent="0.2">
      <c r="A43" s="1546" t="s">
        <v>182</v>
      </c>
      <c r="B43" s="1547"/>
      <c r="C43" s="1545">
        <v>28.231947793309608</v>
      </c>
      <c r="D43" s="1544"/>
      <c r="E43" s="1513"/>
      <c r="F43" s="1514">
        <v>3.2134249754530038E-3</v>
      </c>
      <c r="G43" s="1559">
        <v>-0.49037662697313761</v>
      </c>
      <c r="H43" s="1559">
        <v>0.12967671630948058</v>
      </c>
      <c r="I43" s="1559">
        <v>-0.29323385118560918</v>
      </c>
      <c r="J43" s="1559">
        <v>-0.27910605295764307</v>
      </c>
      <c r="K43" s="1559">
        <v>-0.29216001839291872</v>
      </c>
      <c r="L43" s="1559">
        <v>2.6876047421016697E-2</v>
      </c>
      <c r="M43" s="1559">
        <v>9.4609016700798979E-2</v>
      </c>
      <c r="N43" s="1559">
        <v>-0.19259646632550148</v>
      </c>
      <c r="O43" s="1559">
        <v>0.28712011577424024</v>
      </c>
      <c r="P43" s="1559">
        <v>4.3422573490362687E-2</v>
      </c>
      <c r="Q43" s="1559">
        <v>-0.17854581958984655</v>
      </c>
      <c r="R43" s="1559">
        <v>-0.27011610502042965</v>
      </c>
      <c r="S43" s="1559">
        <v>-9.9032703823122986E-2</v>
      </c>
      <c r="T43" s="1559">
        <v>-4.0700725946627587</v>
      </c>
      <c r="U43" s="1559">
        <v>3.9124651138527349E-3</v>
      </c>
      <c r="V43" s="1559">
        <v>4.4127075365330622E-2</v>
      </c>
      <c r="W43" s="1559">
        <v>-0.39130434782608697</v>
      </c>
      <c r="X43" s="1559">
        <v>-0.60805335134222527</v>
      </c>
      <c r="Y43" s="1559">
        <v>0.16336127581271723</v>
      </c>
      <c r="Z43" s="1559">
        <v>0.10058999687122872</v>
      </c>
      <c r="AA43" s="1559">
        <v>0.19289275821131777</v>
      </c>
      <c r="AB43" s="1559">
        <v>0.22512061119819807</v>
      </c>
      <c r="AC43" s="1559">
        <v>8.7572200484441962E-3</v>
      </c>
      <c r="AD43" s="1559">
        <v>0.12638000444565189</v>
      </c>
      <c r="AE43" s="1559">
        <v>-0.11376009834913944</v>
      </c>
      <c r="AF43" s="1559">
        <v>-5.2476948110649069E-2</v>
      </c>
      <c r="AG43" s="1559">
        <v>-3.4713326843264843E-2</v>
      </c>
      <c r="AH43" s="1559">
        <v>-0.4023271731690623</v>
      </c>
      <c r="AI43" s="1559">
        <v>-1.3931322692714365</v>
      </c>
      <c r="AJ43" s="1559">
        <v>-7.8679008471917167E-2</v>
      </c>
      <c r="AK43" s="1559">
        <v>-0.42364532019704432</v>
      </c>
      <c r="AL43" s="1559">
        <v>-0.52282067921263253</v>
      </c>
      <c r="AM43" s="1559">
        <v>0.27029373462595863</v>
      </c>
      <c r="AN43" s="1559">
        <v>0.12661210848793863</v>
      </c>
      <c r="AO43" s="1559">
        <v>7.868906096629949E-2</v>
      </c>
      <c r="AP43" s="1559" t="e">
        <v>#REF!</v>
      </c>
      <c r="AQ43" s="1559">
        <v>9.9993887904162332E-2</v>
      </c>
      <c r="AR43" s="1559">
        <v>0.31154672676765027</v>
      </c>
      <c r="AS43" s="1559">
        <v>0.2130566037735849</v>
      </c>
      <c r="AT43" s="1559">
        <v>0.21321621082052306</v>
      </c>
      <c r="AU43" s="1559" t="e">
        <v>#REF!</v>
      </c>
      <c r="AV43" s="1559" t="e">
        <v>#REF!</v>
      </c>
      <c r="AW43" s="1559" t="e">
        <v>#REF!</v>
      </c>
      <c r="AX43" s="1559" t="e">
        <v>#REF!</v>
      </c>
      <c r="AY43" s="1559" t="e">
        <v>#REF!</v>
      </c>
      <c r="AZ43" s="1651" t="s">
        <v>181</v>
      </c>
      <c r="BA43" s="1651" t="s">
        <v>181</v>
      </c>
      <c r="BB43" s="1544"/>
      <c r="BC43" s="1544"/>
      <c r="BD43" s="1544"/>
      <c r="BE43" s="1544"/>
      <c r="BF43" s="1544"/>
      <c r="BG43" s="1652"/>
      <c r="BH43" s="1559">
        <v>-0.19292391694013181</v>
      </c>
      <c r="BI43" s="1559">
        <v>-8.7001198835417029E-2</v>
      </c>
      <c r="BJ43" s="1545">
        <v>-10.592271810471479</v>
      </c>
      <c r="BK43" s="1544"/>
      <c r="BL43" s="1652"/>
      <c r="BM43" s="1559">
        <v>-0.19292391694013181</v>
      </c>
      <c r="BN43" s="1559">
        <v>-8.7001198835417029E-2</v>
      </c>
      <c r="BO43" s="1559">
        <v>5.1691959785303651E-2</v>
      </c>
      <c r="BP43" s="1559">
        <v>-0.82829706209873655</v>
      </c>
      <c r="BQ43" s="1649">
        <v>-0.10912390504161804</v>
      </c>
      <c r="BR43" s="1649">
        <v>0.15294361467120726</v>
      </c>
      <c r="BS43" s="1649">
        <v>-0.13043010616624698</v>
      </c>
      <c r="BT43" s="1649">
        <v>-0.7317797355107144</v>
      </c>
      <c r="BU43" s="2103">
        <v>0.15245422273055884</v>
      </c>
      <c r="BV43" s="2103">
        <v>0.11561597981905063</v>
      </c>
      <c r="BW43" s="2106">
        <v>2.7850149466582562E-2</v>
      </c>
      <c r="BX43" s="2106">
        <v>0.25025352398336881</v>
      </c>
      <c r="BY43" s="2106" t="e">
        <v>#REF!</v>
      </c>
      <c r="BZ43" s="2107" t="e">
        <v>#REF!</v>
      </c>
      <c r="CA43" s="2107" t="e">
        <v>#REF!</v>
      </c>
      <c r="CB43" s="2107"/>
      <c r="CC43" s="1484"/>
      <c r="CE43" s="2742"/>
      <c r="CF43" s="2742"/>
      <c r="CG43" s="2742"/>
    </row>
    <row r="44" spans="1:94" ht="12.75" customHeight="1" x14ac:dyDescent="0.2">
      <c r="A44" s="1546" t="s">
        <v>77</v>
      </c>
      <c r="B44" s="1547"/>
      <c r="C44" s="1545">
        <v>30.593667848422619</v>
      </c>
      <c r="D44" s="1544"/>
      <c r="E44" s="1513"/>
      <c r="F44" s="1514">
        <v>-7.5872534142640367E-3</v>
      </c>
      <c r="G44" s="1559">
        <v>-0.51329271669897536</v>
      </c>
      <c r="H44" s="1559">
        <v>0.11011364226039126</v>
      </c>
      <c r="I44" s="1559">
        <v>-0.3311529026982829</v>
      </c>
      <c r="J44" s="1559">
        <v>-0.3135239318984902</v>
      </c>
      <c r="K44" s="1559">
        <v>-0.31408782618691805</v>
      </c>
      <c r="L44" s="1559">
        <v>4.1896840667866673E-3</v>
      </c>
      <c r="M44" s="1559">
        <v>7.3321987943119213E-2</v>
      </c>
      <c r="N44" s="1559">
        <v>-0.22012625602330879</v>
      </c>
      <c r="O44" s="1559">
        <v>0.27504421932786621</v>
      </c>
      <c r="P44" s="1559">
        <v>2.0430477023523165E-2</v>
      </c>
      <c r="Q44" s="1559">
        <v>-0.20468234619245662</v>
      </c>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c r="AN44" s="1559"/>
      <c r="AO44" s="1559"/>
      <c r="AP44" s="1559"/>
      <c r="AQ44" s="1559"/>
      <c r="AR44" s="1559"/>
      <c r="AS44" s="1559"/>
      <c r="AT44" s="1559"/>
      <c r="AU44" s="1559"/>
      <c r="AV44" s="1559"/>
      <c r="AW44" s="1559"/>
      <c r="AX44" s="1559"/>
      <c r="AY44" s="1559"/>
      <c r="AZ44" s="1650"/>
      <c r="BA44" s="1650"/>
      <c r="BB44" s="1650"/>
      <c r="BC44" s="1650"/>
      <c r="BD44" s="1650"/>
      <c r="BE44" s="1650"/>
      <c r="BF44" s="1650"/>
      <c r="BG44" s="1528"/>
      <c r="BH44" s="1559">
        <v>-0.21965456066330236</v>
      </c>
      <c r="BI44" s="1559">
        <v>-0.11011381151816158</v>
      </c>
      <c r="BJ44" s="1545">
        <v>-10.954074914514077</v>
      </c>
      <c r="BK44" s="1544"/>
      <c r="BL44" s="1528"/>
      <c r="BM44" s="1559">
        <v>-0.21965456066330236</v>
      </c>
      <c r="BN44" s="1559">
        <v>-0.11011381151816158</v>
      </c>
      <c r="BO44" s="1559">
        <v>3.1625480205977712E-2</v>
      </c>
      <c r="BP44" s="1559">
        <v>-0.84212733196772016</v>
      </c>
      <c r="BQ44" s="1559">
        <v>-0.1052634954021367</v>
      </c>
      <c r="BR44" s="1559">
        <v>0.1728817231650393</v>
      </c>
      <c r="BS44" s="1649"/>
      <c r="BT44" s="1649"/>
      <c r="BU44" s="2103"/>
      <c r="BV44" s="2103"/>
      <c r="BW44" s="2106"/>
      <c r="BX44" s="2106"/>
      <c r="BY44" s="2106"/>
      <c r="BZ44" s="2107"/>
      <c r="CA44" s="2107"/>
      <c r="CB44" s="2107"/>
      <c r="CC44" s="1484"/>
      <c r="CE44" s="2742"/>
      <c r="CF44" s="2742"/>
      <c r="CG44" s="2742"/>
    </row>
    <row r="45" spans="1:94" x14ac:dyDescent="0.2">
      <c r="BI45" s="2743"/>
      <c r="BJ45" s="2747"/>
      <c r="BK45" s="2747"/>
    </row>
    <row r="46" spans="1:94" ht="12.75" customHeight="1" x14ac:dyDescent="0.2">
      <c r="A46" s="1547" t="s">
        <v>723</v>
      </c>
      <c r="B46" s="1547"/>
      <c r="C46" s="1205">
        <v>-43</v>
      </c>
      <c r="D46" s="1544">
        <v>-0.21827411167512689</v>
      </c>
      <c r="E46" s="1513"/>
      <c r="F46" s="1159">
        <v>154</v>
      </c>
      <c r="G46" s="1159">
        <v>197</v>
      </c>
      <c r="H46" s="1205">
        <v>192</v>
      </c>
      <c r="I46" s="1205">
        <v>192</v>
      </c>
      <c r="J46" s="1205">
        <v>197</v>
      </c>
      <c r="K46" s="1205">
        <v>214</v>
      </c>
      <c r="L46" s="1205">
        <v>214</v>
      </c>
      <c r="M46" s="1205">
        <v>217</v>
      </c>
      <c r="N46" s="1205">
        <v>222</v>
      </c>
      <c r="O46" s="1205">
        <v>225</v>
      </c>
      <c r="P46" s="1205">
        <v>250</v>
      </c>
      <c r="Q46" s="1205">
        <v>250</v>
      </c>
      <c r="R46" s="1205">
        <v>255</v>
      </c>
      <c r="S46" s="1205">
        <v>282</v>
      </c>
      <c r="T46" s="1205">
        <v>294</v>
      </c>
      <c r="U46" s="1205">
        <v>304</v>
      </c>
      <c r="V46" s="1205">
        <v>321</v>
      </c>
      <c r="W46" s="1205">
        <v>329</v>
      </c>
      <c r="X46" s="1205">
        <v>373</v>
      </c>
      <c r="Y46" s="1205">
        <v>384</v>
      </c>
      <c r="Z46" s="1205">
        <v>372</v>
      </c>
      <c r="AA46" s="1205">
        <v>372</v>
      </c>
      <c r="AB46" s="1205">
        <v>361</v>
      </c>
      <c r="AC46" s="1205">
        <v>385</v>
      </c>
      <c r="AD46" s="1205">
        <v>388</v>
      </c>
      <c r="AE46" s="1205">
        <v>400</v>
      </c>
      <c r="AF46" s="1205">
        <v>424</v>
      </c>
      <c r="AG46" s="1205">
        <v>420</v>
      </c>
      <c r="AH46" s="1205">
        <v>427</v>
      </c>
      <c r="AI46" s="1205">
        <v>461</v>
      </c>
      <c r="AJ46" s="1205">
        <v>143</v>
      </c>
      <c r="AK46" s="1205">
        <v>152</v>
      </c>
      <c r="AL46" s="1205"/>
      <c r="AM46" s="1205"/>
      <c r="AN46" s="1205"/>
      <c r="AO46" s="1205"/>
      <c r="AP46" s="1205"/>
      <c r="AQ46" s="1205"/>
      <c r="AR46" s="1205"/>
      <c r="AS46" s="1205"/>
      <c r="AT46" s="1205"/>
      <c r="AU46" s="1205"/>
      <c r="AV46" s="1205"/>
      <c r="AW46" s="1205"/>
      <c r="AX46" s="1269"/>
      <c r="AY46" s="1269"/>
      <c r="AZ46" s="1271"/>
      <c r="BA46" s="1271"/>
      <c r="BB46" s="1271"/>
      <c r="BC46" s="1269"/>
      <c r="BD46" s="1269"/>
      <c r="BE46" s="1269"/>
      <c r="BF46" s="1269"/>
      <c r="BG46" s="1269"/>
      <c r="BH46" s="1269">
        <v>197</v>
      </c>
      <c r="BI46" s="1269">
        <v>214</v>
      </c>
      <c r="BJ46" s="1596">
        <v>-17</v>
      </c>
      <c r="BK46" s="1544">
        <v>-7.9439252336448593E-2</v>
      </c>
      <c r="BL46" s="1528"/>
      <c r="BM46" s="1269">
        <v>197</v>
      </c>
      <c r="BN46" s="1205">
        <v>214</v>
      </c>
      <c r="BO46" s="1205">
        <v>225</v>
      </c>
      <c r="BP46" s="1205">
        <v>282</v>
      </c>
      <c r="BQ46" s="1269">
        <v>329</v>
      </c>
      <c r="BR46" s="1269">
        <v>372</v>
      </c>
      <c r="BS46" s="1269">
        <v>400</v>
      </c>
      <c r="BT46" s="1269">
        <v>461</v>
      </c>
      <c r="BU46" s="1169">
        <v>143</v>
      </c>
      <c r="BV46" s="1169">
        <v>138</v>
      </c>
      <c r="BW46" s="1169">
        <v>105</v>
      </c>
      <c r="BX46" s="2106"/>
      <c r="BY46" s="1514"/>
      <c r="BZ46" s="2108"/>
      <c r="CA46" s="2108"/>
      <c r="CB46" s="2108"/>
      <c r="CC46" s="1486"/>
      <c r="CD46" s="2735"/>
      <c r="CE46" s="2736"/>
      <c r="CF46" s="2742"/>
      <c r="CG46" s="2742"/>
    </row>
    <row r="47" spans="1:94" ht="12.75" customHeight="1" x14ac:dyDescent="0.2">
      <c r="A47" s="1547"/>
      <c r="B47" s="1547"/>
      <c r="C47" s="1545"/>
      <c r="D47" s="1544"/>
      <c r="E47" s="1513"/>
      <c r="F47" s="1513"/>
      <c r="G47" s="1513"/>
      <c r="H47" s="1544"/>
      <c r="I47" s="1544"/>
      <c r="J47" s="1544"/>
      <c r="K47" s="1544"/>
      <c r="L47" s="1544"/>
      <c r="M47" s="1544"/>
      <c r="N47" s="1544"/>
      <c r="O47" s="1544"/>
      <c r="P47" s="1544"/>
      <c r="Q47" s="1544"/>
      <c r="R47" s="1205"/>
      <c r="S47" s="1544"/>
      <c r="T47" s="1544"/>
      <c r="U47" s="1544"/>
      <c r="V47" s="1205"/>
      <c r="W47" s="1544"/>
      <c r="X47" s="1544"/>
      <c r="Y47" s="1544"/>
      <c r="Z47" s="1205"/>
      <c r="AA47" s="1544"/>
      <c r="AB47" s="1544"/>
      <c r="AC47" s="1544"/>
      <c r="AD47" s="1205"/>
      <c r="AE47" s="1205"/>
      <c r="AF47" s="1205"/>
      <c r="AG47" s="1205"/>
      <c r="AH47" s="1205"/>
      <c r="AI47" s="1205"/>
      <c r="AJ47" s="1205"/>
      <c r="AK47" s="1205"/>
      <c r="AL47" s="1205"/>
      <c r="AM47" s="1205"/>
      <c r="AN47" s="1205"/>
      <c r="AO47" s="1205"/>
      <c r="AP47" s="1205"/>
      <c r="AQ47" s="1205"/>
      <c r="AR47" s="1205"/>
      <c r="AS47" s="1205"/>
      <c r="AT47" s="1205"/>
      <c r="AU47" s="1205"/>
      <c r="AV47" s="1205"/>
      <c r="AW47" s="1205"/>
      <c r="AX47" s="1269"/>
      <c r="AY47" s="1269"/>
      <c r="AZ47" s="1271"/>
      <c r="BA47" s="1271"/>
      <c r="BB47" s="1271"/>
      <c r="BC47" s="1269"/>
      <c r="BD47" s="1269"/>
      <c r="BE47" s="1269"/>
      <c r="BF47" s="1269"/>
      <c r="BG47" s="1269"/>
      <c r="BH47" s="1269"/>
      <c r="BI47" s="1269"/>
      <c r="BJ47" s="1596"/>
      <c r="BK47" s="1544"/>
      <c r="BL47" s="1528"/>
      <c r="BM47" s="1269"/>
      <c r="BN47" s="1269"/>
      <c r="BO47" s="1269"/>
      <c r="BP47" s="1269"/>
      <c r="BQ47" s="1269"/>
      <c r="BR47" s="1269"/>
      <c r="BS47" s="1269"/>
      <c r="BT47" s="1269"/>
      <c r="BU47" s="1169"/>
      <c r="BV47" s="1169"/>
      <c r="BW47" s="1169"/>
      <c r="BX47" s="2106"/>
      <c r="BY47" s="1514"/>
      <c r="BZ47" s="2108"/>
      <c r="CA47" s="2108"/>
      <c r="CB47" s="2108"/>
      <c r="CC47" s="1484"/>
      <c r="CE47" s="2742"/>
      <c r="CF47" s="2742"/>
      <c r="CG47" s="2742"/>
    </row>
    <row r="48" spans="1:94" ht="18" customHeight="1" x14ac:dyDescent="0.2">
      <c r="A48" s="2466" t="s">
        <v>619</v>
      </c>
      <c r="B48" s="1528"/>
      <c r="C48" s="1539"/>
      <c r="D48" s="1539"/>
      <c r="E48" s="1487"/>
      <c r="F48" s="1487"/>
      <c r="G48" s="1487"/>
      <c r="H48" s="1528"/>
      <c r="I48" s="1528"/>
      <c r="J48" s="1528"/>
      <c r="K48" s="1528"/>
      <c r="L48" s="1528"/>
      <c r="M48" s="1528"/>
      <c r="N48" s="1528"/>
      <c r="O48" s="1528"/>
      <c r="P48" s="1528"/>
      <c r="Q48" s="1528"/>
      <c r="R48" s="1528"/>
      <c r="S48" s="1657"/>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39"/>
      <c r="BB48" s="1539"/>
      <c r="BC48" s="1539"/>
      <c r="BD48" s="1539"/>
      <c r="BE48" s="1539"/>
      <c r="BF48" s="1539"/>
      <c r="BG48" s="1528"/>
      <c r="BH48" s="1539"/>
      <c r="BI48" s="1539"/>
      <c r="BJ48" s="2228"/>
      <c r="BK48" s="2228"/>
      <c r="BL48" s="1539"/>
      <c r="BM48" s="1539"/>
      <c r="BN48" s="1539"/>
      <c r="BO48" s="1539"/>
      <c r="BP48" s="1539"/>
      <c r="BQ48" s="1551"/>
      <c r="BR48" s="1551"/>
      <c r="BS48" s="1551"/>
      <c r="BT48" s="1551"/>
      <c r="BU48" s="2074"/>
      <c r="BV48" s="2074"/>
      <c r="BW48" s="2074"/>
      <c r="BX48" s="2074"/>
      <c r="BY48" s="2074"/>
      <c r="BZ48" s="2110"/>
      <c r="CA48" s="2110"/>
      <c r="CB48" s="2110"/>
      <c r="CC48" s="1484"/>
      <c r="CE48" s="2742"/>
      <c r="CF48" s="2742"/>
      <c r="CG48" s="2742"/>
    </row>
    <row r="49" spans="1:94" ht="12.75" customHeight="1" x14ac:dyDescent="0.2">
      <c r="A49" s="2468"/>
      <c r="B49" s="1528"/>
      <c r="C49" s="1539"/>
      <c r="D49" s="1539"/>
      <c r="E49" s="1487"/>
      <c r="F49" s="1969"/>
      <c r="G49" s="1969"/>
      <c r="H49" s="1779"/>
      <c r="I49" s="1779"/>
      <c r="J49" s="1779"/>
      <c r="K49" s="1779"/>
      <c r="L49" s="1779"/>
      <c r="M49" s="1779"/>
      <c r="N49" s="1779"/>
      <c r="O49" s="1779"/>
      <c r="P49" s="1779"/>
      <c r="Q49" s="1779"/>
      <c r="R49" s="1528"/>
      <c r="S49" s="1528"/>
      <c r="T49" s="1779"/>
      <c r="U49" s="1779"/>
      <c r="V49" s="1528"/>
      <c r="W49" s="1528"/>
      <c r="X49" s="1779"/>
      <c r="Y49" s="1779"/>
      <c r="Z49" s="1528"/>
      <c r="AA49" s="1528"/>
      <c r="AB49" s="1779"/>
      <c r="AC49" s="1779"/>
      <c r="AD49" s="1528"/>
      <c r="AE49" s="1528"/>
      <c r="AF49" s="1528"/>
      <c r="AG49" s="1779"/>
      <c r="AH49" s="1528"/>
      <c r="AI49" s="1528"/>
      <c r="AJ49" s="1528"/>
      <c r="AK49" s="1779"/>
      <c r="AL49" s="1528"/>
      <c r="AM49" s="1779"/>
      <c r="AN49" s="1528"/>
      <c r="AO49" s="1779"/>
      <c r="AP49" s="1528"/>
      <c r="AQ49" s="1779"/>
      <c r="AR49" s="1528"/>
      <c r="AS49" s="1779"/>
      <c r="AT49" s="1528"/>
      <c r="AU49" s="1779"/>
      <c r="AV49" s="1528"/>
      <c r="AW49" s="1528"/>
      <c r="AX49" s="1528"/>
      <c r="AY49" s="1528"/>
      <c r="AZ49" s="1528"/>
      <c r="BA49" s="1539"/>
      <c r="BB49" s="1539"/>
      <c r="BC49" s="1539"/>
      <c r="BD49" s="1539"/>
      <c r="BE49" s="1539"/>
      <c r="BF49" s="1539"/>
      <c r="BG49" s="1528"/>
      <c r="BH49" s="1539"/>
      <c r="BI49" s="1539"/>
      <c r="BJ49" s="2228"/>
      <c r="BK49" s="2228"/>
      <c r="BL49" s="1539"/>
      <c r="BM49" s="1539"/>
      <c r="BN49" s="1539"/>
      <c r="BO49" s="1539"/>
      <c r="BP49" s="1539"/>
      <c r="BQ49" s="1551"/>
      <c r="BR49" s="1551"/>
      <c r="BS49" s="1551"/>
      <c r="BT49" s="1551"/>
      <c r="BU49" s="2074"/>
      <c r="BV49" s="2074"/>
      <c r="BW49" s="2074"/>
      <c r="BX49" s="2074"/>
      <c r="BY49" s="2074"/>
      <c r="BZ49" s="2110"/>
      <c r="CA49" s="2110"/>
      <c r="CB49" s="2110"/>
      <c r="CC49" s="1484"/>
      <c r="CE49" s="2742"/>
      <c r="CF49" s="2742"/>
      <c r="CG49" s="2742"/>
    </row>
    <row r="50" spans="1:94" ht="12.75" customHeight="1" x14ac:dyDescent="0.2">
      <c r="A50" s="1527"/>
      <c r="B50" s="1528"/>
      <c r="C50" s="3195" t="s">
        <v>671</v>
      </c>
      <c r="D50" s="3196"/>
      <c r="E50" s="1488"/>
      <c r="F50" s="2469"/>
      <c r="G50" s="2469"/>
      <c r="H50" s="1528"/>
      <c r="I50" s="1528"/>
      <c r="J50" s="1528"/>
      <c r="K50" s="2506"/>
      <c r="L50" s="1528"/>
      <c r="M50" s="1528"/>
      <c r="N50" s="1528"/>
      <c r="O50" s="2506"/>
      <c r="P50" s="1528"/>
      <c r="Q50" s="1528"/>
      <c r="R50" s="2504"/>
      <c r="S50" s="2505"/>
      <c r="T50" s="1528"/>
      <c r="U50" s="1528"/>
      <c r="V50" s="2504"/>
      <c r="W50" s="2505"/>
      <c r="X50" s="1528"/>
      <c r="Y50" s="1528"/>
      <c r="Z50" s="2504"/>
      <c r="AA50" s="2505"/>
      <c r="AB50" s="1528"/>
      <c r="AC50" s="1528"/>
      <c r="AD50" s="2504"/>
      <c r="AE50" s="2505"/>
      <c r="AF50" s="2505"/>
      <c r="AG50" s="1528"/>
      <c r="AH50" s="2504"/>
      <c r="AI50" s="2505"/>
      <c r="AJ50" s="2505"/>
      <c r="AK50" s="1528"/>
      <c r="AL50" s="2504"/>
      <c r="AM50" s="1528"/>
      <c r="AN50" s="2505"/>
      <c r="AO50" s="1528"/>
      <c r="AP50" s="2504"/>
      <c r="AQ50" s="1528"/>
      <c r="AR50" s="2505"/>
      <c r="AS50" s="1528"/>
      <c r="AT50" s="2504"/>
      <c r="AU50" s="2505"/>
      <c r="AV50" s="2505"/>
      <c r="AW50" s="2505"/>
      <c r="AX50" s="2504"/>
      <c r="AY50" s="2505"/>
      <c r="AZ50" s="2505"/>
      <c r="BA50" s="2505"/>
      <c r="BB50" s="2505"/>
      <c r="BC50" s="2506"/>
      <c r="BD50" s="2504"/>
      <c r="BE50" s="2504"/>
      <c r="BF50" s="2504"/>
      <c r="BG50" s="1629"/>
      <c r="BH50" s="988" t="s">
        <v>660</v>
      </c>
      <c r="BI50" s="988"/>
      <c r="BJ50" s="988" t="s">
        <v>563</v>
      </c>
      <c r="BK50" s="989"/>
      <c r="BL50" s="1570"/>
      <c r="BM50" s="1571"/>
      <c r="BN50" s="1571"/>
      <c r="BO50" s="1571"/>
      <c r="BP50" s="1571"/>
      <c r="BQ50" s="1571"/>
      <c r="BR50" s="1571"/>
      <c r="BS50" s="1571"/>
      <c r="BT50" s="1571"/>
      <c r="BU50" s="2062"/>
      <c r="BV50" s="2062"/>
      <c r="BW50" s="2062"/>
      <c r="BX50" s="2111"/>
      <c r="BY50" s="2112"/>
      <c r="BZ50" s="2062"/>
      <c r="CA50" s="2062"/>
      <c r="CB50" s="2062"/>
      <c r="CC50" s="2065"/>
      <c r="CE50" s="2742"/>
      <c r="CF50" s="2742"/>
      <c r="CG50" s="2742"/>
    </row>
    <row r="51" spans="1:94" ht="12.75" customHeight="1" x14ac:dyDescent="0.2">
      <c r="A51" s="1527" t="s">
        <v>496</v>
      </c>
      <c r="B51" s="1528"/>
      <c r="C51" s="3197" t="s">
        <v>38</v>
      </c>
      <c r="D51" s="3198"/>
      <c r="E51" s="1511"/>
      <c r="F51" s="1948" t="s">
        <v>670</v>
      </c>
      <c r="G51" s="1948" t="s">
        <v>558</v>
      </c>
      <c r="H51" s="992" t="s">
        <v>559</v>
      </c>
      <c r="I51" s="992" t="s">
        <v>560</v>
      </c>
      <c r="J51" s="992" t="s">
        <v>561</v>
      </c>
      <c r="K51" s="994" t="s">
        <v>508</v>
      </c>
      <c r="L51" s="992" t="s">
        <v>507</v>
      </c>
      <c r="M51" s="992" t="s">
        <v>506</v>
      </c>
      <c r="N51" s="992" t="s">
        <v>505</v>
      </c>
      <c r="O51" s="994" t="s">
        <v>382</v>
      </c>
      <c r="P51" s="992" t="s">
        <v>383</v>
      </c>
      <c r="Q51" s="992" t="s">
        <v>384</v>
      </c>
      <c r="R51" s="993" t="s">
        <v>385</v>
      </c>
      <c r="S51" s="992" t="s">
        <v>368</v>
      </c>
      <c r="T51" s="992" t="s">
        <v>367</v>
      </c>
      <c r="U51" s="992" t="s">
        <v>366</v>
      </c>
      <c r="V51" s="993" t="s">
        <v>364</v>
      </c>
      <c r="W51" s="992" t="s">
        <v>348</v>
      </c>
      <c r="X51" s="992" t="s">
        <v>349</v>
      </c>
      <c r="Y51" s="992" t="s">
        <v>350</v>
      </c>
      <c r="Z51" s="993" t="s">
        <v>351</v>
      </c>
      <c r="AA51" s="1572" t="s">
        <v>315</v>
      </c>
      <c r="AB51" s="1572" t="s">
        <v>314</v>
      </c>
      <c r="AC51" s="1572" t="s">
        <v>313</v>
      </c>
      <c r="AD51" s="1573" t="s">
        <v>311</v>
      </c>
      <c r="AE51" s="1572" t="s">
        <v>270</v>
      </c>
      <c r="AF51" s="1572" t="s">
        <v>271</v>
      </c>
      <c r="AG51" s="1572" t="s">
        <v>272</v>
      </c>
      <c r="AH51" s="1573" t="s">
        <v>273</v>
      </c>
      <c r="AI51" s="1572" t="s">
        <v>223</v>
      </c>
      <c r="AJ51" s="1572" t="s">
        <v>224</v>
      </c>
      <c r="AK51" s="1572" t="s">
        <v>225</v>
      </c>
      <c r="AL51" s="1573" t="s">
        <v>222</v>
      </c>
      <c r="AM51" s="1572" t="s">
        <v>189</v>
      </c>
      <c r="AN51" s="1572" t="s">
        <v>190</v>
      </c>
      <c r="AO51" s="1572" t="s">
        <v>191</v>
      </c>
      <c r="AP51" s="1573" t="s">
        <v>192</v>
      </c>
      <c r="AQ51" s="1572" t="s">
        <v>121</v>
      </c>
      <c r="AR51" s="1572" t="s">
        <v>120</v>
      </c>
      <c r="AS51" s="1572" t="s">
        <v>119</v>
      </c>
      <c r="AT51" s="1573" t="s">
        <v>118</v>
      </c>
      <c r="AU51" s="1572" t="s">
        <v>81</v>
      </c>
      <c r="AV51" s="1572" t="s">
        <v>82</v>
      </c>
      <c r="AW51" s="1572" t="s">
        <v>83</v>
      </c>
      <c r="AX51" s="1573" t="s">
        <v>29</v>
      </c>
      <c r="AY51" s="1572" t="s">
        <v>30</v>
      </c>
      <c r="AZ51" s="1572" t="s">
        <v>31</v>
      </c>
      <c r="BA51" s="1572" t="s">
        <v>32</v>
      </c>
      <c r="BB51" s="1572" t="s">
        <v>33</v>
      </c>
      <c r="BC51" s="1574" t="s">
        <v>34</v>
      </c>
      <c r="BD51" s="1573" t="s">
        <v>35</v>
      </c>
      <c r="BE51" s="1573" t="s">
        <v>36</v>
      </c>
      <c r="BF51" s="1573" t="s">
        <v>37</v>
      </c>
      <c r="BG51" s="1569"/>
      <c r="BH51" s="990" t="s">
        <v>558</v>
      </c>
      <c r="BI51" s="990" t="s">
        <v>508</v>
      </c>
      <c r="BJ51" s="3071" t="s">
        <v>38</v>
      </c>
      <c r="BK51" s="3072"/>
      <c r="BL51" s="1656"/>
      <c r="BM51" s="994" t="s">
        <v>562</v>
      </c>
      <c r="BN51" s="994" t="s">
        <v>509</v>
      </c>
      <c r="BO51" s="994" t="s">
        <v>502</v>
      </c>
      <c r="BP51" s="994" t="s">
        <v>379</v>
      </c>
      <c r="BQ51" s="994" t="s">
        <v>360</v>
      </c>
      <c r="BR51" s="994" t="s">
        <v>317</v>
      </c>
      <c r="BS51" s="1574" t="s">
        <v>275</v>
      </c>
      <c r="BT51" s="1574" t="s">
        <v>227</v>
      </c>
      <c r="BU51" s="2066" t="s">
        <v>123</v>
      </c>
      <c r="BV51" s="2066" t="s">
        <v>122</v>
      </c>
      <c r="BW51" s="2066" t="s">
        <v>42</v>
      </c>
      <c r="BX51" s="2066" t="s">
        <v>39</v>
      </c>
      <c r="BY51" s="2067" t="s">
        <v>40</v>
      </c>
      <c r="BZ51" s="2067" t="s">
        <v>142</v>
      </c>
      <c r="CA51" s="2067" t="s">
        <v>143</v>
      </c>
      <c r="CB51" s="2067" t="s">
        <v>144</v>
      </c>
      <c r="CC51" s="2065"/>
      <c r="CE51" s="2742"/>
      <c r="CF51" s="2742"/>
      <c r="CG51" s="2742"/>
    </row>
    <row r="52" spans="1:94" ht="12.75" customHeight="1" x14ac:dyDescent="0.2">
      <c r="A52" s="1553"/>
      <c r="B52" s="1549" t="s">
        <v>4</v>
      </c>
      <c r="C52" s="1804">
        <v>615</v>
      </c>
      <c r="D52" s="1631">
        <v>2.8222660731494653E-2</v>
      </c>
      <c r="E52" s="2874"/>
      <c r="F52" s="2318">
        <v>22406</v>
      </c>
      <c r="G52" s="2318">
        <v>28888</v>
      </c>
      <c r="H52" s="1269">
        <v>38542</v>
      </c>
      <c r="I52" s="1269">
        <v>19568</v>
      </c>
      <c r="J52" s="1269">
        <v>21791</v>
      </c>
      <c r="K52" s="1198">
        <v>34796</v>
      </c>
      <c r="L52" s="1269">
        <v>32222</v>
      </c>
      <c r="M52" s="1269">
        <v>34669</v>
      </c>
      <c r="N52" s="1269">
        <v>26771</v>
      </c>
      <c r="O52" s="1198">
        <v>62190</v>
      </c>
      <c r="P52" s="1269">
        <v>32011</v>
      </c>
      <c r="Q52" s="1657">
        <v>27892</v>
      </c>
      <c r="R52" s="1657">
        <v>24719</v>
      </c>
      <c r="S52" s="2846">
        <v>32565</v>
      </c>
      <c r="T52" s="1657">
        <v>29341</v>
      </c>
      <c r="U52" s="1657">
        <v>38339</v>
      </c>
      <c r="V52" s="1658">
        <v>45233</v>
      </c>
      <c r="W52" s="1657">
        <v>38594</v>
      </c>
      <c r="X52" s="1657">
        <v>23692</v>
      </c>
      <c r="Y52" s="1657">
        <v>48910</v>
      </c>
      <c r="Z52" s="1658">
        <v>44746</v>
      </c>
      <c r="AA52" s="1657">
        <v>63175</v>
      </c>
      <c r="AB52" s="1657">
        <v>65707</v>
      </c>
      <c r="AC52" s="1657">
        <v>42936</v>
      </c>
      <c r="AD52" s="1658">
        <v>40489</v>
      </c>
      <c r="AE52" s="1657">
        <v>45552</v>
      </c>
      <c r="AF52" s="1657">
        <v>44248</v>
      </c>
      <c r="AG52" s="1657">
        <v>39034</v>
      </c>
      <c r="AH52" s="1658">
        <v>29220</v>
      </c>
      <c r="AI52" s="1657">
        <v>19861</v>
      </c>
      <c r="AJ52" s="1657">
        <v>12748</v>
      </c>
      <c r="AK52" s="1657">
        <v>9338</v>
      </c>
      <c r="AL52" s="1658">
        <v>9246</v>
      </c>
      <c r="AM52" s="1657">
        <v>34555</v>
      </c>
      <c r="AN52" s="1659">
        <v>23339</v>
      </c>
      <c r="AO52" s="1657">
        <v>18338</v>
      </c>
      <c r="AP52" s="1658">
        <v>0</v>
      </c>
      <c r="AQ52" s="1657">
        <v>32806</v>
      </c>
      <c r="AR52" s="1659">
        <v>58040</v>
      </c>
      <c r="AS52" s="1657">
        <v>27314</v>
      </c>
      <c r="AT52" s="1658">
        <v>30054</v>
      </c>
      <c r="AU52" s="1659">
        <v>25033</v>
      </c>
      <c r="AV52" s="1659">
        <v>12639</v>
      </c>
      <c r="AW52" s="1657">
        <v>23461</v>
      </c>
      <c r="AX52" s="1658">
        <v>34352</v>
      </c>
      <c r="AY52" s="1660">
        <v>31944</v>
      </c>
      <c r="AZ52" s="1660">
        <v>42952</v>
      </c>
      <c r="BA52" s="1660">
        <v>39210</v>
      </c>
      <c r="BB52" s="1660">
        <v>62549</v>
      </c>
      <c r="BC52" s="1661">
        <v>57382</v>
      </c>
      <c r="BD52" s="1662">
        <v>48897</v>
      </c>
      <c r="BE52" s="1662">
        <v>38533</v>
      </c>
      <c r="BF52" s="1663">
        <v>42750</v>
      </c>
      <c r="BG52" s="2876"/>
      <c r="BH52" s="1661">
        <v>108789</v>
      </c>
      <c r="BI52" s="1739">
        <v>128458</v>
      </c>
      <c r="BJ52" s="2893">
        <v>-19669</v>
      </c>
      <c r="BK52" s="1631">
        <v>-0.15311619361970449</v>
      </c>
      <c r="BL52" s="1551"/>
      <c r="BM52" s="1940">
        <v>108789</v>
      </c>
      <c r="BN52" s="1665">
        <v>128458</v>
      </c>
      <c r="BO52" s="1665">
        <v>146812</v>
      </c>
      <c r="BP52" s="1665">
        <v>145478</v>
      </c>
      <c r="BQ52" s="1684">
        <v>155942</v>
      </c>
      <c r="BR52" s="1684">
        <v>212307</v>
      </c>
      <c r="BS52" s="1684">
        <v>158054</v>
      </c>
      <c r="BT52" s="1684">
        <v>51193</v>
      </c>
      <c r="BU52" s="2124">
        <v>92677</v>
      </c>
      <c r="BV52" s="2124">
        <v>82454</v>
      </c>
      <c r="BW52" s="2124">
        <v>72926</v>
      </c>
      <c r="BX52" s="2124">
        <v>118332</v>
      </c>
      <c r="BY52" s="2115">
        <v>187562</v>
      </c>
      <c r="BZ52" s="2095">
        <v>150470</v>
      </c>
      <c r="CA52" s="2095">
        <v>95559</v>
      </c>
      <c r="CB52" s="2095">
        <v>211758</v>
      </c>
      <c r="CC52" s="2155"/>
      <c r="CD52" s="2735"/>
      <c r="CE52" s="1920">
        <v>211</v>
      </c>
      <c r="CF52" s="1180">
        <v>6.5914841773140479E-3</v>
      </c>
      <c r="CG52" s="1180">
        <v>404</v>
      </c>
      <c r="CH52" s="1180">
        <v>2.1631176554180606E-2</v>
      </c>
      <c r="CI52" s="1180"/>
      <c r="CJ52" s="1920">
        <v>93662</v>
      </c>
      <c r="CK52" s="1315">
        <v>15127</v>
      </c>
      <c r="CL52" s="1920"/>
      <c r="CM52" s="1315">
        <v>-19669</v>
      </c>
      <c r="CN52" s="1315">
        <v>-0.15311619361970449</v>
      </c>
      <c r="CO52" s="1315">
        <v>0</v>
      </c>
      <c r="CP52" s="1180">
        <v>0</v>
      </c>
    </row>
    <row r="53" spans="1:94" s="1919" customFormat="1" ht="12.75" customHeight="1" x14ac:dyDescent="0.2">
      <c r="A53" s="1551"/>
      <c r="B53" s="1549" t="s">
        <v>80</v>
      </c>
      <c r="C53" s="1533">
        <v>-4223</v>
      </c>
      <c r="D53" s="1536">
        <v>-0.15901645517189442</v>
      </c>
      <c r="E53" s="2877"/>
      <c r="F53" s="2318">
        <v>22334</v>
      </c>
      <c r="G53" s="2318">
        <v>31300</v>
      </c>
      <c r="H53" s="1657">
        <v>33544</v>
      </c>
      <c r="I53" s="1269">
        <v>25306</v>
      </c>
      <c r="J53" s="1269">
        <v>26557</v>
      </c>
      <c r="K53" s="1198">
        <v>32092</v>
      </c>
      <c r="L53" s="1269">
        <v>31356</v>
      </c>
      <c r="M53" s="1269">
        <v>31389</v>
      </c>
      <c r="N53" s="1269">
        <v>31479</v>
      </c>
      <c r="O53" s="1198">
        <v>44334</v>
      </c>
      <c r="P53" s="1269">
        <v>30621</v>
      </c>
      <c r="Q53" s="1657">
        <v>32872</v>
      </c>
      <c r="R53" s="1657">
        <v>31396</v>
      </c>
      <c r="S53" s="1679">
        <v>32446</v>
      </c>
      <c r="T53" s="1657">
        <v>41903</v>
      </c>
      <c r="U53" s="1657">
        <v>38189</v>
      </c>
      <c r="V53" s="1658">
        <v>43237</v>
      </c>
      <c r="W53" s="1657">
        <v>44553</v>
      </c>
      <c r="X53" s="1657">
        <v>38098</v>
      </c>
      <c r="Y53" s="1657">
        <v>40920</v>
      </c>
      <c r="Z53" s="1658">
        <v>40245</v>
      </c>
      <c r="AA53" s="1657">
        <v>50989</v>
      </c>
      <c r="AB53" s="1657">
        <v>50915</v>
      </c>
      <c r="AC53" s="1657">
        <v>41253</v>
      </c>
      <c r="AD53" s="1658"/>
      <c r="AE53" s="1657"/>
      <c r="AF53" s="1657"/>
      <c r="AG53" s="1657"/>
      <c r="AH53" s="1658"/>
      <c r="AI53" s="1657"/>
      <c r="AJ53" s="1657"/>
      <c r="AK53" s="1657"/>
      <c r="AL53" s="1658"/>
      <c r="AM53" s="1657"/>
      <c r="AN53" s="1657"/>
      <c r="AO53" s="1657"/>
      <c r="AP53" s="1658"/>
      <c r="AQ53" s="1657"/>
      <c r="AR53" s="1657"/>
      <c r="AS53" s="1657"/>
      <c r="AT53" s="1658"/>
      <c r="AU53" s="1657"/>
      <c r="AV53" s="1657"/>
      <c r="AW53" s="1657"/>
      <c r="AX53" s="1658"/>
      <c r="AY53" s="1660"/>
      <c r="AZ53" s="1660"/>
      <c r="BA53" s="1660"/>
      <c r="BB53" s="1660"/>
      <c r="BC53" s="1666"/>
      <c r="BD53" s="1662"/>
      <c r="BE53" s="1662"/>
      <c r="BF53" s="1662"/>
      <c r="BG53" s="2876"/>
      <c r="BH53" s="1666">
        <v>116707</v>
      </c>
      <c r="BI53" s="1660">
        <v>126316</v>
      </c>
      <c r="BJ53" s="2231">
        <v>-9609</v>
      </c>
      <c r="BK53" s="1669">
        <v>-7.6071123214794645E-2</v>
      </c>
      <c r="BL53" s="1551"/>
      <c r="BM53" s="1665">
        <v>116707</v>
      </c>
      <c r="BN53" s="1665">
        <v>126316</v>
      </c>
      <c r="BO53" s="1665">
        <v>139223</v>
      </c>
      <c r="BP53" s="1665">
        <v>155775</v>
      </c>
      <c r="BQ53" s="1684">
        <v>163816</v>
      </c>
      <c r="BR53" s="1684">
        <v>178529</v>
      </c>
      <c r="BS53" s="1684">
        <v>165961</v>
      </c>
      <c r="BT53" s="1684">
        <v>64311</v>
      </c>
      <c r="BU53" s="2124">
        <v>78548</v>
      </c>
      <c r="BV53" s="2124"/>
      <c r="BW53" s="2124"/>
      <c r="BX53" s="2116"/>
      <c r="BY53" s="2117"/>
      <c r="BZ53" s="2084"/>
      <c r="CA53" s="2084"/>
      <c r="CB53" s="2084"/>
      <c r="CC53" s="2156"/>
      <c r="CD53" s="925"/>
      <c r="CE53" s="1920">
        <v>735</v>
      </c>
      <c r="CF53" s="1180">
        <v>2.400313510336044E-2</v>
      </c>
      <c r="CG53" s="1180">
        <v>-4958</v>
      </c>
      <c r="CH53" s="1180">
        <v>-0.18301959027525486</v>
      </c>
      <c r="CI53" s="1180"/>
      <c r="CJ53" s="1920">
        <v>94224</v>
      </c>
      <c r="CK53" s="1315">
        <v>22483</v>
      </c>
      <c r="CL53" s="1920"/>
      <c r="CM53" s="1315">
        <v>-9609</v>
      </c>
      <c r="CN53" s="1315">
        <v>-7.6071123214794645E-2</v>
      </c>
      <c r="CO53" s="1315">
        <v>0</v>
      </c>
      <c r="CP53" s="1180">
        <v>0</v>
      </c>
    </row>
    <row r="54" spans="1:94" s="1919" customFormat="1" ht="12.75" customHeight="1" x14ac:dyDescent="0.2">
      <c r="A54" s="1551"/>
      <c r="B54" s="1541" t="s">
        <v>332</v>
      </c>
      <c r="C54" s="1533">
        <v>-508</v>
      </c>
      <c r="D54" s="1536">
        <v>-0.67733333333333334</v>
      </c>
      <c r="E54" s="2877"/>
      <c r="F54" s="2318">
        <v>242</v>
      </c>
      <c r="G54" s="2318">
        <v>662</v>
      </c>
      <c r="H54" s="1269">
        <v>754</v>
      </c>
      <c r="I54" s="1269">
        <v>742</v>
      </c>
      <c r="J54" s="1269">
        <v>750</v>
      </c>
      <c r="K54" s="1198">
        <v>763</v>
      </c>
      <c r="L54" s="1269">
        <v>731</v>
      </c>
      <c r="M54" s="1269">
        <v>738</v>
      </c>
      <c r="N54" s="1269">
        <v>737</v>
      </c>
      <c r="O54" s="1198">
        <v>751</v>
      </c>
      <c r="P54" s="1269">
        <v>736</v>
      </c>
      <c r="Q54" s="1657">
        <v>729</v>
      </c>
      <c r="R54" s="1657">
        <v>730</v>
      </c>
      <c r="S54" s="1679">
        <v>713</v>
      </c>
      <c r="T54" s="1657">
        <v>428</v>
      </c>
      <c r="U54" s="1657">
        <v>418</v>
      </c>
      <c r="V54" s="1658">
        <v>453</v>
      </c>
      <c r="W54" s="1269">
        <v>-144</v>
      </c>
      <c r="X54" s="1269">
        <v>-38</v>
      </c>
      <c r="Y54" s="1657"/>
      <c r="Z54" s="1658"/>
      <c r="AA54" s="1657"/>
      <c r="AB54" s="1657"/>
      <c r="AC54" s="1657"/>
      <c r="AD54" s="1658"/>
      <c r="AE54" s="1657"/>
      <c r="AF54" s="1657"/>
      <c r="AG54" s="1657"/>
      <c r="AH54" s="1658"/>
      <c r="AI54" s="1657"/>
      <c r="AJ54" s="1657"/>
      <c r="AK54" s="1657"/>
      <c r="AL54" s="1658"/>
      <c r="AM54" s="1657"/>
      <c r="AN54" s="1657"/>
      <c r="AO54" s="1657"/>
      <c r="AP54" s="1658"/>
      <c r="AQ54" s="1657"/>
      <c r="AR54" s="1657"/>
      <c r="AS54" s="1657"/>
      <c r="AT54" s="1658"/>
      <c r="AU54" s="1657"/>
      <c r="AV54" s="1657"/>
      <c r="AW54" s="1657"/>
      <c r="AX54" s="1658"/>
      <c r="AY54" s="1660"/>
      <c r="AZ54" s="1660"/>
      <c r="BA54" s="1660"/>
      <c r="BB54" s="1660"/>
      <c r="BC54" s="1666"/>
      <c r="BD54" s="1662"/>
      <c r="BE54" s="1662"/>
      <c r="BF54" s="1662"/>
      <c r="BG54" s="2876"/>
      <c r="BH54" s="1666">
        <v>2908</v>
      </c>
      <c r="BI54" s="1660">
        <v>2969</v>
      </c>
      <c r="BJ54" s="2231">
        <v>-61</v>
      </c>
      <c r="BK54" s="1669">
        <v>-2.0545638262041092E-2</v>
      </c>
      <c r="BL54" s="1551"/>
      <c r="BM54" s="1665">
        <v>2908</v>
      </c>
      <c r="BN54" s="1249">
        <v>2969</v>
      </c>
      <c r="BO54" s="1249">
        <v>2946</v>
      </c>
      <c r="BP54" s="1249">
        <v>2012</v>
      </c>
      <c r="BQ54" s="1265">
        <v>-602</v>
      </c>
      <c r="BR54" s="1265">
        <v>-4233</v>
      </c>
      <c r="BS54" s="1265">
        <v>-6736</v>
      </c>
      <c r="BT54" s="1265">
        <v>0</v>
      </c>
      <c r="BU54" s="2124"/>
      <c r="BV54" s="2124"/>
      <c r="BW54" s="2124"/>
      <c r="BX54" s="2116"/>
      <c r="BY54" s="2117"/>
      <c r="BZ54" s="2084"/>
      <c r="CA54" s="2084"/>
      <c r="CB54" s="2084"/>
      <c r="CC54" s="2156"/>
      <c r="CD54" s="925"/>
      <c r="CE54" s="1920">
        <v>-5</v>
      </c>
      <c r="CF54" s="1180">
        <v>-6.793478260869565E-3</v>
      </c>
      <c r="CG54" s="1180">
        <v>-503</v>
      </c>
      <c r="CH54" s="1180">
        <v>-0.67053985507246383</v>
      </c>
      <c r="CI54" s="1180"/>
      <c r="CJ54" s="1920">
        <v>2206</v>
      </c>
      <c r="CK54" s="1315">
        <v>702</v>
      </c>
      <c r="CL54" s="1920"/>
      <c r="CM54" s="1315">
        <v>-61</v>
      </c>
      <c r="CN54" s="1315">
        <v>-2.0545638262041092E-2</v>
      </c>
      <c r="CO54" s="1315">
        <v>0</v>
      </c>
      <c r="CP54" s="1180">
        <v>0</v>
      </c>
    </row>
    <row r="55" spans="1:94" s="1919" customFormat="1" ht="24.75" customHeight="1" x14ac:dyDescent="0.2">
      <c r="A55" s="1551"/>
      <c r="B55" s="2232" t="s">
        <v>72</v>
      </c>
      <c r="C55" s="1537">
        <v>5346</v>
      </c>
      <c r="D55" s="1538">
        <v>0.96918056562726618</v>
      </c>
      <c r="E55" s="2877"/>
      <c r="F55" s="2210">
        <v>-170</v>
      </c>
      <c r="G55" s="2210">
        <v>-3074</v>
      </c>
      <c r="H55" s="1304">
        <v>4244</v>
      </c>
      <c r="I55" s="1304">
        <v>-6480</v>
      </c>
      <c r="J55" s="1304">
        <v>-5516</v>
      </c>
      <c r="K55" s="1307">
        <v>1941</v>
      </c>
      <c r="L55" s="1304">
        <v>135</v>
      </c>
      <c r="M55" s="1304">
        <v>2542</v>
      </c>
      <c r="N55" s="1304">
        <v>-5445</v>
      </c>
      <c r="O55" s="1307">
        <v>17105</v>
      </c>
      <c r="P55" s="1304">
        <v>654</v>
      </c>
      <c r="Q55" s="1304">
        <v>-5709</v>
      </c>
      <c r="R55" s="1304">
        <v>-7407</v>
      </c>
      <c r="S55" s="1307">
        <v>-594</v>
      </c>
      <c r="T55" s="1304">
        <v>-12990</v>
      </c>
      <c r="U55" s="1304">
        <v>-268</v>
      </c>
      <c r="V55" s="1673">
        <v>1543</v>
      </c>
      <c r="W55" s="1304">
        <v>-5815</v>
      </c>
      <c r="X55" s="1304">
        <v>-14368</v>
      </c>
      <c r="Y55" s="1672">
        <v>8195</v>
      </c>
      <c r="Z55" s="1673">
        <v>4716</v>
      </c>
      <c r="AA55" s="1672">
        <v>13720</v>
      </c>
      <c r="AB55" s="1672">
        <v>16068</v>
      </c>
      <c r="AC55" s="1672" t="e">
        <v>#REF!</v>
      </c>
      <c r="AD55" s="1673" t="e">
        <v>#REF!</v>
      </c>
      <c r="AE55" s="1304" t="e">
        <v>#REF!</v>
      </c>
      <c r="AF55" s="1304" t="e">
        <v>#REF!</v>
      </c>
      <c r="AG55" s="1304" t="e">
        <v>#REF!</v>
      </c>
      <c r="AH55" s="1458" t="e">
        <v>#REF!</v>
      </c>
      <c r="AI55" s="1304" t="e">
        <v>#REF!</v>
      </c>
      <c r="AJ55" s="1304" t="e">
        <v>#REF!</v>
      </c>
      <c r="AK55" s="1304" t="e">
        <v>#REF!</v>
      </c>
      <c r="AL55" s="1458" t="e">
        <v>#REF!</v>
      </c>
      <c r="AM55" s="1304" t="e">
        <v>#REF!</v>
      </c>
      <c r="AN55" s="1304"/>
      <c r="AO55" s="1304"/>
      <c r="AP55" s="1458"/>
      <c r="AQ55" s="1304"/>
      <c r="AR55" s="1304"/>
      <c r="AS55" s="1304"/>
      <c r="AT55" s="1458"/>
      <c r="AU55" s="1304"/>
      <c r="AV55" s="1304"/>
      <c r="AW55" s="1304"/>
      <c r="AX55" s="1458"/>
      <c r="AY55" s="1304"/>
      <c r="AZ55" s="1304"/>
      <c r="BA55" s="1304"/>
      <c r="BB55" s="1304"/>
      <c r="BC55" s="1307"/>
      <c r="BD55" s="1253"/>
      <c r="BE55" s="1253"/>
      <c r="BF55" s="1253"/>
      <c r="BG55" s="1476"/>
      <c r="BH55" s="1307">
        <v>-10826</v>
      </c>
      <c r="BI55" s="1304">
        <v>-827</v>
      </c>
      <c r="BJ55" s="2894">
        <v>-9999</v>
      </c>
      <c r="BK55" s="1557" t="s">
        <v>41</v>
      </c>
      <c r="BL55" s="1551"/>
      <c r="BM55" s="1478">
        <v>-10826</v>
      </c>
      <c r="BN55" s="1274">
        <v>-827</v>
      </c>
      <c r="BO55" s="1274">
        <v>4643</v>
      </c>
      <c r="BP55" s="1274">
        <v>-12309</v>
      </c>
      <c r="BQ55" s="1274">
        <v>-7272</v>
      </c>
      <c r="BR55" s="1694">
        <v>38011</v>
      </c>
      <c r="BS55" s="1274">
        <v>-1171</v>
      </c>
      <c r="BT55" s="1274">
        <v>-13118</v>
      </c>
      <c r="BU55" s="2121">
        <v>14129</v>
      </c>
      <c r="BV55" s="2121" t="e">
        <v>#REF!</v>
      </c>
      <c r="BW55" s="2121" t="e">
        <v>#REF!</v>
      </c>
      <c r="BX55" s="1516"/>
      <c r="BY55" s="1516"/>
      <c r="BZ55" s="1504"/>
      <c r="CA55" s="1504"/>
      <c r="CB55" s="1504"/>
      <c r="CC55" s="2158"/>
      <c r="CD55" s="925"/>
      <c r="CE55" s="1920">
        <v>-519</v>
      </c>
      <c r="CF55" s="1180">
        <v>-0.79357798165137616</v>
      </c>
      <c r="CG55" s="1180">
        <v>5865</v>
      </c>
      <c r="CH55" s="1180">
        <v>1.7627585472786422</v>
      </c>
      <c r="CI55" s="1180"/>
      <c r="CJ55" s="1920">
        <v>-2768</v>
      </c>
      <c r="CK55" s="1315">
        <v>-8058</v>
      </c>
      <c r="CL55" s="1920"/>
      <c r="CM55" s="1315">
        <v>-9999</v>
      </c>
      <c r="CN55" s="1315">
        <v>12.090689238210398</v>
      </c>
      <c r="CO55" s="1315">
        <v>0</v>
      </c>
      <c r="CP55" s="1180" t="e">
        <v>#VALUE!</v>
      </c>
    </row>
    <row r="56" spans="1:94" s="1919" customFormat="1" ht="12.75" customHeight="1" x14ac:dyDescent="0.2">
      <c r="A56" s="1551"/>
      <c r="B56" s="1549"/>
      <c r="C56" s="1558"/>
      <c r="D56" s="1559"/>
      <c r="E56" s="1514"/>
      <c r="F56" s="1487"/>
      <c r="G56" s="1487"/>
      <c r="H56" s="1528"/>
      <c r="I56" s="1528"/>
      <c r="J56" s="1528"/>
      <c r="K56" s="1528"/>
      <c r="L56" s="1528"/>
      <c r="M56" s="1528"/>
      <c r="N56" s="1528"/>
      <c r="O56" s="1528"/>
      <c r="P56" s="1528"/>
      <c r="Q56" s="1528"/>
      <c r="R56" s="1549"/>
      <c r="S56" s="1528"/>
      <c r="T56" s="1528"/>
      <c r="U56" s="1528"/>
      <c r="V56" s="1549"/>
      <c r="W56" s="1559"/>
      <c r="X56" s="1528"/>
      <c r="Y56" s="1528"/>
      <c r="Z56" s="1549"/>
      <c r="AA56" s="1559"/>
      <c r="AB56" s="1528"/>
      <c r="AC56" s="1528"/>
      <c r="AD56" s="1549"/>
      <c r="AE56" s="1559"/>
      <c r="AF56" s="1559"/>
      <c r="AG56" s="1528"/>
      <c r="AH56" s="1549"/>
      <c r="AI56" s="1559"/>
      <c r="AJ56" s="1559"/>
      <c r="AK56" s="1528"/>
      <c r="AL56" s="1549"/>
      <c r="AM56" s="1559"/>
      <c r="AN56" s="1559"/>
      <c r="AO56" s="1559"/>
      <c r="AP56" s="1549"/>
      <c r="AQ56" s="1559"/>
      <c r="AR56" s="1559"/>
      <c r="AS56" s="1559"/>
      <c r="AT56" s="1549"/>
      <c r="AU56" s="1559"/>
      <c r="AV56" s="1559"/>
      <c r="AW56" s="1559"/>
      <c r="AX56" s="1549"/>
      <c r="AY56" s="1551"/>
      <c r="AZ56" s="1551"/>
      <c r="BA56" s="1551"/>
      <c r="BB56" s="1551"/>
      <c r="BC56" s="1551"/>
      <c r="BD56" s="1551"/>
      <c r="BE56" s="1551"/>
      <c r="BF56" s="1551"/>
      <c r="BG56" s="1549"/>
      <c r="BH56" s="1559"/>
      <c r="BI56" s="1559"/>
      <c r="BJ56" s="1676"/>
      <c r="BK56" s="1677"/>
      <c r="BL56" s="1549"/>
      <c r="BM56" s="1528"/>
      <c r="BN56" s="1528"/>
      <c r="BO56" s="1528"/>
      <c r="BP56" s="1528"/>
      <c r="BQ56" s="1528"/>
      <c r="BR56" s="1528"/>
      <c r="BS56" s="1528"/>
      <c r="BT56" s="1528"/>
      <c r="BU56" s="1487"/>
      <c r="BV56" s="1487"/>
      <c r="BW56" s="1487"/>
      <c r="BX56" s="2092"/>
      <c r="BY56" s="2092"/>
      <c r="BZ56" s="1504"/>
      <c r="CA56" s="1504"/>
      <c r="CB56" s="1504"/>
      <c r="CC56" s="2158"/>
      <c r="CD56" s="925"/>
      <c r="CE56" s="2756"/>
      <c r="CF56" s="2756"/>
      <c r="CG56" s="2756"/>
    </row>
    <row r="57" spans="1:94" s="1919" customFormat="1" ht="12.75" customHeight="1" x14ac:dyDescent="0.2">
      <c r="A57" s="1551"/>
      <c r="B57" s="1204" t="s">
        <v>623</v>
      </c>
      <c r="C57" s="1545">
        <v>-15.161483559461253</v>
      </c>
      <c r="D57" s="1559"/>
      <c r="E57" s="1514"/>
      <c r="F57" s="1514">
        <v>0.59323395519057398</v>
      </c>
      <c r="G57" s="1514">
        <v>0.73089171974522293</v>
      </c>
      <c r="H57" s="1559">
        <v>0.62469513777178143</v>
      </c>
      <c r="I57" s="1559">
        <v>0.86140637775960749</v>
      </c>
      <c r="J57" s="1559">
        <v>0.74484879078518651</v>
      </c>
      <c r="K57" s="1559">
        <v>0.63406713415335092</v>
      </c>
      <c r="L57" s="1559">
        <v>0.63919061510769037</v>
      </c>
      <c r="M57" s="1559">
        <v>0.62568865557125963</v>
      </c>
      <c r="N57" s="1559">
        <v>0.79728063949796424</v>
      </c>
      <c r="O57" s="1559">
        <v>0.53870397169963014</v>
      </c>
      <c r="P57" s="1559">
        <v>0.63331354846771426</v>
      </c>
      <c r="Q57" s="1559">
        <v>0.79287967876093501</v>
      </c>
      <c r="R57" s="1559">
        <v>0.81589061046158828</v>
      </c>
      <c r="S57" s="1559">
        <v>0.59293720251804083</v>
      </c>
      <c r="T57" s="1528"/>
      <c r="U57" s="1528"/>
      <c r="V57" s="1549"/>
      <c r="W57" s="1559"/>
      <c r="X57" s="1528"/>
      <c r="Y57" s="1528"/>
      <c r="Z57" s="1549"/>
      <c r="AA57" s="1559"/>
      <c r="AB57" s="1528"/>
      <c r="AC57" s="1528"/>
      <c r="AD57" s="1549"/>
      <c r="AE57" s="1559"/>
      <c r="AF57" s="1559"/>
      <c r="AG57" s="1528"/>
      <c r="AH57" s="1549"/>
      <c r="AI57" s="1559"/>
      <c r="AJ57" s="1559"/>
      <c r="AK57" s="1528"/>
      <c r="AL57" s="1549"/>
      <c r="AM57" s="1559"/>
      <c r="AN57" s="1559"/>
      <c r="AO57" s="1559"/>
      <c r="AP57" s="1549"/>
      <c r="AQ57" s="1559"/>
      <c r="AR57" s="1559"/>
      <c r="AS57" s="1559"/>
      <c r="AT57" s="1549"/>
      <c r="AU57" s="1559"/>
      <c r="AV57" s="1559"/>
      <c r="AW57" s="1559"/>
      <c r="AX57" s="1549"/>
      <c r="AY57" s="1551"/>
      <c r="AZ57" s="1551"/>
      <c r="BA57" s="1551"/>
      <c r="BB57" s="1551"/>
      <c r="BC57" s="1551"/>
      <c r="BD57" s="1551"/>
      <c r="BE57" s="1551"/>
      <c r="BF57" s="1551"/>
      <c r="BG57" s="1549"/>
      <c r="BH57" s="1559">
        <v>0.7195396593405583</v>
      </c>
      <c r="BI57" s="1559">
        <v>0.66710520170016663</v>
      </c>
      <c r="BJ57" s="1545">
        <v>5.2434457640391674</v>
      </c>
      <c r="BK57" s="1677"/>
      <c r="BL57" s="1549"/>
      <c r="BM57" s="1559">
        <v>0.7195396593405583</v>
      </c>
      <c r="BN57" s="1559">
        <v>0.66710520170016663</v>
      </c>
      <c r="BO57" s="1559">
        <v>0.65429256464049257</v>
      </c>
      <c r="BP57" s="1559">
        <v>0.69316322742957703</v>
      </c>
      <c r="BQ57" s="1559">
        <v>0.68778135460619971</v>
      </c>
      <c r="BR57" s="1559">
        <v>0.57939681687367817</v>
      </c>
      <c r="BS57" s="1528"/>
      <c r="BT57" s="1528"/>
      <c r="BU57" s="1487"/>
      <c r="BV57" s="1487"/>
      <c r="BW57" s="1487"/>
      <c r="BX57" s="2092"/>
      <c r="BY57" s="2092"/>
      <c r="BZ57" s="1504"/>
      <c r="CA57" s="1504"/>
      <c r="CB57" s="1504"/>
      <c r="CC57" s="2158"/>
      <c r="CD57" s="925"/>
      <c r="CE57" s="2756"/>
      <c r="CF57" s="2756"/>
      <c r="CG57" s="2756"/>
    </row>
    <row r="58" spans="1:94" ht="12.75" customHeight="1" x14ac:dyDescent="0.2">
      <c r="A58" s="1551"/>
      <c r="B58" s="1546" t="s">
        <v>75</v>
      </c>
      <c r="C58" s="1545">
        <v>-7.0312737423610328</v>
      </c>
      <c r="D58" s="1559"/>
      <c r="E58" s="1514"/>
      <c r="F58" s="1514">
        <v>0.40355261983397306</v>
      </c>
      <c r="G58" s="1514">
        <v>0.352603157020216</v>
      </c>
      <c r="H58" s="1559">
        <v>0.24562814591873799</v>
      </c>
      <c r="I58" s="1559">
        <v>0.43182747342600164</v>
      </c>
      <c r="J58" s="1559">
        <v>0.47386535725758339</v>
      </c>
      <c r="K58" s="1559">
        <v>0.28822278422807218</v>
      </c>
      <c r="L58" s="1559">
        <v>0.33393333747129289</v>
      </c>
      <c r="M58" s="1559">
        <v>0.2797023277279414</v>
      </c>
      <c r="N58" s="1559">
        <v>0.37858130066116319</v>
      </c>
      <c r="O58" s="1559">
        <v>0.1741759125261296</v>
      </c>
      <c r="P58" s="1559">
        <v>0.32326387804192308</v>
      </c>
      <c r="Q58" s="1559">
        <v>0.38566614082891154</v>
      </c>
      <c r="R58" s="1559">
        <v>0.45422549455884137</v>
      </c>
      <c r="S58" s="1559">
        <v>0.40340856748042375</v>
      </c>
      <c r="T58" s="1559">
        <v>0.46521931767833408</v>
      </c>
      <c r="U58" s="1559">
        <v>0.37669214116174132</v>
      </c>
      <c r="V58" s="1559">
        <v>0.30300886520902881</v>
      </c>
      <c r="W58" s="1559">
        <v>0.38099186402031404</v>
      </c>
      <c r="X58" s="1559">
        <v>0.68432382238730372</v>
      </c>
      <c r="Y58" s="1559">
        <v>0.24647311388264159</v>
      </c>
      <c r="Z58" s="1559">
        <v>0.30371429848478076</v>
      </c>
      <c r="AA58" s="1559">
        <v>0.21223585278986942</v>
      </c>
      <c r="AB58" s="1559">
        <v>0.19670659138295768</v>
      </c>
      <c r="AC58" s="1559">
        <v>0.37497670952114776</v>
      </c>
      <c r="AD58" s="1559">
        <v>-0.55042110202771122</v>
      </c>
      <c r="AE58" s="1559">
        <v>-0.67935546188970841</v>
      </c>
      <c r="AF58" s="1559">
        <v>-0.63074037244621228</v>
      </c>
      <c r="AG58" s="1559">
        <v>-0.70912537787569807</v>
      </c>
      <c r="AH58" s="1559">
        <v>-0.77210814510609171</v>
      </c>
      <c r="AI58" s="1559">
        <v>-0.81169125421680677</v>
      </c>
      <c r="AJ58" s="1559">
        <v>-0.60260433009099468</v>
      </c>
      <c r="AK58" s="1559">
        <v>-0.8218033840222746</v>
      </c>
      <c r="AL58" s="1559">
        <v>-0.80856586632057104</v>
      </c>
      <c r="AM58" s="1559">
        <v>-0.53555201852119805</v>
      </c>
      <c r="AN58" s="1559">
        <v>-0.61150863361755003</v>
      </c>
      <c r="AO58" s="1559">
        <v>-0.59477587523175923</v>
      </c>
      <c r="AP58" s="1559" t="e">
        <v>#DIV/0!</v>
      </c>
      <c r="AQ58" s="1559">
        <v>0.1537803312755944</v>
      </c>
      <c r="AR58" s="1559">
        <v>0.10480982581197477</v>
      </c>
      <c r="AS58" s="1559">
        <v>0.15381132075471698</v>
      </c>
      <c r="AT58" s="1559">
        <v>0.14983030545018966</v>
      </c>
      <c r="AU58" s="1559" t="e">
        <v>#DIV/0!</v>
      </c>
      <c r="AV58" s="1559" t="e">
        <v>#DIV/0!</v>
      </c>
      <c r="AW58" s="1559" t="e">
        <v>#DIV/0!</v>
      </c>
      <c r="AX58" s="1559" t="e">
        <v>#DIV/0!</v>
      </c>
      <c r="AY58" s="1559" t="e">
        <v>#DIV/0!</v>
      </c>
      <c r="AZ58" s="1650">
        <v>0.22941514650995137</v>
      </c>
      <c r="BA58" s="1650">
        <v>0.30967430476810637</v>
      </c>
      <c r="BB58" s="1650">
        <v>0.16900000000000004</v>
      </c>
      <c r="BC58" s="1650">
        <v>0.21100000000000008</v>
      </c>
      <c r="BD58" s="1650">
        <v>0.20399999999999996</v>
      </c>
      <c r="BE58" s="1650">
        <v>0.249</v>
      </c>
      <c r="BF58" s="1650">
        <v>0.17899999999999994</v>
      </c>
      <c r="BG58" s="1549"/>
      <c r="BH58" s="1559">
        <v>0.35324343453841839</v>
      </c>
      <c r="BI58" s="1559">
        <v>0.31622008749941616</v>
      </c>
      <c r="BJ58" s="1545">
        <v>3.702334703900223</v>
      </c>
      <c r="BK58" s="1677"/>
      <c r="BL58" s="1549"/>
      <c r="BM58" s="1559">
        <v>0.35324343453841839</v>
      </c>
      <c r="BN58" s="1559">
        <v>0.31622008749941616</v>
      </c>
      <c r="BO58" s="1559">
        <v>0.29401547557420377</v>
      </c>
      <c r="BP58" s="1559">
        <v>0.37761723422098187</v>
      </c>
      <c r="BQ58" s="1650">
        <v>0.3627117774557207</v>
      </c>
      <c r="BR58" s="1650">
        <v>0.26150338896032632</v>
      </c>
      <c r="BS58" s="1650">
        <v>0.35978209978867981</v>
      </c>
      <c r="BT58" s="1650">
        <v>0.49534115992420841</v>
      </c>
      <c r="BU58" s="2106">
        <v>0.27604475759897279</v>
      </c>
      <c r="BV58" s="2106">
        <v>0.13384477827906055</v>
      </c>
      <c r="BW58" s="2106">
        <v>0.38502043167046046</v>
      </c>
      <c r="BX58" s="2106">
        <v>0.19347260250819728</v>
      </c>
      <c r="BY58" s="2106">
        <v>0.13159381964363784</v>
      </c>
      <c r="BZ58" s="2105">
        <v>0.13831328504020735</v>
      </c>
      <c r="CA58" s="2105">
        <v>0.13580091880408962</v>
      </c>
      <c r="CB58" s="2105">
        <v>0.10299999999999998</v>
      </c>
      <c r="CC58" s="1486"/>
      <c r="CD58" s="2735"/>
      <c r="CE58" s="2742"/>
      <c r="CF58" s="2742"/>
      <c r="CG58" s="2742"/>
      <c r="CH58" s="1077"/>
      <c r="CI58" s="1077"/>
      <c r="CJ58" s="1077"/>
      <c r="CK58" s="1077"/>
      <c r="CL58" s="1077"/>
    </row>
    <row r="59" spans="1:94" ht="12.75" customHeight="1" x14ac:dyDescent="0.2">
      <c r="A59" s="1551"/>
      <c r="B59" s="1546" t="s">
        <v>76</v>
      </c>
      <c r="C59" s="1545">
        <v>-22.192757301822287</v>
      </c>
      <c r="D59" s="1559"/>
      <c r="E59" s="1514"/>
      <c r="F59" s="1514">
        <v>0.99678657502454704</v>
      </c>
      <c r="G59" s="1514">
        <v>1.0834948767654389</v>
      </c>
      <c r="H59" s="1559">
        <v>0.87032328369051948</v>
      </c>
      <c r="I59" s="1559">
        <v>1.2932338511856092</v>
      </c>
      <c r="J59" s="1559">
        <v>1.2187141480427699</v>
      </c>
      <c r="K59" s="1559">
        <v>0.92228991838142316</v>
      </c>
      <c r="L59" s="1559">
        <v>0.97312395257898332</v>
      </c>
      <c r="M59" s="1559">
        <v>0.90539098329920098</v>
      </c>
      <c r="N59" s="1559">
        <v>1.1758619401591275</v>
      </c>
      <c r="O59" s="1559">
        <v>0.71287988422575976</v>
      </c>
      <c r="P59" s="1559">
        <v>0.95657742650963729</v>
      </c>
      <c r="Q59" s="1559">
        <v>1.1785458195898466</v>
      </c>
      <c r="R59" s="1559">
        <v>1.2701161050204297</v>
      </c>
      <c r="S59" s="1559">
        <v>0.99634576999846458</v>
      </c>
      <c r="T59" s="1559">
        <v>1.4281381002692477</v>
      </c>
      <c r="U59" s="1559">
        <v>0.99608753488614732</v>
      </c>
      <c r="V59" s="1559">
        <v>0.95587292463466933</v>
      </c>
      <c r="W59" s="1559">
        <v>1.1544022386899517</v>
      </c>
      <c r="X59" s="1559">
        <v>1.6080533513422253</v>
      </c>
      <c r="Y59" s="1559">
        <v>0.8366387241872828</v>
      </c>
      <c r="Z59" s="1559">
        <v>0.89941000312877128</v>
      </c>
      <c r="AA59" s="1559">
        <v>0.80710724178868221</v>
      </c>
      <c r="AB59" s="1559">
        <v>0.77487938880180196</v>
      </c>
      <c r="AC59" s="1559">
        <v>0.96080212409167132</v>
      </c>
      <c r="AD59" s="1559">
        <v>0</v>
      </c>
      <c r="AE59" s="1559">
        <v>0</v>
      </c>
      <c r="AF59" s="1559">
        <v>0</v>
      </c>
      <c r="AG59" s="1559">
        <v>0</v>
      </c>
      <c r="AH59" s="1559">
        <v>0</v>
      </c>
      <c r="AI59" s="1559">
        <v>0</v>
      </c>
      <c r="AJ59" s="1559">
        <v>0</v>
      </c>
      <c r="AK59" s="1559">
        <v>0</v>
      </c>
      <c r="AL59" s="1559">
        <v>0</v>
      </c>
      <c r="AM59" s="1559">
        <v>0</v>
      </c>
      <c r="AN59" s="1559">
        <v>0</v>
      </c>
      <c r="AO59" s="1559">
        <v>0</v>
      </c>
      <c r="AP59" s="1559" t="e">
        <v>#DIV/0!</v>
      </c>
      <c r="AQ59" s="1559">
        <v>0.69350895422040215</v>
      </c>
      <c r="AR59" s="1559">
        <v>0.66254345965022621</v>
      </c>
      <c r="AS59" s="1559">
        <v>0.73509433962264148</v>
      </c>
      <c r="AT59" s="1559">
        <v>0.73823783855726355</v>
      </c>
      <c r="AU59" s="1559">
        <v>0</v>
      </c>
      <c r="AV59" s="1559">
        <v>0</v>
      </c>
      <c r="AW59" s="1559">
        <v>0</v>
      </c>
      <c r="AX59" s="1559">
        <v>0</v>
      </c>
      <c r="AY59" s="1559">
        <v>0</v>
      </c>
      <c r="AZ59" s="1650">
        <v>0.78796893678764046</v>
      </c>
      <c r="BA59" s="1650">
        <v>0.81936881813384832</v>
      </c>
      <c r="BB59" s="1650">
        <v>0.68600000000000005</v>
      </c>
      <c r="BC59" s="1650">
        <v>0.77500000000000002</v>
      </c>
      <c r="BD59" s="1650">
        <v>0.74299999999999999</v>
      </c>
      <c r="BE59" s="1650">
        <v>0.76</v>
      </c>
      <c r="BF59" s="1650">
        <v>0.73199999999999998</v>
      </c>
      <c r="BG59" s="1549"/>
      <c r="BH59" s="1559">
        <v>1.0727830938789766</v>
      </c>
      <c r="BI59" s="1559">
        <v>0.98332528919958273</v>
      </c>
      <c r="BJ59" s="1545">
        <v>8.9457804679393895</v>
      </c>
      <c r="BK59" s="1677"/>
      <c r="BL59" s="1549"/>
      <c r="BM59" s="1559">
        <v>1.0727830938789766</v>
      </c>
      <c r="BN59" s="1559">
        <v>0.98332528919958273</v>
      </c>
      <c r="BO59" s="1559">
        <v>0.94830804021469639</v>
      </c>
      <c r="BP59" s="1559">
        <v>1.070780461650559</v>
      </c>
      <c r="BQ59" s="1650">
        <v>1.0504931320619204</v>
      </c>
      <c r="BR59" s="1650">
        <v>0.84090020583400449</v>
      </c>
      <c r="BS59" s="1650">
        <v>1.0500272058916573</v>
      </c>
      <c r="BT59" s="1650">
        <v>1.2562459711288654</v>
      </c>
      <c r="BU59" s="2106">
        <v>0.84754577726944114</v>
      </c>
      <c r="BV59" s="2106">
        <v>0.69810870025185479</v>
      </c>
      <c r="BW59" s="2106">
        <v>0</v>
      </c>
      <c r="BX59" s="2106">
        <v>0</v>
      </c>
      <c r="BY59" s="2106">
        <v>0</v>
      </c>
      <c r="BZ59" s="2104">
        <v>0</v>
      </c>
      <c r="CA59" s="2104">
        <v>0</v>
      </c>
      <c r="CB59" s="2104">
        <v>0.73</v>
      </c>
      <c r="CC59" s="1484"/>
      <c r="CE59" s="2742"/>
      <c r="CF59" s="2742"/>
      <c r="CG59" s="2742"/>
    </row>
    <row r="60" spans="1:94" ht="12.75" customHeight="1" x14ac:dyDescent="0.2">
      <c r="A60" s="1551"/>
      <c r="B60" s="1546" t="s">
        <v>77</v>
      </c>
      <c r="C60" s="1545">
        <v>24.554477356935305</v>
      </c>
      <c r="D60" s="1559"/>
      <c r="E60" s="1514"/>
      <c r="F60" s="1514">
        <v>-7.5872534142640367E-3</v>
      </c>
      <c r="G60" s="1514">
        <v>-0.10641096649127665</v>
      </c>
      <c r="H60" s="1559">
        <v>0.11011364226039126</v>
      </c>
      <c r="I60" s="1559">
        <v>-0.3311529026982829</v>
      </c>
      <c r="J60" s="1559">
        <v>-0.25313202698361709</v>
      </c>
      <c r="K60" s="1559">
        <v>5.5782273824577538E-2</v>
      </c>
      <c r="L60" s="1559">
        <v>4.1896840667866673E-3</v>
      </c>
      <c r="M60" s="1559">
        <v>7.3321987943119213E-2</v>
      </c>
      <c r="N60" s="1559">
        <v>-0.20339172985693474</v>
      </c>
      <c r="O60" s="1559">
        <v>0.27504421932786621</v>
      </c>
      <c r="P60" s="1559">
        <v>2.0430477023523165E-2</v>
      </c>
      <c r="Q60" s="1559">
        <v>-0.20468234619245662</v>
      </c>
      <c r="R60" s="1559">
        <v>-0.2996480440147255</v>
      </c>
      <c r="S60" s="1559">
        <v>-1.8240442192538002E-2</v>
      </c>
      <c r="T60" s="1559">
        <v>-0.44272519682355749</v>
      </c>
      <c r="U60" s="1559">
        <v>-6.9902710034168859E-3</v>
      </c>
      <c r="V60" s="1559">
        <v>3.4112263170693963E-2</v>
      </c>
      <c r="W60" s="1559">
        <v>-0.15067108877027519</v>
      </c>
      <c r="X60" s="1559">
        <v>-0.60644943440823906</v>
      </c>
      <c r="Y60" s="1559">
        <v>0.16336127581271723</v>
      </c>
      <c r="Z60" s="1559">
        <v>0.10058999687122872</v>
      </c>
      <c r="AA60" s="1559">
        <v>0.19289275821131777</v>
      </c>
      <c r="AB60" s="1559">
        <v>0.22512061119819807</v>
      </c>
      <c r="AC60" s="1559" t="e">
        <v>#REF!</v>
      </c>
      <c r="AD60" s="1559" t="e">
        <v>#REF!</v>
      </c>
      <c r="AE60" s="1559" t="e">
        <v>#REF!</v>
      </c>
      <c r="AF60" s="1559" t="e">
        <v>#REF!</v>
      </c>
      <c r="AG60" s="1559" t="e">
        <v>#REF!</v>
      </c>
      <c r="AH60" s="1559" t="e">
        <v>#REF!</v>
      </c>
      <c r="AI60" s="1559" t="e">
        <v>#REF!</v>
      </c>
      <c r="AJ60" s="1559" t="e">
        <v>#REF!</v>
      </c>
      <c r="AK60" s="1559" t="e">
        <v>#REF!</v>
      </c>
      <c r="AL60" s="1559" t="e">
        <v>#REF!</v>
      </c>
      <c r="AM60" s="1559" t="e">
        <v>#REF!</v>
      </c>
      <c r="AN60" s="1559" t="e">
        <v>#REF!</v>
      </c>
      <c r="AO60" s="1559" t="e">
        <v>#REF!</v>
      </c>
      <c r="AP60" s="1559" t="e">
        <v>#REF!</v>
      </c>
      <c r="AQ60" s="1559">
        <v>0.30649104577959785</v>
      </c>
      <c r="AR60" s="1559">
        <v>0.33745654034977374</v>
      </c>
      <c r="AS60" s="1559">
        <v>0.26490566037735847</v>
      </c>
      <c r="AT60" s="1559">
        <v>0.2617621614427364</v>
      </c>
      <c r="AU60" s="1559" t="e">
        <v>#REF!</v>
      </c>
      <c r="AV60" s="1559" t="e">
        <v>#REF!</v>
      </c>
      <c r="AW60" s="1559" t="e">
        <v>#REF!</v>
      </c>
      <c r="AX60" s="1559" t="e">
        <v>#REF!</v>
      </c>
      <c r="AY60" s="1559" t="e">
        <v>#REF!</v>
      </c>
      <c r="AZ60" s="1650">
        <v>0.21203106321235959</v>
      </c>
      <c r="BA60" s="1650">
        <v>0.18063118186615174</v>
      </c>
      <c r="BB60" s="1650">
        <v>0.31399999999999995</v>
      </c>
      <c r="BC60" s="1650">
        <v>0.22500000000000001</v>
      </c>
      <c r="BD60" s="1650">
        <v>0.25700000000000001</v>
      </c>
      <c r="BE60" s="1650">
        <v>0.24</v>
      </c>
      <c r="BF60" s="1650">
        <v>0.26800000000000002</v>
      </c>
      <c r="BG60" s="1549"/>
      <c r="BH60" s="1559">
        <v>-9.9513737602147281E-2</v>
      </c>
      <c r="BI60" s="1559">
        <v>-6.4379018823272974E-3</v>
      </c>
      <c r="BJ60" s="1545">
        <v>-9.307583571981997</v>
      </c>
      <c r="BK60" s="1677"/>
      <c r="BL60" s="1549"/>
      <c r="BM60" s="1559">
        <v>-9.9513737602147281E-2</v>
      </c>
      <c r="BN60" s="1559">
        <v>-6.4379018823272974E-3</v>
      </c>
      <c r="BO60" s="1559">
        <v>3.1625480205977712E-2</v>
      </c>
      <c r="BP60" s="1559">
        <v>-8.4610731519542473E-2</v>
      </c>
      <c r="BQ60" s="1650">
        <v>-4.6632722422439113E-2</v>
      </c>
      <c r="BR60" s="1650">
        <v>0.17903790265982752</v>
      </c>
      <c r="BS60" s="1650">
        <v>-7.4088602629481066E-3</v>
      </c>
      <c r="BT60" s="1650">
        <v>-0.25624597112886527</v>
      </c>
      <c r="BU60" s="2106">
        <v>0.15245422273055884</v>
      </c>
      <c r="BV60" s="2106">
        <v>0.30189129974814521</v>
      </c>
      <c r="BW60" s="2106" t="e">
        <v>#REF!</v>
      </c>
      <c r="BX60" s="2106" t="e">
        <v>#REF!</v>
      </c>
      <c r="BY60" s="2106" t="e">
        <v>#REF!</v>
      </c>
      <c r="BZ60" s="2104" t="e">
        <v>#REF!</v>
      </c>
      <c r="CA60" s="2104" t="e">
        <v>#REF!</v>
      </c>
      <c r="CB60" s="2104">
        <v>0.27</v>
      </c>
      <c r="CC60" s="1483"/>
    </row>
    <row r="61" spans="1:94" ht="12.75" customHeight="1" x14ac:dyDescent="0.2">
      <c r="A61" s="1551"/>
      <c r="B61" s="1546"/>
      <c r="C61" s="1560"/>
      <c r="D61" s="1559"/>
      <c r="E61" s="1514"/>
      <c r="F61" s="1514"/>
      <c r="G61" s="1514"/>
      <c r="H61" s="1559"/>
      <c r="I61" s="1559"/>
      <c r="J61" s="1559"/>
      <c r="K61" s="1559"/>
      <c r="L61" s="1559"/>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c r="AN61" s="1559"/>
      <c r="AO61" s="1559"/>
      <c r="AP61" s="1559"/>
      <c r="AQ61" s="1559"/>
      <c r="AR61" s="1559"/>
      <c r="AS61" s="1559"/>
      <c r="AT61" s="1559"/>
      <c r="AU61" s="1559"/>
      <c r="AV61" s="1559"/>
      <c r="AW61" s="1559"/>
      <c r="AX61" s="1559"/>
      <c r="AY61" s="1559"/>
      <c r="AZ61" s="1650"/>
      <c r="BA61" s="1650"/>
      <c r="BB61" s="1650"/>
      <c r="BC61" s="1650"/>
      <c r="BD61" s="1650"/>
      <c r="BE61" s="1650"/>
      <c r="BF61" s="1650"/>
      <c r="BG61" s="1549"/>
      <c r="BH61" s="1559"/>
      <c r="BI61" s="1559"/>
      <c r="BJ61" s="1545"/>
      <c r="BK61" s="1677"/>
      <c r="BL61" s="1549"/>
      <c r="BM61" s="1650"/>
      <c r="BN61" s="1650"/>
      <c r="BO61" s="1650"/>
      <c r="BP61" s="1650"/>
      <c r="BQ61" s="1650"/>
      <c r="BR61" s="1650"/>
      <c r="BS61" s="1650"/>
      <c r="BT61" s="1650"/>
      <c r="BU61" s="2106"/>
      <c r="BV61" s="2106"/>
      <c r="BW61" s="2106"/>
      <c r="BX61" s="2106"/>
      <c r="BY61" s="2106"/>
      <c r="BZ61" s="2104"/>
      <c r="CA61" s="2104"/>
      <c r="CB61" s="2104"/>
      <c r="CC61" s="1483"/>
    </row>
    <row r="62" spans="1:94" ht="12.75" customHeight="1" x14ac:dyDescent="0.2">
      <c r="A62" s="1561" t="s">
        <v>194</v>
      </c>
      <c r="B62" s="1546"/>
      <c r="C62" s="1549"/>
      <c r="D62" s="1549"/>
      <c r="E62" s="1497"/>
      <c r="F62" s="1497"/>
      <c r="G62" s="1497"/>
      <c r="H62" s="1549"/>
      <c r="I62" s="1549"/>
      <c r="J62" s="1549"/>
      <c r="K62" s="1549"/>
      <c r="L62" s="1528"/>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549"/>
      <c r="AM62" s="1549"/>
      <c r="AN62" s="1549"/>
      <c r="AO62" s="1549"/>
      <c r="AP62" s="1549"/>
      <c r="AQ62" s="1549"/>
      <c r="AR62" s="1549"/>
      <c r="AS62" s="1549"/>
      <c r="AT62" s="1549"/>
      <c r="AU62" s="1549"/>
      <c r="AV62" s="1549"/>
      <c r="AW62" s="1549"/>
      <c r="AX62" s="1549"/>
      <c r="AY62" s="1549"/>
      <c r="AZ62" s="1549"/>
      <c r="BA62" s="1549"/>
      <c r="BB62" s="1528"/>
      <c r="BC62" s="1549"/>
      <c r="BD62" s="1528"/>
      <c r="BE62" s="1528"/>
      <c r="BF62" s="1549"/>
      <c r="BG62" s="1549"/>
      <c r="BH62" s="1549"/>
      <c r="BI62" s="1549"/>
      <c r="BJ62" s="1590"/>
      <c r="BK62" s="1590"/>
      <c r="BL62" s="1549"/>
      <c r="BM62" s="1549"/>
      <c r="BN62" s="1549"/>
      <c r="BO62" s="1549"/>
      <c r="BP62" s="1549"/>
      <c r="BQ62" s="1549"/>
      <c r="BR62" s="1549"/>
      <c r="BS62" s="1549"/>
      <c r="BT62" s="1549"/>
      <c r="BU62" s="1497"/>
      <c r="BV62" s="1497"/>
      <c r="BW62" s="1497"/>
      <c r="BX62" s="1497"/>
      <c r="BY62" s="1497"/>
      <c r="BZ62" s="1504"/>
      <c r="CA62" s="2104"/>
      <c r="CB62" s="2104"/>
      <c r="CC62" s="1483"/>
    </row>
    <row r="63" spans="1:94" ht="12.75" customHeight="1" x14ac:dyDescent="0.2">
      <c r="C63" s="3195" t="s">
        <v>671</v>
      </c>
      <c r="D63" s="3196"/>
      <c r="E63" s="1496"/>
      <c r="F63" s="1711"/>
      <c r="G63" s="1711"/>
      <c r="H63" s="1716"/>
      <c r="I63" s="1716"/>
      <c r="J63" s="1717"/>
      <c r="K63" s="1716"/>
      <c r="L63" s="2505"/>
      <c r="M63" s="1716"/>
      <c r="N63" s="1716"/>
      <c r="O63" s="1655"/>
      <c r="P63" s="1716"/>
      <c r="Q63" s="1716"/>
      <c r="R63" s="1717"/>
      <c r="S63" s="1716"/>
      <c r="T63" s="1716"/>
      <c r="U63" s="1716"/>
      <c r="V63" s="1717"/>
      <c r="W63" s="1716"/>
      <c r="X63" s="1716"/>
      <c r="Y63" s="1716"/>
      <c r="Z63" s="1717"/>
      <c r="AA63" s="1716"/>
      <c r="AB63" s="1716"/>
      <c r="AC63" s="1716"/>
      <c r="AD63" s="1717"/>
      <c r="AE63" s="1716"/>
      <c r="AF63" s="1716"/>
      <c r="AG63" s="1716"/>
      <c r="AH63" s="1717"/>
      <c r="AI63" s="1716"/>
      <c r="AJ63" s="1716"/>
      <c r="AK63" s="1716"/>
      <c r="AL63" s="1716"/>
      <c r="AM63" s="1655"/>
      <c r="AN63" s="1716"/>
      <c r="AO63" s="1716"/>
      <c r="AP63" s="1716"/>
      <c r="AQ63" s="1655"/>
      <c r="AR63" s="1716"/>
      <c r="AS63" s="1716"/>
      <c r="AT63" s="1716"/>
      <c r="AU63" s="1655"/>
      <c r="AV63" s="1716"/>
      <c r="AW63" s="1717"/>
      <c r="AX63" s="1717"/>
      <c r="AY63" s="1717"/>
      <c r="AZ63" s="1549"/>
      <c r="BA63" s="1549"/>
      <c r="BB63" s="1528"/>
      <c r="BC63" s="1549"/>
      <c r="BD63" s="1528"/>
      <c r="BE63" s="1528"/>
      <c r="BF63" s="1549"/>
      <c r="BG63" s="1589"/>
      <c r="BH63" s="988" t="s">
        <v>660</v>
      </c>
      <c r="BI63" s="988"/>
      <c r="BJ63" s="988" t="s">
        <v>563</v>
      </c>
      <c r="BK63" s="989"/>
      <c r="BL63" s="1549"/>
      <c r="BM63" s="1571"/>
      <c r="BN63" s="1571"/>
      <c r="BO63" s="1571"/>
      <c r="BP63" s="1571"/>
      <c r="BQ63" s="1571"/>
      <c r="BR63" s="1571"/>
      <c r="BS63" s="1571"/>
      <c r="BT63" s="1571"/>
      <c r="BU63" s="2062"/>
      <c r="BV63" s="2062"/>
      <c r="BW63" s="2062"/>
      <c r="BX63" s="2111"/>
      <c r="BY63" s="2112"/>
      <c r="BZ63" s="2062"/>
      <c r="CA63" s="2104"/>
      <c r="CB63" s="2104"/>
      <c r="CC63" s="2065"/>
    </row>
    <row r="64" spans="1:94" ht="12.75" customHeight="1" x14ac:dyDescent="0.2">
      <c r="C64" s="3197" t="s">
        <v>38</v>
      </c>
      <c r="D64" s="3198"/>
      <c r="E64" s="1496"/>
      <c r="F64" s="907" t="s">
        <v>670</v>
      </c>
      <c r="G64" s="907" t="s">
        <v>558</v>
      </c>
      <c r="H64" s="992" t="s">
        <v>559</v>
      </c>
      <c r="I64" s="992" t="s">
        <v>560</v>
      </c>
      <c r="J64" s="993" t="s">
        <v>561</v>
      </c>
      <c r="K64" s="992" t="s">
        <v>508</v>
      </c>
      <c r="L64" s="992" t="s">
        <v>507</v>
      </c>
      <c r="M64" s="992" t="s">
        <v>506</v>
      </c>
      <c r="N64" s="992" t="s">
        <v>505</v>
      </c>
      <c r="O64" s="994" t="s">
        <v>382</v>
      </c>
      <c r="P64" s="992" t="s">
        <v>383</v>
      </c>
      <c r="Q64" s="992" t="s">
        <v>384</v>
      </c>
      <c r="R64" s="993" t="s">
        <v>385</v>
      </c>
      <c r="S64" s="992" t="s">
        <v>368</v>
      </c>
      <c r="T64" s="992" t="s">
        <v>367</v>
      </c>
      <c r="U64" s="992" t="s">
        <v>366</v>
      </c>
      <c r="V64" s="993" t="s">
        <v>364</v>
      </c>
      <c r="W64" s="992" t="s">
        <v>348</v>
      </c>
      <c r="X64" s="992" t="s">
        <v>349</v>
      </c>
      <c r="Y64" s="992" t="s">
        <v>350</v>
      </c>
      <c r="Z64" s="993" t="s">
        <v>351</v>
      </c>
      <c r="AA64" s="1572" t="s">
        <v>315</v>
      </c>
      <c r="AB64" s="1572" t="s">
        <v>314</v>
      </c>
      <c r="AC64" s="1572" t="s">
        <v>313</v>
      </c>
      <c r="AD64" s="1573" t="s">
        <v>311</v>
      </c>
      <c r="AE64" s="1572" t="s">
        <v>270</v>
      </c>
      <c r="AF64" s="1572" t="s">
        <v>271</v>
      </c>
      <c r="AG64" s="1572" t="s">
        <v>272</v>
      </c>
      <c r="AH64" s="1573" t="s">
        <v>273</v>
      </c>
      <c r="AI64" s="1572" t="s">
        <v>223</v>
      </c>
      <c r="AJ64" s="1572" t="s">
        <v>224</v>
      </c>
      <c r="AK64" s="1572" t="s">
        <v>225</v>
      </c>
      <c r="AL64" s="1573" t="s">
        <v>222</v>
      </c>
      <c r="AM64" s="1574" t="s">
        <v>189</v>
      </c>
      <c r="AN64" s="1572" t="s">
        <v>190</v>
      </c>
      <c r="AO64" s="1572" t="s">
        <v>191</v>
      </c>
      <c r="AP64" s="1572" t="s">
        <v>192</v>
      </c>
      <c r="AQ64" s="1574" t="s">
        <v>121</v>
      </c>
      <c r="AR64" s="1572" t="s">
        <v>120</v>
      </c>
      <c r="AS64" s="1572" t="s">
        <v>119</v>
      </c>
      <c r="AT64" s="1572" t="s">
        <v>118</v>
      </c>
      <c r="AU64" s="1574" t="s">
        <v>81</v>
      </c>
      <c r="AV64" s="1572" t="s">
        <v>82</v>
      </c>
      <c r="AW64" s="1573" t="s">
        <v>83</v>
      </c>
      <c r="AX64" s="1573" t="s">
        <v>29</v>
      </c>
      <c r="AY64" s="1573" t="s">
        <v>29</v>
      </c>
      <c r="AZ64" s="1549"/>
      <c r="BA64" s="1549"/>
      <c r="BB64" s="1528"/>
      <c r="BC64" s="1549"/>
      <c r="BD64" s="1528"/>
      <c r="BE64" s="1528"/>
      <c r="BF64" s="1549"/>
      <c r="BG64" s="1589"/>
      <c r="BH64" s="992" t="s">
        <v>558</v>
      </c>
      <c r="BI64" s="992" t="s">
        <v>508</v>
      </c>
      <c r="BJ64" s="3194" t="s">
        <v>38</v>
      </c>
      <c r="BK64" s="3076"/>
      <c r="BL64" s="1549"/>
      <c r="BM64" s="1808" t="s">
        <v>562</v>
      </c>
      <c r="BN64" s="994" t="s">
        <v>509</v>
      </c>
      <c r="BO64" s="994" t="s">
        <v>502</v>
      </c>
      <c r="BP64" s="994" t="s">
        <v>379</v>
      </c>
      <c r="BQ64" s="994" t="s">
        <v>360</v>
      </c>
      <c r="BR64" s="994" t="s">
        <v>317</v>
      </c>
      <c r="BS64" s="1574" t="s">
        <v>275</v>
      </c>
      <c r="BT64" s="1574" t="s">
        <v>227</v>
      </c>
      <c r="BU64" s="2066" t="s">
        <v>123</v>
      </c>
      <c r="BV64" s="2066" t="s">
        <v>122</v>
      </c>
      <c r="BW64" s="2066" t="s">
        <v>42</v>
      </c>
      <c r="BX64" s="2066" t="s">
        <v>39</v>
      </c>
      <c r="BY64" s="2067" t="s">
        <v>40</v>
      </c>
      <c r="BZ64" s="2067" t="s">
        <v>142</v>
      </c>
      <c r="CA64" s="2104"/>
      <c r="CB64" s="2104"/>
      <c r="CC64" s="2065"/>
    </row>
    <row r="65" spans="1:94" ht="12.75" customHeight="1" x14ac:dyDescent="0.2">
      <c r="A65" s="1551"/>
      <c r="B65" s="946" t="s">
        <v>607</v>
      </c>
      <c r="C65" s="1533">
        <v>-2029</v>
      </c>
      <c r="D65" s="1536">
        <v>-0.24898760584120752</v>
      </c>
      <c r="E65" s="2874"/>
      <c r="F65" s="2035">
        <v>6120</v>
      </c>
      <c r="G65" s="2035">
        <v>6831</v>
      </c>
      <c r="H65" s="1269">
        <v>6382</v>
      </c>
      <c r="I65" s="1269">
        <v>6808</v>
      </c>
      <c r="J65" s="1245">
        <v>8149</v>
      </c>
      <c r="K65" s="1269">
        <v>8953</v>
      </c>
      <c r="L65" s="1269">
        <v>6808</v>
      </c>
      <c r="M65" s="1269">
        <v>6854</v>
      </c>
      <c r="N65" s="1269">
        <v>8942</v>
      </c>
      <c r="O65" s="1198">
        <v>10480</v>
      </c>
      <c r="P65" s="1269">
        <v>8758</v>
      </c>
      <c r="Q65" s="1269">
        <v>7167</v>
      </c>
      <c r="R65" s="1245">
        <v>7779</v>
      </c>
      <c r="S65" s="1657">
        <v>8471</v>
      </c>
      <c r="T65" s="1269">
        <v>7647</v>
      </c>
      <c r="U65" s="1269">
        <v>7195</v>
      </c>
      <c r="V65" s="1245">
        <v>7329</v>
      </c>
      <c r="W65" s="1657">
        <v>8538</v>
      </c>
      <c r="X65" s="1269">
        <v>7870</v>
      </c>
      <c r="Y65" s="1269">
        <v>7521</v>
      </c>
      <c r="Z65" s="1245">
        <v>8179</v>
      </c>
      <c r="AA65" s="1657">
        <v>10926</v>
      </c>
      <c r="AB65" s="1269">
        <v>7462</v>
      </c>
      <c r="AC65" s="1269">
        <v>7967</v>
      </c>
      <c r="AD65" s="1245">
        <v>8713</v>
      </c>
      <c r="AE65" s="1269">
        <v>10030</v>
      </c>
      <c r="AF65" s="1269">
        <v>8339</v>
      </c>
      <c r="AG65" s="1269">
        <v>7811</v>
      </c>
      <c r="AH65" s="1245">
        <v>9378</v>
      </c>
      <c r="AI65" s="1269">
        <v>4038</v>
      </c>
      <c r="AJ65" s="1269">
        <v>2712</v>
      </c>
      <c r="AK65" s="1269">
        <v>3186</v>
      </c>
      <c r="AL65" s="1269">
        <v>3355</v>
      </c>
      <c r="AM65" s="1198">
        <v>4877</v>
      </c>
      <c r="AN65" s="1269">
        <v>4800</v>
      </c>
      <c r="AO65" s="1269">
        <v>4288</v>
      </c>
      <c r="AP65" s="1269">
        <v>6975</v>
      </c>
      <c r="AQ65" s="1198">
        <v>8215</v>
      </c>
      <c r="AR65" s="1269">
        <v>9418</v>
      </c>
      <c r="AS65" s="1269">
        <v>9547</v>
      </c>
      <c r="AT65" s="1269">
        <v>8802</v>
      </c>
      <c r="AU65" s="1476">
        <v>7648</v>
      </c>
      <c r="AV65" s="1455">
        <v>7035</v>
      </c>
      <c r="AW65" s="1780">
        <v>8214</v>
      </c>
      <c r="AX65" s="1245">
        <v>8390</v>
      </c>
      <c r="AY65" s="1248">
        <v>29584</v>
      </c>
      <c r="AZ65" s="1246"/>
      <c r="BA65" s="1246"/>
      <c r="BB65" s="1269"/>
      <c r="BC65" s="1246"/>
      <c r="BD65" s="1269"/>
      <c r="BE65" s="1269"/>
      <c r="BF65" s="1246"/>
      <c r="BG65" s="1249"/>
      <c r="BH65" s="1666">
        <v>28170</v>
      </c>
      <c r="BI65" s="1660">
        <v>31557</v>
      </c>
      <c r="BJ65" s="1668">
        <v>-3387</v>
      </c>
      <c r="BK65" s="1669">
        <v>-0.10732959406787718</v>
      </c>
      <c r="BL65" s="1549"/>
      <c r="BM65" s="1940">
        <v>28170</v>
      </c>
      <c r="BN65" s="2898">
        <v>31557</v>
      </c>
      <c r="BO65" s="1940">
        <v>34184</v>
      </c>
      <c r="BP65" s="1940">
        <v>30642</v>
      </c>
      <c r="BQ65" s="1249">
        <v>32108</v>
      </c>
      <c r="BR65" s="1249">
        <v>35068</v>
      </c>
      <c r="BS65" s="1249">
        <v>35558</v>
      </c>
      <c r="BT65" s="1249">
        <v>13291</v>
      </c>
      <c r="BU65" s="2143">
        <v>17589</v>
      </c>
      <c r="BV65" s="2010">
        <v>11461</v>
      </c>
      <c r="BW65" s="2010">
        <v>10891</v>
      </c>
      <c r="BX65" s="2003">
        <v>14557</v>
      </c>
      <c r="BY65" s="2115">
        <v>45773</v>
      </c>
      <c r="BZ65" s="2095">
        <v>41570</v>
      </c>
      <c r="CA65" s="2104"/>
      <c r="CB65" s="2104"/>
      <c r="CC65" s="2065"/>
      <c r="CE65" s="1920">
        <v>-1950</v>
      </c>
      <c r="CF65" s="1180">
        <v>-0.22265357387531401</v>
      </c>
      <c r="CG65" s="1180">
        <v>-79</v>
      </c>
      <c r="CH65" s="1180">
        <v>-2.6334031965893512E-2</v>
      </c>
      <c r="CI65" s="1180"/>
      <c r="CJ65" s="1920">
        <v>22604</v>
      </c>
      <c r="CK65" s="1315">
        <v>5566</v>
      </c>
      <c r="CL65" s="1920"/>
      <c r="CM65" s="1315">
        <v>-3387</v>
      </c>
      <c r="CN65" s="1315">
        <v>-0.10732959406787718</v>
      </c>
      <c r="CO65" s="1315">
        <v>0</v>
      </c>
      <c r="CP65" s="1180">
        <v>0</v>
      </c>
    </row>
    <row r="66" spans="1:94" ht="12.75" customHeight="1" x14ac:dyDescent="0.2">
      <c r="A66" s="1551"/>
      <c r="B66" s="946" t="s">
        <v>608</v>
      </c>
      <c r="C66" s="1533">
        <v>2789</v>
      </c>
      <c r="D66" s="1536" t="s">
        <v>41</v>
      </c>
      <c r="E66" s="2874"/>
      <c r="F66" s="2035">
        <v>3270</v>
      </c>
      <c r="G66" s="2035">
        <v>5250</v>
      </c>
      <c r="H66" s="1269">
        <v>10584</v>
      </c>
      <c r="I66" s="1269">
        <v>1537</v>
      </c>
      <c r="J66" s="1245">
        <v>481</v>
      </c>
      <c r="K66" s="1269">
        <v>6899</v>
      </c>
      <c r="L66" s="1269">
        <v>9166</v>
      </c>
      <c r="M66" s="1269">
        <v>6297</v>
      </c>
      <c r="N66" s="1269">
        <v>5310</v>
      </c>
      <c r="O66" s="1198">
        <v>7678</v>
      </c>
      <c r="P66" s="1269">
        <v>4742</v>
      </c>
      <c r="Q66" s="1269">
        <v>3859</v>
      </c>
      <c r="R66" s="1245">
        <v>4485</v>
      </c>
      <c r="S66" s="1657">
        <v>1959</v>
      </c>
      <c r="T66" s="1269">
        <v>3493</v>
      </c>
      <c r="U66" s="1269">
        <v>9726</v>
      </c>
      <c r="V66" s="1245">
        <v>19494</v>
      </c>
      <c r="W66" s="1657">
        <v>8756</v>
      </c>
      <c r="X66" s="1269">
        <v>6761</v>
      </c>
      <c r="Y66" s="1269">
        <v>9010</v>
      </c>
      <c r="Z66" s="1245">
        <v>20059</v>
      </c>
      <c r="AA66" s="1657">
        <v>22207</v>
      </c>
      <c r="AB66" s="1269">
        <v>22859</v>
      </c>
      <c r="AC66" s="1269">
        <v>10441</v>
      </c>
      <c r="AD66" s="1245">
        <v>4658</v>
      </c>
      <c r="AE66" s="1269">
        <v>7150</v>
      </c>
      <c r="AF66" s="1269">
        <v>12430</v>
      </c>
      <c r="AG66" s="1269">
        <v>10921</v>
      </c>
      <c r="AH66" s="1245">
        <v>2922</v>
      </c>
      <c r="AI66" s="1269">
        <v>6834</v>
      </c>
      <c r="AJ66" s="1269">
        <v>3072</v>
      </c>
      <c r="AK66" s="1269">
        <v>750</v>
      </c>
      <c r="AL66" s="1269">
        <v>2299</v>
      </c>
      <c r="AM66" s="1198">
        <v>16817</v>
      </c>
      <c r="AN66" s="1269">
        <v>9429</v>
      </c>
      <c r="AO66" s="1269">
        <v>3477</v>
      </c>
      <c r="AP66" s="1269">
        <v>31749</v>
      </c>
      <c r="AQ66" s="1198">
        <v>23306</v>
      </c>
      <c r="AR66" s="1269">
        <v>46294</v>
      </c>
      <c r="AS66" s="1269">
        <v>16811</v>
      </c>
      <c r="AT66" s="1269">
        <v>19402</v>
      </c>
      <c r="AU66" s="1476">
        <v>15250</v>
      </c>
      <c r="AV66" s="1269">
        <v>4569</v>
      </c>
      <c r="AW66" s="1245">
        <v>12638</v>
      </c>
      <c r="AX66" s="1245">
        <v>17564</v>
      </c>
      <c r="AY66" s="1248">
        <v>0</v>
      </c>
      <c r="AZ66" s="1246">
        <v>0</v>
      </c>
      <c r="BA66" s="1246">
        <v>0</v>
      </c>
      <c r="BB66" s="1269">
        <v>0</v>
      </c>
      <c r="BC66" s="1246">
        <v>0</v>
      </c>
      <c r="BD66" s="1269">
        <v>0</v>
      </c>
      <c r="BE66" s="1269">
        <v>0</v>
      </c>
      <c r="BF66" s="1246">
        <v>0</v>
      </c>
      <c r="BG66" s="1249"/>
      <c r="BH66" s="1666">
        <v>17852</v>
      </c>
      <c r="BI66" s="1660">
        <v>27672</v>
      </c>
      <c r="BJ66" s="1668">
        <v>-9820</v>
      </c>
      <c r="BK66" s="1536">
        <v>-0.35487135010118531</v>
      </c>
      <c r="BL66" s="1549"/>
      <c r="BM66" s="1665">
        <v>17852</v>
      </c>
      <c r="BN66" s="1658">
        <v>27672</v>
      </c>
      <c r="BO66" s="1665">
        <v>20764</v>
      </c>
      <c r="BP66" s="1665">
        <v>34672</v>
      </c>
      <c r="BQ66" s="1249">
        <v>44586</v>
      </c>
      <c r="BR66" s="1249">
        <v>60165</v>
      </c>
      <c r="BS66" s="1249">
        <v>33423</v>
      </c>
      <c r="BT66" s="1249">
        <v>12955</v>
      </c>
      <c r="BU66" s="2144">
        <v>34572</v>
      </c>
      <c r="BV66" s="2010">
        <v>35794</v>
      </c>
      <c r="BW66" s="2010">
        <v>26736</v>
      </c>
      <c r="BX66" s="2003">
        <v>80789</v>
      </c>
      <c r="BY66" s="2117">
        <v>128763</v>
      </c>
      <c r="BZ66" s="2084">
        <v>99263</v>
      </c>
      <c r="CA66" s="2104"/>
      <c r="CB66" s="2104"/>
      <c r="CC66" s="2065"/>
      <c r="CE66" s="1920">
        <v>4424</v>
      </c>
      <c r="CF66" s="1180">
        <v>0.93293968789540282</v>
      </c>
      <c r="CG66" s="1180">
        <v>-1635</v>
      </c>
      <c r="CH66" s="1180" t="e">
        <v>#VALUE!</v>
      </c>
      <c r="CI66" s="1180"/>
      <c r="CJ66" s="1920">
        <v>20773</v>
      </c>
      <c r="CK66" s="1315">
        <v>-2921</v>
      </c>
      <c r="CL66" s="1920"/>
      <c r="CM66" s="1315">
        <v>-9820</v>
      </c>
      <c r="CN66" s="1315">
        <v>-0.35487135010118531</v>
      </c>
      <c r="CO66" s="1315">
        <v>0</v>
      </c>
      <c r="CP66" s="1180">
        <v>0</v>
      </c>
    </row>
    <row r="67" spans="1:94" ht="12.75" customHeight="1" x14ac:dyDescent="0.2">
      <c r="A67" s="1551"/>
      <c r="B67" s="946" t="s">
        <v>609</v>
      </c>
      <c r="C67" s="1533">
        <v>3170</v>
      </c>
      <c r="D67" s="1536">
        <v>0.45292184597799684</v>
      </c>
      <c r="E67" s="2874"/>
      <c r="F67" s="2035">
        <v>10169</v>
      </c>
      <c r="G67" s="2035">
        <v>9569</v>
      </c>
      <c r="H67" s="1269">
        <v>18949</v>
      </c>
      <c r="I67" s="1269">
        <v>6379</v>
      </c>
      <c r="J67" s="1245">
        <v>6999</v>
      </c>
      <c r="K67" s="1269">
        <v>12375</v>
      </c>
      <c r="L67" s="1269">
        <v>12187</v>
      </c>
      <c r="M67" s="1269">
        <v>15769</v>
      </c>
      <c r="N67" s="1269">
        <v>7756</v>
      </c>
      <c r="O67" s="1198">
        <v>37149</v>
      </c>
      <c r="P67" s="1269">
        <v>10443</v>
      </c>
      <c r="Q67" s="1269">
        <v>8859</v>
      </c>
      <c r="R67" s="1245">
        <v>5996</v>
      </c>
      <c r="S67" s="1657">
        <v>19260</v>
      </c>
      <c r="T67" s="1269">
        <v>11699</v>
      </c>
      <c r="U67" s="1269">
        <v>17944</v>
      </c>
      <c r="V67" s="1245">
        <v>13801</v>
      </c>
      <c r="W67" s="1657">
        <v>16437</v>
      </c>
      <c r="X67" s="1269">
        <v>8505</v>
      </c>
      <c r="Y67" s="1269">
        <v>25922</v>
      </c>
      <c r="Z67" s="1245">
        <v>10615</v>
      </c>
      <c r="AA67" s="1657">
        <v>21582</v>
      </c>
      <c r="AB67" s="1269">
        <v>28106</v>
      </c>
      <c r="AC67" s="1269">
        <v>16884</v>
      </c>
      <c r="AD67" s="1245">
        <v>21653</v>
      </c>
      <c r="AE67" s="1269">
        <v>19658</v>
      </c>
      <c r="AF67" s="1269">
        <v>16995</v>
      </c>
      <c r="AG67" s="1269">
        <v>13802</v>
      </c>
      <c r="AH67" s="1245">
        <v>14616</v>
      </c>
      <c r="AI67" s="1269">
        <v>5533</v>
      </c>
      <c r="AJ67" s="1269">
        <v>4356</v>
      </c>
      <c r="AK67" s="1269">
        <v>3235</v>
      </c>
      <c r="AL67" s="1269">
        <v>1470</v>
      </c>
      <c r="AM67" s="1198">
        <v>2671</v>
      </c>
      <c r="AN67" s="1269">
        <v>2437</v>
      </c>
      <c r="AO67" s="1269">
        <v>4055</v>
      </c>
      <c r="AP67" s="1269">
        <v>14504</v>
      </c>
      <c r="AQ67" s="1198">
        <v>1297</v>
      </c>
      <c r="AR67" s="1269">
        <v>1601</v>
      </c>
      <c r="AS67" s="1269">
        <v>1211</v>
      </c>
      <c r="AT67" s="1269">
        <v>1444</v>
      </c>
      <c r="AU67" s="1476">
        <v>2473</v>
      </c>
      <c r="AV67" s="1269">
        <v>1215</v>
      </c>
      <c r="AW67" s="1245">
        <v>2659</v>
      </c>
      <c r="AX67" s="1245">
        <v>8562</v>
      </c>
      <c r="AY67" s="1248"/>
      <c r="AZ67" s="1246"/>
      <c r="BA67" s="1246"/>
      <c r="BB67" s="1269"/>
      <c r="BC67" s="1246"/>
      <c r="BD67" s="1269"/>
      <c r="BE67" s="1269"/>
      <c r="BF67" s="1246"/>
      <c r="BG67" s="1249"/>
      <c r="BH67" s="1666">
        <v>41896</v>
      </c>
      <c r="BI67" s="1660">
        <v>48087</v>
      </c>
      <c r="BJ67" s="1688">
        <v>-6191</v>
      </c>
      <c r="BK67" s="1536">
        <v>-0.12874581487720174</v>
      </c>
      <c r="BL67" s="1549"/>
      <c r="BM67" s="1665">
        <v>41896</v>
      </c>
      <c r="BN67" s="1658">
        <v>48087</v>
      </c>
      <c r="BO67" s="1665">
        <v>62447</v>
      </c>
      <c r="BP67" s="1665">
        <v>62704</v>
      </c>
      <c r="BQ67" s="1249">
        <v>61479</v>
      </c>
      <c r="BR67" s="1249">
        <v>88225</v>
      </c>
      <c r="BS67" s="1249">
        <v>65071</v>
      </c>
      <c r="BT67" s="1249">
        <v>14594</v>
      </c>
      <c r="BU67" s="2144">
        <v>12248</v>
      </c>
      <c r="BV67" s="2010">
        <v>11757</v>
      </c>
      <c r="BW67" s="2010">
        <v>21373</v>
      </c>
      <c r="BX67" s="2003">
        <v>11914</v>
      </c>
      <c r="BY67" s="2125">
        <v>12713</v>
      </c>
      <c r="BZ67" s="2084">
        <v>4636</v>
      </c>
      <c r="CA67" s="2104"/>
      <c r="CB67" s="2104"/>
      <c r="CC67" s="2065"/>
      <c r="CE67" s="1920">
        <v>1744</v>
      </c>
      <c r="CF67" s="1180">
        <v>0.16700181940055539</v>
      </c>
      <c r="CG67" s="1180">
        <v>1426</v>
      </c>
      <c r="CH67" s="1180">
        <v>0.28592002657744142</v>
      </c>
      <c r="CI67" s="1180"/>
      <c r="CJ67" s="1920">
        <v>35712</v>
      </c>
      <c r="CK67" s="1315">
        <v>6184</v>
      </c>
      <c r="CL67" s="1920"/>
      <c r="CM67" s="1315">
        <v>-6191</v>
      </c>
      <c r="CN67" s="1315">
        <v>-0.12874581487720174</v>
      </c>
      <c r="CO67" s="1315">
        <v>0</v>
      </c>
      <c r="CP67" s="1180">
        <v>0</v>
      </c>
    </row>
    <row r="68" spans="1:94" ht="12.75" customHeight="1" x14ac:dyDescent="0.2">
      <c r="A68" s="1551"/>
      <c r="B68" s="946" t="s">
        <v>610</v>
      </c>
      <c r="C68" s="1533">
        <v>-3627</v>
      </c>
      <c r="D68" s="1536">
        <v>-0.58321273516642547</v>
      </c>
      <c r="E68" s="2874"/>
      <c r="F68" s="2035">
        <v>2592</v>
      </c>
      <c r="G68" s="2035">
        <v>7089</v>
      </c>
      <c r="H68" s="1269">
        <v>2820</v>
      </c>
      <c r="I68" s="1269">
        <v>4769</v>
      </c>
      <c r="J68" s="1245">
        <v>6219</v>
      </c>
      <c r="K68" s="1269">
        <v>6649</v>
      </c>
      <c r="L68" s="1269">
        <v>3944</v>
      </c>
      <c r="M68" s="1269">
        <v>5652</v>
      </c>
      <c r="N68" s="1269">
        <v>4645</v>
      </c>
      <c r="O68" s="1198">
        <v>6795</v>
      </c>
      <c r="P68" s="1269">
        <v>7695</v>
      </c>
      <c r="Q68" s="1269">
        <v>7621</v>
      </c>
      <c r="R68" s="1245">
        <v>6366</v>
      </c>
      <c r="S68" s="1657">
        <v>2477</v>
      </c>
      <c r="T68" s="1269">
        <v>5614</v>
      </c>
      <c r="U68" s="1269">
        <v>3494</v>
      </c>
      <c r="V68" s="1245">
        <v>4686</v>
      </c>
      <c r="W68" s="1657">
        <v>4466</v>
      </c>
      <c r="X68" s="1269">
        <v>424</v>
      </c>
      <c r="Y68" s="1269">
        <v>6498</v>
      </c>
      <c r="Z68" s="1245">
        <v>6041</v>
      </c>
      <c r="AA68" s="1657">
        <v>8230</v>
      </c>
      <c r="AB68" s="1269">
        <v>7593</v>
      </c>
      <c r="AC68" s="1269">
        <v>7939</v>
      </c>
      <c r="AD68" s="1245">
        <v>5338</v>
      </c>
      <c r="AE68" s="1269">
        <v>8936</v>
      </c>
      <c r="AF68" s="1269">
        <v>6665</v>
      </c>
      <c r="AG68" s="1269">
        <v>6462</v>
      </c>
      <c r="AH68" s="1245">
        <v>2443</v>
      </c>
      <c r="AI68" s="1269">
        <v>3447</v>
      </c>
      <c r="AJ68" s="1269">
        <v>2591</v>
      </c>
      <c r="AK68" s="1269">
        <v>2232</v>
      </c>
      <c r="AL68" s="1269">
        <v>2173</v>
      </c>
      <c r="AM68" s="1198">
        <v>10213</v>
      </c>
      <c r="AN68" s="1269">
        <v>6662</v>
      </c>
      <c r="AO68" s="1269">
        <v>6583</v>
      </c>
      <c r="AP68" s="1269">
        <v>-262</v>
      </c>
      <c r="AQ68" s="1198">
        <v>-115</v>
      </c>
      <c r="AR68" s="1269">
        <v>-132</v>
      </c>
      <c r="AS68" s="1269">
        <v>-255</v>
      </c>
      <c r="AT68" s="1269">
        <v>-45</v>
      </c>
      <c r="AU68" s="1476">
        <v>-388</v>
      </c>
      <c r="AV68" s="1269">
        <v>-274</v>
      </c>
      <c r="AW68" s="1245">
        <v>-218</v>
      </c>
      <c r="AX68" s="1245">
        <v>-343</v>
      </c>
      <c r="AY68" s="1248">
        <v>5363</v>
      </c>
      <c r="AZ68" s="1246"/>
      <c r="BA68" s="1246"/>
      <c r="BB68" s="1269"/>
      <c r="BC68" s="1246"/>
      <c r="BD68" s="1269"/>
      <c r="BE68" s="1269"/>
      <c r="BF68" s="1246"/>
      <c r="BG68" s="1249"/>
      <c r="BH68" s="1666">
        <v>20897</v>
      </c>
      <c r="BI68" s="1660">
        <v>20890</v>
      </c>
      <c r="BJ68" s="1688">
        <v>7</v>
      </c>
      <c r="BK68" s="1536">
        <v>3.3508855911919581E-4</v>
      </c>
      <c r="BL68" s="1549"/>
      <c r="BM68" s="1665">
        <v>20897</v>
      </c>
      <c r="BN68" s="1658">
        <v>20890</v>
      </c>
      <c r="BO68" s="1665">
        <v>28477</v>
      </c>
      <c r="BP68" s="1665">
        <v>16271</v>
      </c>
      <c r="BQ68" s="1249">
        <v>17429</v>
      </c>
      <c r="BR68" s="1249">
        <v>29100</v>
      </c>
      <c r="BS68" s="1249">
        <v>24506</v>
      </c>
      <c r="BT68" s="1249">
        <v>10443</v>
      </c>
      <c r="BU68" s="2144">
        <v>28332</v>
      </c>
      <c r="BV68" s="2010">
        <v>23190</v>
      </c>
      <c r="BW68" s="2010">
        <v>9476</v>
      </c>
      <c r="BX68" s="2003">
        <v>4419</v>
      </c>
      <c r="BY68" s="2117">
        <v>-524</v>
      </c>
      <c r="BZ68" s="2084">
        <v>4647</v>
      </c>
      <c r="CA68" s="2104"/>
      <c r="CB68" s="2104"/>
      <c r="CC68" s="2065"/>
      <c r="CE68" s="1920">
        <v>-3751</v>
      </c>
      <c r="CF68" s="1180">
        <v>-0.48745938921377518</v>
      </c>
      <c r="CG68" s="1180">
        <v>124</v>
      </c>
      <c r="CH68" s="1180">
        <v>-9.5753345952650282E-2</v>
      </c>
      <c r="CI68" s="1180"/>
      <c r="CJ68" s="1920">
        <v>14241</v>
      </c>
      <c r="CK68" s="1315">
        <v>6656</v>
      </c>
      <c r="CL68" s="1920"/>
      <c r="CM68" s="1315">
        <v>7</v>
      </c>
      <c r="CN68" s="1315">
        <v>3.3508855911919581E-4</v>
      </c>
      <c r="CO68" s="1315">
        <v>0</v>
      </c>
      <c r="CP68" s="1180">
        <v>0</v>
      </c>
    </row>
    <row r="69" spans="1:94" ht="12.75" customHeight="1" x14ac:dyDescent="0.2">
      <c r="A69" s="1551"/>
      <c r="B69" s="946" t="s">
        <v>611</v>
      </c>
      <c r="C69" s="1533">
        <v>-5</v>
      </c>
      <c r="D69" s="1536">
        <v>-0.35714285714285715</v>
      </c>
      <c r="E69" s="2874"/>
      <c r="F69" s="2035">
        <v>9</v>
      </c>
      <c r="G69" s="2035">
        <v>2</v>
      </c>
      <c r="H69" s="1269">
        <v>7</v>
      </c>
      <c r="I69" s="1269">
        <v>6</v>
      </c>
      <c r="J69" s="1245">
        <v>14</v>
      </c>
      <c r="K69" s="1269">
        <v>40</v>
      </c>
      <c r="L69" s="1269">
        <v>6</v>
      </c>
      <c r="M69" s="1269">
        <v>2</v>
      </c>
      <c r="N69" s="1269">
        <v>11</v>
      </c>
      <c r="O69" s="1198">
        <v>46</v>
      </c>
      <c r="P69" s="1269">
        <v>19</v>
      </c>
      <c r="Q69" s="1269">
        <v>121</v>
      </c>
      <c r="R69" s="1245">
        <v>-81</v>
      </c>
      <c r="S69" s="1657">
        <v>35</v>
      </c>
      <c r="T69" s="1269">
        <v>-62</v>
      </c>
      <c r="U69" s="1269">
        <v>-58</v>
      </c>
      <c r="V69" s="1245">
        <v>-44</v>
      </c>
      <c r="W69" s="1269">
        <v>-54</v>
      </c>
      <c r="X69" s="1269">
        <v>14</v>
      </c>
      <c r="Y69" s="1269">
        <v>-51</v>
      </c>
      <c r="Z69" s="1245">
        <v>9</v>
      </c>
      <c r="AA69" s="1657">
        <v>11</v>
      </c>
      <c r="AB69" s="1269">
        <v>2</v>
      </c>
      <c r="AC69" s="1269">
        <v>-25</v>
      </c>
      <c r="AD69" s="1245">
        <v>7</v>
      </c>
      <c r="AE69" s="1269">
        <v>19</v>
      </c>
      <c r="AF69" s="1269">
        <v>106</v>
      </c>
      <c r="AG69" s="1269">
        <v>43</v>
      </c>
      <c r="AH69" s="1245">
        <v>59</v>
      </c>
      <c r="AI69" s="1269">
        <v>15</v>
      </c>
      <c r="AJ69" s="1269">
        <v>0</v>
      </c>
      <c r="AK69" s="1269">
        <v>3</v>
      </c>
      <c r="AL69" s="1269">
        <v>2</v>
      </c>
      <c r="AM69" s="1198">
        <v>15</v>
      </c>
      <c r="AN69" s="1269">
        <v>3</v>
      </c>
      <c r="AO69" s="1269">
        <v>4</v>
      </c>
      <c r="AP69" s="1269">
        <v>46</v>
      </c>
      <c r="AQ69" s="1198">
        <v>102</v>
      </c>
      <c r="AR69" s="1269">
        <v>0</v>
      </c>
      <c r="AS69" s="1269">
        <v>0</v>
      </c>
      <c r="AT69" s="1269">
        <v>37</v>
      </c>
      <c r="AU69" s="1476">
        <v>50</v>
      </c>
      <c r="AV69" s="1269">
        <v>93</v>
      </c>
      <c r="AW69" s="1245">
        <v>168</v>
      </c>
      <c r="AX69" s="1245">
        <v>178</v>
      </c>
      <c r="AY69" s="1248">
        <v>-3063</v>
      </c>
      <c r="AZ69" s="1246">
        <v>42952</v>
      </c>
      <c r="BA69" s="1246">
        <v>39210</v>
      </c>
      <c r="BB69" s="1269">
        <v>62549</v>
      </c>
      <c r="BC69" s="1246">
        <v>57382</v>
      </c>
      <c r="BD69" s="1269">
        <v>48897</v>
      </c>
      <c r="BE69" s="1269">
        <v>38533</v>
      </c>
      <c r="BF69" s="1246">
        <v>42750</v>
      </c>
      <c r="BG69" s="1249"/>
      <c r="BH69" s="1666">
        <v>29</v>
      </c>
      <c r="BI69" s="1660">
        <v>59</v>
      </c>
      <c r="BJ69" s="1688">
        <v>-30</v>
      </c>
      <c r="BK69" s="1536">
        <v>-0.50847457627118642</v>
      </c>
      <c r="BL69" s="1549"/>
      <c r="BM69" s="1665">
        <v>29</v>
      </c>
      <c r="BN69" s="1248">
        <v>59</v>
      </c>
      <c r="BO69" s="1249">
        <v>105</v>
      </c>
      <c r="BP69" s="1249">
        <v>-129</v>
      </c>
      <c r="BQ69" s="1249">
        <v>-82</v>
      </c>
      <c r="BR69" s="1249">
        <v>-5</v>
      </c>
      <c r="BS69" s="1249">
        <v>227</v>
      </c>
      <c r="BT69" s="1249">
        <v>20</v>
      </c>
      <c r="BU69" s="2144">
        <v>25</v>
      </c>
      <c r="BV69" s="2010">
        <v>94</v>
      </c>
      <c r="BW69" s="2010">
        <v>2226</v>
      </c>
      <c r="BX69" s="2003">
        <v>3339</v>
      </c>
      <c r="BY69" s="2117">
        <v>543</v>
      </c>
      <c r="BZ69" s="2084">
        <v>236</v>
      </c>
      <c r="CA69" s="2104"/>
      <c r="CB69" s="2104"/>
      <c r="CC69" s="2065"/>
      <c r="CE69" s="1920">
        <v>-13</v>
      </c>
      <c r="CF69" s="1180">
        <v>-0.68421052631578949</v>
      </c>
      <c r="CG69" s="1180">
        <v>8</v>
      </c>
      <c r="CH69" s="1180">
        <v>0.32706766917293234</v>
      </c>
      <c r="CI69" s="1180"/>
      <c r="CJ69" s="1920">
        <v>19</v>
      </c>
      <c r="CK69" s="1315">
        <v>10</v>
      </c>
      <c r="CL69" s="1920"/>
      <c r="CM69" s="1315">
        <v>-30</v>
      </c>
      <c r="CN69" s="1315">
        <v>-0.50847457627118642</v>
      </c>
      <c r="CO69" s="1315">
        <v>0</v>
      </c>
      <c r="CP69" s="1180">
        <v>0</v>
      </c>
    </row>
    <row r="70" spans="1:94" ht="12.75" customHeight="1" x14ac:dyDescent="0.2">
      <c r="A70" s="1552"/>
      <c r="B70" s="946" t="s">
        <v>612</v>
      </c>
      <c r="C70" s="1533">
        <v>317</v>
      </c>
      <c r="D70" s="1536" t="s">
        <v>41</v>
      </c>
      <c r="E70" s="2875"/>
      <c r="F70" s="2035">
        <v>246</v>
      </c>
      <c r="G70" s="2035">
        <v>147</v>
      </c>
      <c r="H70" s="1304">
        <v>-200</v>
      </c>
      <c r="I70" s="1304">
        <v>69</v>
      </c>
      <c r="J70" s="1253">
        <v>-71</v>
      </c>
      <c r="K70" s="1304">
        <v>-120</v>
      </c>
      <c r="L70" s="1304">
        <v>111</v>
      </c>
      <c r="M70" s="1304">
        <v>95</v>
      </c>
      <c r="N70" s="1304">
        <v>107</v>
      </c>
      <c r="O70" s="1307">
        <v>42</v>
      </c>
      <c r="P70" s="1304">
        <v>354</v>
      </c>
      <c r="Q70" s="1304">
        <v>265</v>
      </c>
      <c r="R70" s="1253">
        <v>174</v>
      </c>
      <c r="S70" s="1657">
        <v>363</v>
      </c>
      <c r="T70" s="1304">
        <v>950</v>
      </c>
      <c r="U70" s="1304">
        <v>38</v>
      </c>
      <c r="V70" s="1253">
        <v>-33</v>
      </c>
      <c r="W70" s="1657">
        <v>451</v>
      </c>
      <c r="X70" s="1304">
        <v>118</v>
      </c>
      <c r="Y70" s="1304">
        <v>10</v>
      </c>
      <c r="Z70" s="1253">
        <v>-157</v>
      </c>
      <c r="AA70" s="1657">
        <v>219</v>
      </c>
      <c r="AB70" s="1304">
        <v>-315</v>
      </c>
      <c r="AC70" s="1304">
        <v>-270</v>
      </c>
      <c r="AD70" s="1253">
        <v>120</v>
      </c>
      <c r="AE70" s="1269">
        <v>-241</v>
      </c>
      <c r="AF70" s="1269">
        <v>-287</v>
      </c>
      <c r="AG70" s="1304">
        <v>-5</v>
      </c>
      <c r="AH70" s="1253">
        <v>-198</v>
      </c>
      <c r="AI70" s="1269">
        <v>-6</v>
      </c>
      <c r="AJ70" s="1269">
        <v>17</v>
      </c>
      <c r="AK70" s="1304">
        <v>-68</v>
      </c>
      <c r="AL70" s="1304">
        <v>-53</v>
      </c>
      <c r="AM70" s="1198">
        <v>-38</v>
      </c>
      <c r="AN70" s="1269">
        <v>8</v>
      </c>
      <c r="AO70" s="1304">
        <v>-69</v>
      </c>
      <c r="AP70" s="1304">
        <v>45</v>
      </c>
      <c r="AQ70" s="1198">
        <v>1</v>
      </c>
      <c r="AR70" s="1269">
        <v>0</v>
      </c>
      <c r="AS70" s="1304">
        <v>0</v>
      </c>
      <c r="AT70" s="1304">
        <v>414</v>
      </c>
      <c r="AU70" s="1476">
        <v>0</v>
      </c>
      <c r="AV70" s="1304">
        <v>1</v>
      </c>
      <c r="AW70" s="1253">
        <v>0</v>
      </c>
      <c r="AX70" s="1253">
        <v>1</v>
      </c>
      <c r="AY70" s="1458">
        <v>60</v>
      </c>
      <c r="AZ70" s="1781"/>
      <c r="BA70" s="1781"/>
      <c r="BB70" s="1781"/>
      <c r="BC70" s="1781"/>
      <c r="BD70" s="1781"/>
      <c r="BE70" s="1781"/>
      <c r="BF70" s="1781"/>
      <c r="BG70" s="1249"/>
      <c r="BH70" s="1198">
        <v>-55</v>
      </c>
      <c r="BI70" s="1660">
        <v>193</v>
      </c>
      <c r="BJ70" s="1688">
        <v>-248</v>
      </c>
      <c r="BK70" s="1536">
        <v>-1.2849740932642486</v>
      </c>
      <c r="BL70" s="1551"/>
      <c r="BM70" s="1665">
        <v>-55</v>
      </c>
      <c r="BN70" s="1658">
        <v>193</v>
      </c>
      <c r="BO70" s="1665">
        <v>835</v>
      </c>
      <c r="BP70" s="1665">
        <v>1318</v>
      </c>
      <c r="BQ70" s="1249">
        <v>422</v>
      </c>
      <c r="BR70" s="1249">
        <v>-246</v>
      </c>
      <c r="BS70" s="1249">
        <v>-731</v>
      </c>
      <c r="BT70" s="1249">
        <v>-110</v>
      </c>
      <c r="BU70" s="2145">
        <v>-89</v>
      </c>
      <c r="BV70" s="2010">
        <v>158</v>
      </c>
      <c r="BW70" s="2010">
        <v>2224</v>
      </c>
      <c r="BX70" s="2003">
        <v>3314</v>
      </c>
      <c r="BY70" s="2119">
        <v>294</v>
      </c>
      <c r="BZ70" s="2120">
        <v>118</v>
      </c>
      <c r="CA70" s="2104"/>
      <c r="CB70" s="2104"/>
      <c r="CC70" s="2065"/>
      <c r="CE70" s="1920">
        <v>-243</v>
      </c>
      <c r="CF70" s="1180">
        <v>-0.68644067796610164</v>
      </c>
      <c r="CG70" s="1180">
        <v>560</v>
      </c>
      <c r="CH70" s="1180" t="e">
        <v>#VALUE!</v>
      </c>
      <c r="CI70" s="1180"/>
      <c r="CJ70" s="1920">
        <v>313</v>
      </c>
      <c r="CK70" s="1315">
        <v>-368</v>
      </c>
      <c r="CL70" s="1920"/>
      <c r="CM70" s="1315">
        <v>-248</v>
      </c>
      <c r="CN70" s="1315">
        <v>-1.2849740932642486</v>
      </c>
      <c r="CO70" s="1315">
        <v>0</v>
      </c>
      <c r="CP70" s="1180">
        <v>0</v>
      </c>
    </row>
    <row r="71" spans="1:94" ht="12.75" customHeight="1" x14ac:dyDescent="0.2">
      <c r="A71" s="1552"/>
      <c r="B71" s="946"/>
      <c r="C71" s="1534">
        <v>615</v>
      </c>
      <c r="D71" s="1535">
        <v>2.8222660731494653E-2</v>
      </c>
      <c r="E71" s="1519"/>
      <c r="F71" s="1174">
        <v>22406</v>
      </c>
      <c r="G71" s="2983">
        <v>28888</v>
      </c>
      <c r="H71" s="1281">
        <v>38542</v>
      </c>
      <c r="I71" s="1281">
        <v>19568</v>
      </c>
      <c r="J71" s="1782">
        <v>21791</v>
      </c>
      <c r="K71" s="1281">
        <v>34796</v>
      </c>
      <c r="L71" s="1276">
        <v>32222</v>
      </c>
      <c r="M71" s="1281">
        <v>34669</v>
      </c>
      <c r="N71" s="1281">
        <v>26771</v>
      </c>
      <c r="O71" s="1783">
        <v>62190</v>
      </c>
      <c r="P71" s="1281">
        <v>32011</v>
      </c>
      <c r="Q71" s="1281">
        <v>27892</v>
      </c>
      <c r="R71" s="1782">
        <v>24719</v>
      </c>
      <c r="S71" s="1281">
        <v>32565</v>
      </c>
      <c r="T71" s="1281">
        <v>29341</v>
      </c>
      <c r="U71" s="1281">
        <v>38339</v>
      </c>
      <c r="V71" s="1782">
        <v>45233</v>
      </c>
      <c r="W71" s="1695">
        <v>38594</v>
      </c>
      <c r="X71" s="1281">
        <v>23692</v>
      </c>
      <c r="Y71" s="1281">
        <v>48910</v>
      </c>
      <c r="Z71" s="1782">
        <v>44746</v>
      </c>
      <c r="AA71" s="1695">
        <v>63175</v>
      </c>
      <c r="AB71" s="1281">
        <v>65707</v>
      </c>
      <c r="AC71" s="1281">
        <v>42936</v>
      </c>
      <c r="AD71" s="1782">
        <v>40489</v>
      </c>
      <c r="AE71" s="1281">
        <v>45552</v>
      </c>
      <c r="AF71" s="1281">
        <v>44248</v>
      </c>
      <c r="AG71" s="1281">
        <v>39034</v>
      </c>
      <c r="AH71" s="1782">
        <v>29220</v>
      </c>
      <c r="AI71" s="1281">
        <v>19861</v>
      </c>
      <c r="AJ71" s="1281">
        <v>12748</v>
      </c>
      <c r="AK71" s="1281">
        <v>9338</v>
      </c>
      <c r="AL71" s="1281">
        <v>9246</v>
      </c>
      <c r="AM71" s="1783">
        <v>34555</v>
      </c>
      <c r="AN71" s="1281">
        <v>23339</v>
      </c>
      <c r="AO71" s="1281">
        <v>18338</v>
      </c>
      <c r="AP71" s="1281">
        <v>53057</v>
      </c>
      <c r="AQ71" s="1783">
        <v>32806</v>
      </c>
      <c r="AR71" s="1281">
        <v>57181</v>
      </c>
      <c r="AS71" s="1281">
        <v>27314</v>
      </c>
      <c r="AT71" s="1281">
        <v>30054</v>
      </c>
      <c r="AU71" s="1783">
        <v>25033</v>
      </c>
      <c r="AV71" s="1281">
        <v>12639</v>
      </c>
      <c r="AW71" s="1782">
        <v>23461</v>
      </c>
      <c r="AX71" s="1782">
        <v>34352</v>
      </c>
      <c r="AY71" s="1782">
        <v>31944</v>
      </c>
      <c r="AZ71" s="1784"/>
      <c r="BA71" s="1784"/>
      <c r="BB71" s="1784"/>
      <c r="BC71" s="1784"/>
      <c r="BD71" s="1784"/>
      <c r="BE71" s="1784"/>
      <c r="BF71" s="1784"/>
      <c r="BG71" s="1785"/>
      <c r="BH71" s="1281">
        <v>108789</v>
      </c>
      <c r="BI71" s="1281">
        <v>128458</v>
      </c>
      <c r="BJ71" s="1786">
        <v>-19669</v>
      </c>
      <c r="BK71" s="1700">
        <v>-0.15311619361970449</v>
      </c>
      <c r="BL71" s="1522"/>
      <c r="BM71" s="1813">
        <v>108789</v>
      </c>
      <c r="BN71" s="1782">
        <v>128458</v>
      </c>
      <c r="BO71" s="1469">
        <v>146812</v>
      </c>
      <c r="BP71" s="1469">
        <v>145478</v>
      </c>
      <c r="BQ71" s="1469">
        <v>155942</v>
      </c>
      <c r="BR71" s="1469">
        <v>212307</v>
      </c>
      <c r="BS71" s="1469">
        <v>158054</v>
      </c>
      <c r="BT71" s="1469">
        <v>51193</v>
      </c>
      <c r="BU71" s="2058">
        <v>92677</v>
      </c>
      <c r="BV71" s="2058">
        <v>82454</v>
      </c>
      <c r="BW71" s="1970">
        <v>72926</v>
      </c>
      <c r="BX71" s="2127">
        <v>118332</v>
      </c>
      <c r="BY71" s="2127">
        <v>187562</v>
      </c>
      <c r="BZ71" s="2127">
        <v>150470</v>
      </c>
      <c r="CA71" s="2104"/>
      <c r="CB71" s="2104"/>
      <c r="CC71" s="1483"/>
      <c r="CE71" s="1920">
        <v>211</v>
      </c>
      <c r="CF71" s="1180">
        <v>6.5914841773140479E-3</v>
      </c>
      <c r="CG71" s="1180">
        <v>404</v>
      </c>
      <c r="CH71" s="1180">
        <v>2.1631176554180606E-2</v>
      </c>
      <c r="CI71" s="1180"/>
      <c r="CJ71" s="1920">
        <v>93662</v>
      </c>
      <c r="CK71" s="1315">
        <v>15127</v>
      </c>
      <c r="CL71" s="1920"/>
      <c r="CM71" s="1315">
        <v>-19669</v>
      </c>
      <c r="CN71" s="1315">
        <v>-0.15311619361970449</v>
      </c>
      <c r="CO71" s="1315">
        <v>0</v>
      </c>
      <c r="CP71" s="1180">
        <v>0</v>
      </c>
    </row>
    <row r="72" spans="1:94" ht="12.75" customHeight="1" x14ac:dyDescent="0.2">
      <c r="A72" s="1552"/>
      <c r="B72" s="946"/>
      <c r="C72" s="1533"/>
      <c r="D72" s="1536"/>
      <c r="E72" s="1519"/>
      <c r="F72" s="1160"/>
      <c r="G72" s="2984"/>
      <c r="H72" s="1246"/>
      <c r="I72" s="1246"/>
      <c r="J72" s="1248"/>
      <c r="K72" s="1246"/>
      <c r="L72" s="1269"/>
      <c r="M72" s="1246"/>
      <c r="N72" s="1246"/>
      <c r="O72" s="1783"/>
      <c r="P72" s="1246"/>
      <c r="Q72" s="1246"/>
      <c r="R72" s="1458"/>
      <c r="S72" s="1703"/>
      <c r="T72" s="1246"/>
      <c r="U72" s="1246"/>
      <c r="V72" s="1458"/>
      <c r="W72" s="1703"/>
      <c r="X72" s="1246"/>
      <c r="Y72" s="1246"/>
      <c r="Z72" s="1458"/>
      <c r="AA72" s="1703"/>
      <c r="AB72" s="1246"/>
      <c r="AC72" s="1246"/>
      <c r="AD72" s="1458"/>
      <c r="AE72" s="1246"/>
      <c r="AF72" s="1463"/>
      <c r="AG72" s="1246"/>
      <c r="AH72" s="1248"/>
      <c r="AI72" s="1246"/>
      <c r="AJ72" s="1463"/>
      <c r="AK72" s="1246"/>
      <c r="AL72" s="1246"/>
      <c r="AM72" s="1476"/>
      <c r="AN72" s="1254"/>
      <c r="AO72" s="1254"/>
      <c r="AP72" s="1254"/>
      <c r="AQ72" s="1464"/>
      <c r="AR72" s="1254"/>
      <c r="AS72" s="1254"/>
      <c r="AT72" s="1254"/>
      <c r="AU72" s="1246"/>
      <c r="AV72" s="1246"/>
      <c r="AW72" s="1246"/>
      <c r="AX72" s="1246"/>
      <c r="AY72" s="1246"/>
      <c r="AZ72" s="1784"/>
      <c r="BA72" s="1784"/>
      <c r="BB72" s="1784"/>
      <c r="BC72" s="1784"/>
      <c r="BD72" s="1784"/>
      <c r="BE72" s="1784"/>
      <c r="BF72" s="1784"/>
      <c r="BG72" s="1785"/>
      <c r="BH72" s="1254"/>
      <c r="BI72" s="1254"/>
      <c r="BJ72" s="1752"/>
      <c r="BK72" s="1705"/>
      <c r="BL72" s="1522"/>
      <c r="BM72" s="1706"/>
      <c r="BN72" s="1706"/>
      <c r="BO72" s="1706"/>
      <c r="BP72" s="1706"/>
      <c r="BQ72" s="1706"/>
      <c r="BR72" s="1706"/>
      <c r="BS72" s="1706"/>
      <c r="BT72" s="1706"/>
      <c r="BU72" s="2128"/>
      <c r="BV72" s="2128"/>
      <c r="BW72" s="2129"/>
      <c r="BX72" s="2128"/>
      <c r="BY72" s="2129"/>
      <c r="BZ72" s="2130"/>
      <c r="CA72" s="2104"/>
      <c r="CB72" s="2104"/>
      <c r="CC72" s="1483"/>
      <c r="CE72" s="1920"/>
      <c r="CF72" s="1180"/>
      <c r="CG72" s="1180"/>
      <c r="CH72" s="1180"/>
      <c r="CI72" s="1180"/>
      <c r="CJ72" s="1920"/>
      <c r="CK72" s="1315"/>
      <c r="CL72" s="1920"/>
      <c r="CM72" s="1315"/>
      <c r="CN72" s="1315"/>
      <c r="CO72" s="1315"/>
      <c r="CP72" s="1180"/>
    </row>
    <row r="73" spans="1:94" s="1180" customFormat="1" ht="13.5" customHeight="1" x14ac:dyDescent="0.2">
      <c r="A73" s="1350"/>
      <c r="B73" s="946" t="s">
        <v>633</v>
      </c>
      <c r="C73" s="1534">
        <v>73</v>
      </c>
      <c r="D73" s="1535">
        <v>0.25259515570934254</v>
      </c>
      <c r="E73" s="1818"/>
      <c r="F73" s="1320">
        <v>-216</v>
      </c>
      <c r="G73" s="2319">
        <v>-171</v>
      </c>
      <c r="H73" s="1787">
        <v>-511</v>
      </c>
      <c r="I73" s="1787">
        <v>-225</v>
      </c>
      <c r="J73" s="1789">
        <v>-289</v>
      </c>
      <c r="K73" s="1787">
        <v>-429</v>
      </c>
      <c r="L73" s="1395">
        <v>-214</v>
      </c>
      <c r="M73" s="1787">
        <v>-209</v>
      </c>
      <c r="N73" s="1787">
        <v>-236</v>
      </c>
      <c r="O73" s="1788">
        <v>-329</v>
      </c>
      <c r="P73" s="1787">
        <v>-269</v>
      </c>
      <c r="Q73" s="1787">
        <v>-284</v>
      </c>
      <c r="R73" s="1253">
        <v>-337</v>
      </c>
      <c r="S73" s="1787">
        <v>-498</v>
      </c>
      <c r="T73" s="1787">
        <v>-393</v>
      </c>
      <c r="U73" s="1787">
        <v>-263</v>
      </c>
      <c r="V73" s="1458">
        <v>-433</v>
      </c>
      <c r="W73" s="1787">
        <v>-546</v>
      </c>
      <c r="X73" s="1787">
        <v>-433</v>
      </c>
      <c r="Y73" s="1787">
        <v>-574</v>
      </c>
      <c r="Z73" s="1458">
        <v>-741</v>
      </c>
      <c r="AA73" s="1787">
        <v>-951</v>
      </c>
      <c r="AB73" s="1787">
        <v>-802</v>
      </c>
      <c r="AC73" s="1787">
        <v>0</v>
      </c>
      <c r="AD73" s="1458">
        <v>0</v>
      </c>
      <c r="AE73" s="1788">
        <v>-276</v>
      </c>
      <c r="AF73" s="1787">
        <v>-520</v>
      </c>
      <c r="AG73" s="1787">
        <v>0</v>
      </c>
      <c r="AH73" s="1782">
        <v>-190</v>
      </c>
      <c r="AI73" s="1788">
        <v>0</v>
      </c>
      <c r="AJ73" s="1787">
        <v>0</v>
      </c>
      <c r="AK73" s="1787">
        <v>0</v>
      </c>
      <c r="AL73" s="1789">
        <v>0</v>
      </c>
      <c r="AM73" s="1788">
        <v>0</v>
      </c>
      <c r="AN73" s="1790">
        <v>0</v>
      </c>
      <c r="AO73" s="1790">
        <v>0</v>
      </c>
      <c r="AP73" s="1791">
        <v>0</v>
      </c>
      <c r="AQ73" s="1792" t="s">
        <v>181</v>
      </c>
      <c r="AR73" s="1793" t="s">
        <v>181</v>
      </c>
      <c r="AS73" s="1793" t="s">
        <v>181</v>
      </c>
      <c r="AT73" s="1793" t="s">
        <v>181</v>
      </c>
      <c r="AU73" s="1794"/>
      <c r="AV73" s="1794"/>
      <c r="AW73" s="1794"/>
      <c r="AX73" s="1794"/>
      <c r="AY73" s="1794"/>
      <c r="AZ73" s="1795"/>
      <c r="BA73" s="1795"/>
      <c r="BB73" s="1795"/>
      <c r="BC73" s="1795"/>
      <c r="BD73" s="1795"/>
      <c r="BE73" s="1795"/>
      <c r="BF73" s="1795"/>
      <c r="BG73" s="1796"/>
      <c r="BH73" s="1254">
        <v>-1196</v>
      </c>
      <c r="BI73" s="1395">
        <v>-1088</v>
      </c>
      <c r="BJ73" s="1790">
        <v>-108</v>
      </c>
      <c r="BK73" s="1309">
        <v>-9.9264705882352935E-2</v>
      </c>
      <c r="BL73" s="1797"/>
      <c r="BM73" s="1469">
        <v>-1196</v>
      </c>
      <c r="BN73" s="1469">
        <v>-1088</v>
      </c>
      <c r="BO73" s="1469">
        <v>-1219</v>
      </c>
      <c r="BP73" s="1469">
        <v>-1587</v>
      </c>
      <c r="BQ73" s="1798">
        <v>-2294</v>
      </c>
      <c r="BR73" s="1798">
        <v>-1753</v>
      </c>
      <c r="BS73" s="1798">
        <v>-986</v>
      </c>
      <c r="BT73" s="1798">
        <v>0</v>
      </c>
      <c r="BU73" s="2159">
        <v>0</v>
      </c>
      <c r="BV73" s="2131">
        <v>0</v>
      </c>
      <c r="BW73" s="2160" t="s">
        <v>181</v>
      </c>
      <c r="BX73" s="2131" t="s">
        <v>181</v>
      </c>
      <c r="BY73" s="2131" t="s">
        <v>181</v>
      </c>
      <c r="BZ73" s="1157"/>
      <c r="CA73" s="2021"/>
      <c r="CB73" s="2021"/>
      <c r="CC73" s="1144"/>
      <c r="CE73" s="1920">
        <v>55</v>
      </c>
      <c r="CF73" s="1180">
        <v>-0.20446096654275092</v>
      </c>
      <c r="CG73" s="1180">
        <v>18</v>
      </c>
      <c r="CH73" s="1180">
        <v>0.45705612225209347</v>
      </c>
      <c r="CJ73" s="1920">
        <v>-659</v>
      </c>
      <c r="CK73" s="1315">
        <v>-537</v>
      </c>
      <c r="CL73" s="1920"/>
      <c r="CM73" s="1315">
        <v>-108</v>
      </c>
      <c r="CN73" s="1315">
        <v>9.9264705882352935E-2</v>
      </c>
      <c r="CO73" s="1315">
        <v>0</v>
      </c>
      <c r="CP73" s="1180">
        <v>-0.19852941176470587</v>
      </c>
    </row>
    <row r="74" spans="1:94" x14ac:dyDescent="0.2">
      <c r="C74" s="1522"/>
      <c r="D74" s="1522"/>
      <c r="E74" s="1484"/>
      <c r="F74" s="1484"/>
      <c r="G74" s="1484"/>
      <c r="H74" s="1523"/>
      <c r="I74" s="1523"/>
      <c r="J74" s="1523"/>
      <c r="K74" s="1523"/>
      <c r="L74" s="1526"/>
      <c r="M74" s="1523"/>
      <c r="N74" s="1523"/>
      <c r="O74" s="1523"/>
      <c r="P74" s="1523"/>
      <c r="Q74" s="1523"/>
      <c r="R74" s="1523"/>
      <c r="S74" s="1563"/>
      <c r="T74" s="1563"/>
      <c r="U74" s="1563"/>
      <c r="V74" s="1563"/>
      <c r="W74" s="1563"/>
      <c r="X74" s="1563"/>
      <c r="Y74" s="1563"/>
      <c r="Z74" s="1563"/>
      <c r="AA74" s="1563"/>
      <c r="AB74" s="1563"/>
      <c r="AC74" s="1563"/>
      <c r="AD74" s="1563"/>
      <c r="AE74" s="1563"/>
      <c r="AF74" s="1563"/>
      <c r="AG74" s="1563"/>
      <c r="AH74" s="1563"/>
      <c r="AI74" s="1563"/>
      <c r="AJ74" s="1563"/>
      <c r="AK74" s="1563"/>
      <c r="AL74" s="1563"/>
      <c r="AM74" s="1563"/>
      <c r="AN74" s="1563"/>
      <c r="AO74" s="1563"/>
      <c r="AP74" s="1563"/>
      <c r="AQ74" s="1563"/>
      <c r="AR74" s="1563"/>
      <c r="AS74" s="1563"/>
      <c r="AT74" s="1563"/>
      <c r="AU74" s="1563"/>
      <c r="AV74" s="1563"/>
      <c r="AW74" s="1563"/>
      <c r="AX74" s="1563"/>
      <c r="AY74" s="1563"/>
      <c r="AZ74" s="1563"/>
      <c r="BA74" s="1563"/>
      <c r="BB74" s="1563"/>
      <c r="BC74" s="1563"/>
      <c r="BD74" s="1563"/>
      <c r="BE74" s="1563"/>
      <c r="BF74" s="1563"/>
      <c r="BG74" s="1563"/>
      <c r="BH74" s="1563"/>
      <c r="BI74" s="1563"/>
      <c r="BJ74" s="1799"/>
      <c r="BK74" s="1710"/>
      <c r="BL74" s="1563"/>
      <c r="BM74" s="1563"/>
      <c r="BN74" s="1563"/>
      <c r="BO74" s="1563"/>
      <c r="BP74" s="1563"/>
      <c r="BQ74" s="1563"/>
      <c r="BR74" s="1563"/>
      <c r="BS74" s="1563"/>
      <c r="BT74" s="1563"/>
      <c r="BU74" s="2060"/>
      <c r="BV74" s="2060"/>
      <c r="BW74" s="2060"/>
      <c r="BX74" s="2060"/>
      <c r="BY74" s="2060"/>
      <c r="BZ74" s="2060"/>
      <c r="CA74" s="2060">
        <v>0</v>
      </c>
      <c r="CB74" s="2060">
        <v>0</v>
      </c>
      <c r="CC74" s="2060">
        <v>0</v>
      </c>
    </row>
    <row r="75" spans="1:94" x14ac:dyDescent="0.2">
      <c r="A75" s="946" t="s">
        <v>357</v>
      </c>
      <c r="AX75" s="2749"/>
      <c r="AY75" s="2749"/>
      <c r="AZ75" s="2749"/>
      <c r="BA75" s="2749"/>
      <c r="BB75" s="2749"/>
      <c r="BC75" s="2749"/>
      <c r="BD75" s="2749"/>
      <c r="BE75" s="2749"/>
      <c r="BF75" s="2749"/>
      <c r="BH75" s="2749"/>
      <c r="BI75" s="2749"/>
      <c r="BJ75" s="2753"/>
      <c r="BK75" s="2753"/>
      <c r="BL75" s="2749"/>
      <c r="BM75" s="2749"/>
      <c r="BN75" s="2749"/>
      <c r="BO75" s="2749"/>
      <c r="BP75" s="2749"/>
      <c r="BQ75" s="2749"/>
      <c r="BR75" s="2749"/>
      <c r="BS75" s="2749"/>
      <c r="BT75" s="2749"/>
      <c r="BU75" s="2742"/>
      <c r="BV75" s="2742"/>
      <c r="BW75" s="2742"/>
      <c r="BX75" s="2742"/>
      <c r="BY75" s="2736"/>
      <c r="BZ75" s="2736"/>
    </row>
    <row r="76" spans="1:94" x14ac:dyDescent="0.2">
      <c r="A76" s="971" t="s">
        <v>28</v>
      </c>
      <c r="H76" s="2203"/>
      <c r="I76" s="2203"/>
      <c r="AX76" s="1077"/>
      <c r="AY76" s="1077"/>
      <c r="AZ76" s="1077"/>
      <c r="BA76" s="1077"/>
      <c r="BB76" s="1077"/>
      <c r="BC76" s="1077"/>
      <c r="BD76" s="1077"/>
      <c r="BE76" s="1077"/>
      <c r="BF76" s="1065"/>
      <c r="BH76" s="2749"/>
      <c r="BI76" s="2749"/>
      <c r="BX76" s="1929"/>
      <c r="BY76" s="1929"/>
    </row>
    <row r="77" spans="1:94" x14ac:dyDescent="0.2">
      <c r="A77" s="946" t="s">
        <v>709</v>
      </c>
      <c r="AX77" s="1077"/>
      <c r="AY77" s="1077"/>
      <c r="AZ77" s="1077"/>
      <c r="BA77" s="1077"/>
      <c r="BB77" s="1077"/>
      <c r="BC77" s="1077"/>
      <c r="BD77" s="1077"/>
      <c r="BE77" s="1077"/>
      <c r="BF77" s="1065"/>
      <c r="BH77" s="2749"/>
      <c r="BI77" s="2749"/>
      <c r="BX77" s="1929"/>
      <c r="BY77" s="1929"/>
    </row>
    <row r="78" spans="1:94" x14ac:dyDescent="0.2">
      <c r="AX78" s="1077"/>
      <c r="AY78" s="1077"/>
      <c r="AZ78" s="1077"/>
      <c r="BA78" s="1077"/>
      <c r="BB78" s="1077"/>
      <c r="BC78" s="1077"/>
      <c r="BD78" s="1077"/>
      <c r="BE78" s="1077"/>
      <c r="BF78" s="1065"/>
      <c r="BH78" s="2749"/>
      <c r="BI78" s="2749"/>
      <c r="BX78" s="1929"/>
      <c r="BY78" s="1929"/>
    </row>
    <row r="79" spans="1:94" x14ac:dyDescent="0.2">
      <c r="AX79" s="1077"/>
      <c r="AY79" s="1077"/>
      <c r="AZ79" s="1077"/>
      <c r="BA79" s="1077"/>
      <c r="BB79" s="1077"/>
      <c r="BC79" s="1077"/>
      <c r="BD79" s="1077"/>
      <c r="BE79" s="1077"/>
      <c r="BF79" s="1077"/>
      <c r="BH79" s="2749"/>
      <c r="BI79" s="2749"/>
      <c r="BX79" s="1929"/>
      <c r="BY79" s="1929"/>
    </row>
    <row r="80" spans="1:94" x14ac:dyDescent="0.2">
      <c r="AX80" s="1077"/>
      <c r="AY80" s="1077"/>
      <c r="AZ80" s="1077"/>
      <c r="BA80" s="1077"/>
      <c r="BB80" s="1077"/>
      <c r="BC80" s="1077"/>
      <c r="BD80" s="1077"/>
      <c r="BE80" s="1077"/>
      <c r="BF80" s="1077"/>
      <c r="BH80" s="2749"/>
      <c r="BI80" s="2749"/>
      <c r="BX80" s="1929"/>
      <c r="BY80" s="1929"/>
    </row>
    <row r="81" spans="5:77" x14ac:dyDescent="0.2">
      <c r="E81" s="2734"/>
      <c r="F81" s="2734"/>
      <c r="G81" s="2734"/>
      <c r="H81" s="2748"/>
      <c r="I81" s="2748"/>
      <c r="K81" s="2748"/>
      <c r="L81" s="2743"/>
      <c r="M81" s="2748"/>
      <c r="N81" s="2748"/>
      <c r="O81" s="2748"/>
      <c r="P81" s="2748"/>
      <c r="Q81" s="2748"/>
      <c r="R81" s="2748"/>
      <c r="S81" s="2748"/>
      <c r="T81" s="2748"/>
      <c r="U81" s="2748"/>
      <c r="V81" s="2748"/>
      <c r="W81" s="2748"/>
      <c r="X81" s="2748"/>
      <c r="Y81" s="2748"/>
      <c r="Z81" s="2748"/>
      <c r="AA81" s="2748"/>
      <c r="AB81" s="2748"/>
      <c r="AC81" s="2748"/>
      <c r="AD81" s="2748"/>
      <c r="AE81" s="2748"/>
      <c r="AF81" s="2748"/>
      <c r="AG81" s="2748"/>
      <c r="AH81" s="2748"/>
      <c r="AI81" s="2748"/>
      <c r="AJ81" s="2748"/>
      <c r="AK81" s="2748"/>
      <c r="AL81" s="2748"/>
      <c r="AM81" s="2748"/>
      <c r="AN81" s="2748"/>
      <c r="AO81" s="2748"/>
      <c r="AP81" s="2748"/>
      <c r="AQ81" s="2748"/>
      <c r="AR81" s="2748"/>
      <c r="AS81" s="2748"/>
      <c r="AT81" s="2748"/>
      <c r="AU81" s="2748"/>
      <c r="AV81" s="2748"/>
      <c r="AW81" s="2748"/>
      <c r="AX81" s="1077"/>
      <c r="AY81" s="1077"/>
      <c r="AZ81" s="1077"/>
      <c r="BA81" s="1077"/>
      <c r="BB81" s="1077"/>
      <c r="BC81" s="1077"/>
      <c r="BD81" s="1077"/>
      <c r="BE81" s="1077"/>
      <c r="BF81" s="1077"/>
      <c r="BH81" s="2749"/>
      <c r="BI81" s="2749"/>
      <c r="BX81" s="2742"/>
      <c r="BY81" s="2742"/>
    </row>
    <row r="82" spans="5:77" x14ac:dyDescent="0.2">
      <c r="E82" s="2734"/>
      <c r="F82" s="2734"/>
      <c r="G82" s="2734"/>
      <c r="H82" s="2748"/>
      <c r="I82" s="2748"/>
      <c r="K82" s="2748"/>
      <c r="L82" s="2743"/>
      <c r="M82" s="2748"/>
      <c r="N82" s="2748"/>
      <c r="O82" s="2748"/>
      <c r="P82" s="2748"/>
      <c r="Q82" s="2748"/>
      <c r="R82" s="2748"/>
      <c r="S82" s="2748"/>
      <c r="T82" s="2748"/>
      <c r="U82" s="2748"/>
      <c r="V82" s="2748"/>
      <c r="W82" s="2748"/>
      <c r="X82" s="2748"/>
      <c r="Y82" s="2748"/>
      <c r="Z82" s="2748"/>
      <c r="AA82" s="2748"/>
      <c r="AB82" s="2748"/>
      <c r="AC82" s="2748"/>
      <c r="AD82" s="2748"/>
      <c r="AE82" s="2748"/>
      <c r="AF82" s="2748"/>
      <c r="AG82" s="2748"/>
      <c r="AH82" s="2748"/>
      <c r="AI82" s="2748"/>
      <c r="AJ82" s="2748"/>
      <c r="AK82" s="2748"/>
      <c r="AL82" s="2748"/>
      <c r="AM82" s="2748"/>
      <c r="AN82" s="2748"/>
      <c r="AO82" s="2748"/>
      <c r="AP82" s="2748"/>
      <c r="AQ82" s="2748"/>
      <c r="AR82" s="2748"/>
      <c r="AS82" s="2748"/>
      <c r="AT82" s="2748"/>
      <c r="AU82" s="2748"/>
      <c r="AV82" s="2748"/>
      <c r="AW82" s="2748"/>
      <c r="AX82" s="2749"/>
      <c r="AY82" s="2749"/>
      <c r="AZ82" s="2749"/>
      <c r="BA82" s="2749"/>
      <c r="BB82" s="2749"/>
      <c r="BC82" s="2749"/>
      <c r="BD82" s="2749"/>
      <c r="BE82" s="2749"/>
      <c r="BF82" s="2749"/>
      <c r="BH82" s="2749"/>
      <c r="BI82" s="2749"/>
      <c r="BX82" s="2742"/>
      <c r="BY82" s="2742"/>
    </row>
    <row r="83" spans="5:77" x14ac:dyDescent="0.2">
      <c r="E83" s="2734"/>
      <c r="F83" s="2734"/>
      <c r="G83" s="2734"/>
      <c r="H83" s="2748"/>
      <c r="I83" s="2748"/>
      <c r="J83" s="2748"/>
      <c r="K83" s="2748"/>
      <c r="L83" s="2743"/>
      <c r="M83" s="2748"/>
      <c r="N83" s="2748"/>
      <c r="O83" s="2748"/>
      <c r="P83" s="2748"/>
      <c r="Q83" s="2748"/>
      <c r="R83" s="2748"/>
      <c r="S83" s="2748"/>
      <c r="T83" s="2748"/>
      <c r="U83" s="2748"/>
      <c r="V83" s="2748"/>
      <c r="W83" s="2748"/>
      <c r="X83" s="2748"/>
      <c r="Y83" s="2748"/>
      <c r="Z83" s="2748"/>
      <c r="AA83" s="2748"/>
      <c r="AB83" s="2748"/>
      <c r="AC83" s="2748"/>
      <c r="AD83" s="2748"/>
      <c r="AE83" s="2748"/>
      <c r="AF83" s="2748"/>
      <c r="AG83" s="2748"/>
      <c r="AH83" s="2748"/>
      <c r="AI83" s="2748"/>
      <c r="AJ83" s="2748"/>
      <c r="AK83" s="2748"/>
      <c r="AL83" s="2748"/>
      <c r="AM83" s="2748"/>
      <c r="AN83" s="2748"/>
      <c r="AO83" s="2748"/>
      <c r="AP83" s="2748"/>
      <c r="AQ83" s="2748"/>
      <c r="AR83" s="2748"/>
      <c r="AS83" s="2748"/>
      <c r="AT83" s="2748"/>
      <c r="AU83" s="2748"/>
      <c r="AV83" s="2748"/>
      <c r="AW83" s="2748"/>
      <c r="AX83" s="2749"/>
      <c r="AY83" s="2749"/>
      <c r="AZ83" s="2749"/>
      <c r="BA83" s="2749"/>
      <c r="BB83" s="2749"/>
      <c r="BC83" s="2749"/>
      <c r="BD83" s="2749"/>
      <c r="BE83" s="2749"/>
      <c r="BF83" s="2749"/>
      <c r="BH83" s="2749"/>
      <c r="BI83" s="2749"/>
      <c r="BX83" s="2742"/>
      <c r="BY83" s="2742"/>
    </row>
    <row r="84" spans="5:77" x14ac:dyDescent="0.2">
      <c r="E84" s="2734"/>
      <c r="F84" s="2734"/>
      <c r="G84" s="2734"/>
      <c r="H84" s="2748"/>
      <c r="I84" s="2748"/>
      <c r="J84" s="2748"/>
      <c r="K84" s="2748"/>
      <c r="L84" s="2743"/>
      <c r="M84" s="2748"/>
      <c r="N84" s="2748"/>
      <c r="O84" s="2748"/>
      <c r="P84" s="2748"/>
      <c r="Q84" s="2748"/>
      <c r="R84" s="2748"/>
      <c r="S84" s="2748"/>
      <c r="T84" s="2748"/>
      <c r="U84" s="2748"/>
      <c r="V84" s="2748"/>
      <c r="W84" s="2748"/>
      <c r="X84" s="2748"/>
      <c r="Y84" s="2748"/>
      <c r="Z84" s="2748"/>
      <c r="AA84" s="2748"/>
      <c r="AB84" s="2748"/>
      <c r="AC84" s="2748"/>
      <c r="AD84" s="2748"/>
      <c r="AE84" s="2748"/>
      <c r="AF84" s="2748"/>
      <c r="AG84" s="2748"/>
      <c r="AH84" s="2748"/>
      <c r="AI84" s="2748"/>
      <c r="AJ84" s="2748"/>
      <c r="AK84" s="2748"/>
      <c r="AL84" s="2748"/>
      <c r="AM84" s="2748"/>
      <c r="AN84" s="2748"/>
      <c r="AO84" s="2748"/>
      <c r="AP84" s="2748"/>
      <c r="AQ84" s="2748"/>
      <c r="AR84" s="2748"/>
      <c r="AS84" s="2748"/>
      <c r="AT84" s="2748"/>
      <c r="AU84" s="2748"/>
      <c r="AV84" s="2748"/>
      <c r="AW84" s="2748"/>
      <c r="AX84" s="2749"/>
      <c r="AY84" s="2749"/>
      <c r="AZ84" s="2749"/>
      <c r="BA84" s="2749"/>
      <c r="BB84" s="2749"/>
      <c r="BC84" s="2749"/>
      <c r="BD84" s="2749"/>
      <c r="BE84" s="2749"/>
      <c r="BF84" s="2749"/>
      <c r="BH84" s="2749"/>
      <c r="BI84" s="2749"/>
      <c r="BX84" s="2742"/>
      <c r="BY84" s="2742"/>
    </row>
    <row r="85" spans="5:77" x14ac:dyDescent="0.2">
      <c r="E85" s="2734"/>
      <c r="F85" s="2734"/>
      <c r="G85" s="2734"/>
      <c r="H85" s="2748"/>
      <c r="I85" s="2748"/>
      <c r="J85" s="2748"/>
      <c r="K85" s="2748"/>
      <c r="L85" s="2743"/>
      <c r="M85" s="2748"/>
      <c r="N85" s="2748"/>
      <c r="O85" s="2748"/>
      <c r="P85" s="2748"/>
      <c r="Q85" s="2748"/>
      <c r="R85" s="2748"/>
      <c r="S85" s="2748"/>
      <c r="T85" s="2748"/>
      <c r="U85" s="2748"/>
      <c r="V85" s="2748"/>
      <c r="W85" s="2748"/>
      <c r="X85" s="2748"/>
      <c r="Y85" s="2748"/>
      <c r="Z85" s="2748"/>
      <c r="AA85" s="2748"/>
      <c r="AB85" s="2748"/>
      <c r="AC85" s="2748"/>
      <c r="AD85" s="2748"/>
      <c r="AE85" s="2748"/>
      <c r="AF85" s="2748"/>
      <c r="AG85" s="2748"/>
      <c r="AH85" s="2748"/>
      <c r="AI85" s="2748"/>
      <c r="AJ85" s="2748"/>
      <c r="AK85" s="2748"/>
      <c r="AL85" s="2748"/>
      <c r="AM85" s="2748"/>
      <c r="AN85" s="2748"/>
      <c r="AO85" s="2748"/>
      <c r="AP85" s="2748"/>
      <c r="AQ85" s="2748"/>
      <c r="AR85" s="2748"/>
      <c r="AS85" s="2748"/>
      <c r="AT85" s="2748"/>
      <c r="AU85" s="2748"/>
      <c r="AV85" s="2748"/>
      <c r="AW85" s="2748"/>
      <c r="AX85" s="2749"/>
      <c r="AY85" s="2749"/>
      <c r="AZ85" s="2749"/>
      <c r="BA85" s="2749"/>
      <c r="BB85" s="2749"/>
      <c r="BC85" s="2749"/>
      <c r="BD85" s="2749"/>
      <c r="BE85" s="2749"/>
      <c r="BF85" s="2749"/>
      <c r="BH85" s="2749"/>
      <c r="BI85" s="2749"/>
      <c r="BX85" s="2742"/>
      <c r="BY85" s="2742"/>
    </row>
    <row r="86" spans="5:77" x14ac:dyDescent="0.2">
      <c r="E86" s="2734"/>
      <c r="F86" s="2734"/>
      <c r="G86" s="2734"/>
      <c r="H86" s="2748"/>
      <c r="I86" s="2748"/>
      <c r="J86" s="2748"/>
      <c r="K86" s="2748"/>
      <c r="L86" s="2743"/>
      <c r="M86" s="2748"/>
      <c r="N86" s="2748"/>
      <c r="O86" s="2748"/>
      <c r="P86" s="2748"/>
      <c r="Q86" s="2748"/>
      <c r="R86" s="2748"/>
      <c r="S86" s="2748"/>
      <c r="T86" s="2748"/>
      <c r="U86" s="2748"/>
      <c r="V86" s="2748"/>
      <c r="W86" s="2748"/>
      <c r="X86" s="2748"/>
      <c r="Y86" s="2748"/>
      <c r="Z86" s="2748"/>
      <c r="AA86" s="2748"/>
      <c r="AB86" s="2748"/>
      <c r="AC86" s="2748"/>
      <c r="AD86" s="2748"/>
      <c r="AE86" s="2748"/>
      <c r="AF86" s="2748"/>
      <c r="AG86" s="2748"/>
      <c r="AH86" s="2748"/>
      <c r="AI86" s="2748"/>
      <c r="AJ86" s="2748"/>
      <c r="AK86" s="2748"/>
      <c r="AL86" s="2748"/>
      <c r="AM86" s="2748"/>
      <c r="AN86" s="2748"/>
      <c r="AO86" s="2748"/>
      <c r="AP86" s="2748"/>
      <c r="AQ86" s="2748"/>
      <c r="AR86" s="2748"/>
      <c r="AS86" s="2748"/>
      <c r="AT86" s="2748"/>
      <c r="AU86" s="2748"/>
      <c r="AV86" s="2748"/>
      <c r="AW86" s="2748"/>
      <c r="AX86" s="2749"/>
      <c r="AY86" s="2749"/>
      <c r="AZ86" s="2749"/>
      <c r="BA86" s="2749"/>
      <c r="BB86" s="2749"/>
      <c r="BC86" s="2749"/>
      <c r="BD86" s="2749"/>
      <c r="BE86" s="2749"/>
      <c r="BF86" s="2749"/>
      <c r="BH86" s="2749"/>
      <c r="BI86" s="2749"/>
    </row>
  </sheetData>
  <mergeCells count="11">
    <mergeCell ref="C63:D63"/>
    <mergeCell ref="C64:D64"/>
    <mergeCell ref="BJ64:BK64"/>
    <mergeCell ref="A38:B38"/>
    <mergeCell ref="C11:D11"/>
    <mergeCell ref="C12:D12"/>
    <mergeCell ref="BJ12:BK12"/>
    <mergeCell ref="A36:B36"/>
    <mergeCell ref="C50:D50"/>
    <mergeCell ref="C51:D51"/>
    <mergeCell ref="BJ51:BK51"/>
  </mergeCells>
  <conditionalFormatting sqref="A48:A49 AZ58:BF61 A70:A71 A62 BS58:BY61 BQ58:BS60 BW42:BY44 AZ40:BF44 A39:B40 BW40:BY40">
    <cfRule type="cellIs" dxfId="127" priority="17" stopIfTrue="1" operator="equal">
      <formula>0</formula>
    </cfRule>
  </conditionalFormatting>
  <conditionalFormatting sqref="BS61">
    <cfRule type="cellIs" dxfId="126" priority="16" stopIfTrue="1" operator="equal">
      <formula>0</formula>
    </cfRule>
  </conditionalFormatting>
  <conditionalFormatting sqref="A72">
    <cfRule type="cellIs" dxfId="125" priority="15" stopIfTrue="1" operator="equal">
      <formula>0</formula>
    </cfRule>
  </conditionalFormatting>
  <conditionalFormatting sqref="A73">
    <cfRule type="cellIs" dxfId="124" priority="13" stopIfTrue="1" operator="equal">
      <formula>0</formula>
    </cfRule>
  </conditionalFormatting>
  <conditionalFormatting sqref="A73">
    <cfRule type="cellIs" dxfId="123" priority="14" stopIfTrue="1" operator="equal">
      <formula>0</formula>
    </cfRule>
  </conditionalFormatting>
  <conditionalFormatting sqref="BR61">
    <cfRule type="cellIs" dxfId="122" priority="11" stopIfTrue="1" operator="equal">
      <formula>0</formula>
    </cfRule>
  </conditionalFormatting>
  <conditionalFormatting sqref="BQ61">
    <cfRule type="cellIs" dxfId="121" priority="9" stopIfTrue="1" operator="equal">
      <formula>0</formula>
    </cfRule>
  </conditionalFormatting>
  <conditionalFormatting sqref="BP61">
    <cfRule type="cellIs" dxfId="120" priority="7" stopIfTrue="1" operator="equal">
      <formula>0</formula>
    </cfRule>
  </conditionalFormatting>
  <conditionalFormatting sqref="BO61">
    <cfRule type="cellIs" dxfId="119" priority="6" stopIfTrue="1" operator="equal">
      <formula>0</formula>
    </cfRule>
  </conditionalFormatting>
  <conditionalFormatting sqref="BN61">
    <cfRule type="cellIs" dxfId="118" priority="3" stopIfTrue="1" operator="equal">
      <formula>0</formula>
    </cfRule>
  </conditionalFormatting>
  <conditionalFormatting sqref="B57">
    <cfRule type="cellIs" dxfId="117" priority="2" stopIfTrue="1" operator="equal">
      <formula>0</formula>
    </cfRule>
  </conditionalFormatting>
  <conditionalFormatting sqref="BM61">
    <cfRule type="cellIs" dxfId="116" priority="1" stopIfTrue="1" operator="equal">
      <formula>0</formula>
    </cfRule>
  </conditionalFormatting>
  <printOptions horizontalCentered="1" verticalCentered="1"/>
  <pageMargins left="0" right="0" top="0" bottom="0" header="0" footer="0"/>
  <pageSetup scale="61" orientation="landscape" r:id="rId1"/>
  <headerFooter alignWithMargins="0">
    <oddFooter>&amp;L&amp;F&amp;CPage 8</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2:CP85"/>
  <sheetViews>
    <sheetView topLeftCell="A17" zoomScale="90" zoomScaleNormal="90" workbookViewId="0">
      <selection activeCell="G42" sqref="G42"/>
    </sheetView>
  </sheetViews>
  <sheetFormatPr defaultColWidth="9.140625" defaultRowHeight="12.75" x14ac:dyDescent="0.2"/>
  <cols>
    <col min="1" max="1" width="2.7109375" style="1522" customWidth="1"/>
    <col min="2" max="2" width="47.85546875" style="1522" customWidth="1"/>
    <col min="3" max="3" width="10.7109375" style="1522" customWidth="1"/>
    <col min="4" max="4" width="9.7109375" style="1522" customWidth="1"/>
    <col min="5" max="5" width="1.5703125" style="1484" customWidth="1"/>
    <col min="6" max="6" width="10.85546875" style="1484" customWidth="1"/>
    <col min="7" max="7" width="9.42578125" style="1484" customWidth="1"/>
    <col min="8" max="9" width="9.42578125" style="1523" customWidth="1"/>
    <col min="10" max="10" width="10.7109375" style="1523" customWidth="1"/>
    <col min="11" max="11" width="9.42578125" style="1523" customWidth="1"/>
    <col min="12" max="12" width="9.42578125" style="1526" customWidth="1"/>
    <col min="13" max="14" width="9.42578125" style="1523" customWidth="1"/>
    <col min="15" max="19" width="9.42578125" style="1523" hidden="1" customWidth="1"/>
    <col min="20" max="20" width="10.5703125" style="1523" hidden="1" customWidth="1"/>
    <col min="21" max="21" width="8.7109375" style="1523" hidden="1" customWidth="1"/>
    <col min="22" max="22" width="10.5703125" style="1523" hidden="1" customWidth="1"/>
    <col min="23" max="23" width="11" style="1523" hidden="1" customWidth="1"/>
    <col min="24" max="24" width="10.7109375" style="1523" hidden="1" customWidth="1"/>
    <col min="25" max="26" width="8.7109375" style="1523" hidden="1" customWidth="1"/>
    <col min="27" max="27" width="1.5703125" style="1523" hidden="1" customWidth="1"/>
    <col min="28" max="28" width="11.140625" style="1522" hidden="1" customWidth="1"/>
    <col min="29" max="29" width="10.140625" style="1522" hidden="1" customWidth="1"/>
    <col min="30" max="31" width="9.7109375" style="1564" hidden="1" customWidth="1"/>
    <col min="32" max="32" width="1.5703125" style="1522" customWidth="1"/>
    <col min="33" max="34" width="10.28515625" style="1522" customWidth="1"/>
    <col min="35" max="36" width="11.42578125" style="1522" customWidth="1"/>
    <col min="37" max="37" width="11.140625" style="1522" customWidth="1"/>
    <col min="38" max="40" width="9.7109375" style="1522" hidden="1" customWidth="1"/>
    <col min="41" max="48" width="9.7109375" style="1483" hidden="1" customWidth="1"/>
    <col min="49" max="49" width="1.5703125" style="1483" customWidth="1"/>
    <col min="50" max="67" width="0" style="1483" hidden="1" customWidth="1"/>
    <col min="68" max="81" width="9.140625" style="1483" hidden="1" customWidth="1"/>
    <col min="82" max="82" width="9.140625" style="1483" customWidth="1"/>
    <col min="83" max="94" width="0" style="1483" hidden="1" customWidth="1"/>
    <col min="95" max="16384" width="9.140625" style="1483"/>
  </cols>
  <sheetData>
    <row r="2" spans="1:94" x14ac:dyDescent="0.2">
      <c r="T2" s="1563"/>
      <c r="U2" s="1563"/>
      <c r="V2" s="1563"/>
      <c r="X2" s="1563"/>
      <c r="Y2" s="1563"/>
      <c r="Z2" s="1563"/>
    </row>
    <row r="5" spans="1:94" x14ac:dyDescent="0.2">
      <c r="A5" s="1523"/>
      <c r="B5" s="1523"/>
      <c r="C5" s="1523"/>
      <c r="D5" s="1523"/>
    </row>
    <row r="6" spans="1:94" ht="18" customHeight="1" x14ac:dyDescent="0.2">
      <c r="A6" s="1715" t="s">
        <v>655</v>
      </c>
      <c r="B6" s="1523"/>
      <c r="C6" s="1526"/>
      <c r="D6" s="1526"/>
      <c r="E6" s="1486"/>
      <c r="F6" s="1486"/>
      <c r="G6" s="1486"/>
      <c r="H6" s="1526"/>
      <c r="I6" s="1526"/>
      <c r="J6" s="1526"/>
      <c r="K6" s="1526"/>
      <c r="M6" s="1526"/>
      <c r="N6" s="1526"/>
      <c r="O6" s="1526"/>
      <c r="P6" s="1526"/>
      <c r="Q6" s="1526"/>
      <c r="R6" s="1526"/>
      <c r="S6" s="1526"/>
      <c r="T6" s="1526"/>
      <c r="U6" s="1526"/>
      <c r="V6" s="1526"/>
      <c r="W6" s="1526"/>
      <c r="X6" s="1526"/>
      <c r="Y6" s="1526"/>
      <c r="Z6" s="1526"/>
      <c r="AA6" s="1526"/>
      <c r="AB6" s="1778"/>
      <c r="AC6" s="1778"/>
      <c r="AD6" s="2440"/>
      <c r="AE6" s="2440"/>
      <c r="AF6" s="1778"/>
      <c r="AG6" s="1778"/>
      <c r="AH6" s="1778"/>
      <c r="AI6" s="1778"/>
      <c r="AJ6" s="1778"/>
      <c r="AK6" s="1778"/>
      <c r="AL6" s="1778"/>
      <c r="AM6" s="1778"/>
    </row>
    <row r="7" spans="1:94" ht="18" hidden="1" customHeight="1" x14ac:dyDescent="0.2">
      <c r="A7" s="1715" t="s">
        <v>345</v>
      </c>
      <c r="B7" s="1523"/>
      <c r="C7" s="1526"/>
      <c r="D7" s="1526"/>
      <c r="E7" s="1486"/>
      <c r="F7" s="1486"/>
      <c r="G7" s="1486"/>
      <c r="H7" s="1526"/>
      <c r="I7" s="1526"/>
      <c r="J7" s="1526"/>
      <c r="K7" s="1526"/>
      <c r="M7" s="1526"/>
      <c r="N7" s="1526"/>
      <c r="O7" s="1526"/>
      <c r="P7" s="1526"/>
      <c r="Q7" s="1526"/>
      <c r="R7" s="1526"/>
      <c r="S7" s="1526"/>
      <c r="T7" s="1526"/>
      <c r="U7" s="1526"/>
      <c r="V7" s="1526"/>
      <c r="W7" s="1526"/>
      <c r="X7" s="1526"/>
      <c r="Y7" s="1526"/>
      <c r="Z7" s="1526"/>
      <c r="AA7" s="1526"/>
      <c r="AB7" s="1778"/>
      <c r="AC7" s="1526"/>
      <c r="AD7" s="2440"/>
      <c r="AE7" s="2440"/>
      <c r="AF7" s="1778"/>
      <c r="AG7" s="1778"/>
      <c r="AH7" s="1778"/>
      <c r="AI7" s="1778"/>
      <c r="AJ7" s="1778"/>
      <c r="AK7" s="1778"/>
      <c r="AL7" s="1778"/>
      <c r="AM7" s="1778"/>
    </row>
    <row r="8" spans="1:94" ht="18" customHeight="1" x14ac:dyDescent="0.2">
      <c r="A8" s="1185" t="s">
        <v>635</v>
      </c>
      <c r="B8" s="1525"/>
      <c r="C8" s="1525"/>
      <c r="D8" s="1525"/>
      <c r="E8" s="1485"/>
      <c r="F8" s="1485"/>
      <c r="G8" s="1485"/>
      <c r="H8" s="2787"/>
      <c r="I8" s="2787"/>
      <c r="J8" s="2787"/>
      <c r="K8" s="2787"/>
      <c r="L8" s="2787"/>
      <c r="M8" s="2787"/>
      <c r="N8" s="2787"/>
      <c r="O8" s="1525"/>
      <c r="P8" s="1767"/>
      <c r="Q8" s="1767"/>
      <c r="R8" s="1767"/>
      <c r="S8" s="1767"/>
      <c r="T8" s="1767"/>
      <c r="U8" s="1767"/>
      <c r="V8" s="1767"/>
      <c r="W8" s="1767"/>
      <c r="X8" s="1525"/>
      <c r="Y8" s="1525"/>
      <c r="Z8" s="1525"/>
      <c r="AA8" s="1526"/>
      <c r="AB8" s="1778"/>
      <c r="AC8" s="1778"/>
      <c r="AD8" s="2507"/>
      <c r="AE8" s="2440"/>
      <c r="AF8" s="1778"/>
      <c r="AG8" s="1778"/>
      <c r="AH8" s="1778"/>
      <c r="AI8" s="1778"/>
      <c r="AJ8" s="1778"/>
      <c r="AK8" s="1778"/>
      <c r="AL8" s="1778"/>
      <c r="AM8" s="1778"/>
    </row>
    <row r="9" spans="1:94" ht="9.75" customHeight="1" x14ac:dyDescent="0.2">
      <c r="A9" s="1526"/>
      <c r="B9" s="1526"/>
      <c r="C9" s="1526"/>
      <c r="D9" s="1526"/>
      <c r="E9" s="1486"/>
      <c r="F9" s="1486"/>
      <c r="G9" s="1486"/>
      <c r="H9" s="1526"/>
      <c r="I9" s="1526"/>
      <c r="J9" s="1526"/>
      <c r="K9" s="1526"/>
      <c r="M9" s="1526"/>
      <c r="N9" s="1526"/>
      <c r="O9" s="1526"/>
      <c r="P9" s="1526"/>
      <c r="Q9" s="1526"/>
      <c r="R9" s="1526"/>
      <c r="S9" s="1526"/>
      <c r="T9" s="1567"/>
      <c r="U9" s="1567"/>
      <c r="V9" s="1526"/>
      <c r="W9" s="1526"/>
      <c r="X9" s="1567"/>
      <c r="Y9" s="1567"/>
      <c r="Z9" s="1526"/>
      <c r="AA9" s="1526"/>
      <c r="AB9" s="1778"/>
      <c r="AC9" s="1778"/>
      <c r="AD9" s="2441"/>
      <c r="AE9" s="2441"/>
      <c r="AF9" s="1778"/>
      <c r="AG9" s="1778"/>
      <c r="AH9" s="1778"/>
      <c r="AI9" s="1778"/>
      <c r="AJ9" s="1778"/>
      <c r="AK9" s="1778"/>
      <c r="AL9" s="1778"/>
      <c r="AM9" s="1778"/>
    </row>
    <row r="10" spans="1:94" x14ac:dyDescent="0.2">
      <c r="A10" s="1527" t="s">
        <v>1</v>
      </c>
      <c r="B10" s="1528"/>
      <c r="C10" s="3073" t="s">
        <v>671</v>
      </c>
      <c r="D10" s="3074"/>
      <c r="E10" s="1488"/>
      <c r="F10" s="2427"/>
      <c r="G10" s="2445"/>
      <c r="H10" s="2443"/>
      <c r="I10" s="2443"/>
      <c r="J10" s="2442"/>
      <c r="K10" s="2443"/>
      <c r="L10" s="2443"/>
      <c r="M10" s="2443"/>
      <c r="N10" s="2442"/>
      <c r="O10" s="2444"/>
      <c r="P10" s="2443"/>
      <c r="Q10" s="2443"/>
      <c r="R10" s="2442"/>
      <c r="S10" s="2443"/>
      <c r="T10" s="1526"/>
      <c r="U10" s="1526"/>
      <c r="V10" s="2442"/>
      <c r="W10" s="2444"/>
      <c r="X10" s="1526"/>
      <c r="Y10" s="1526"/>
      <c r="Z10" s="2442"/>
      <c r="AA10" s="2478"/>
      <c r="AB10" s="988" t="s">
        <v>660</v>
      </c>
      <c r="AC10" s="988"/>
      <c r="AD10" s="988" t="s">
        <v>563</v>
      </c>
      <c r="AE10" s="989"/>
      <c r="AF10" s="1570"/>
      <c r="AG10" s="1571"/>
      <c r="AH10" s="1571"/>
      <c r="AI10" s="1571"/>
      <c r="AJ10" s="1571"/>
      <c r="AK10" s="1571"/>
      <c r="AL10" s="1571"/>
      <c r="AM10" s="1571"/>
      <c r="AN10" s="1571"/>
      <c r="AO10" s="2062"/>
      <c r="AP10" s="2062"/>
      <c r="AQ10" s="2062"/>
      <c r="AR10" s="1490"/>
      <c r="AS10" s="2063"/>
      <c r="AT10" s="2062"/>
      <c r="AU10" s="2064"/>
      <c r="AV10" s="2064"/>
      <c r="AW10" s="2065"/>
    </row>
    <row r="11" spans="1:94" x14ac:dyDescent="0.2">
      <c r="A11" s="1527" t="s">
        <v>496</v>
      </c>
      <c r="B11" s="1528"/>
      <c r="C11" s="3186" t="s">
        <v>38</v>
      </c>
      <c r="D11" s="3187"/>
      <c r="E11" s="1491"/>
      <c r="F11" s="907" t="s">
        <v>670</v>
      </c>
      <c r="G11" s="1948" t="s">
        <v>558</v>
      </c>
      <c r="H11" s="992" t="s">
        <v>559</v>
      </c>
      <c r="I11" s="992" t="s">
        <v>560</v>
      </c>
      <c r="J11" s="993" t="s">
        <v>561</v>
      </c>
      <c r="K11" s="992" t="s">
        <v>508</v>
      </c>
      <c r="L11" s="992" t="s">
        <v>507</v>
      </c>
      <c r="M11" s="992" t="s">
        <v>506</v>
      </c>
      <c r="N11" s="993" t="s">
        <v>505</v>
      </c>
      <c r="O11" s="994" t="s">
        <v>382</v>
      </c>
      <c r="P11" s="992" t="s">
        <v>383</v>
      </c>
      <c r="Q11" s="992" t="s">
        <v>384</v>
      </c>
      <c r="R11" s="993" t="s">
        <v>385</v>
      </c>
      <c r="S11" s="992" t="s">
        <v>368</v>
      </c>
      <c r="T11" s="992" t="s">
        <v>367</v>
      </c>
      <c r="U11" s="992" t="s">
        <v>366</v>
      </c>
      <c r="V11" s="993" t="s">
        <v>364</v>
      </c>
      <c r="W11" s="994" t="s">
        <v>348</v>
      </c>
      <c r="X11" s="992" t="s">
        <v>349</v>
      </c>
      <c r="Y11" s="992" t="s">
        <v>350</v>
      </c>
      <c r="Z11" s="993" t="s">
        <v>351</v>
      </c>
      <c r="AA11" s="1569"/>
      <c r="AB11" s="992" t="s">
        <v>558</v>
      </c>
      <c r="AC11" s="992" t="s">
        <v>508</v>
      </c>
      <c r="AD11" s="3071" t="s">
        <v>38</v>
      </c>
      <c r="AE11" s="3072"/>
      <c r="AF11" s="1576"/>
      <c r="AG11" s="994" t="s">
        <v>562</v>
      </c>
      <c r="AH11" s="994" t="s">
        <v>509</v>
      </c>
      <c r="AI11" s="994" t="s">
        <v>502</v>
      </c>
      <c r="AJ11" s="994" t="s">
        <v>379</v>
      </c>
      <c r="AK11" s="994" t="s">
        <v>360</v>
      </c>
      <c r="AL11" s="994" t="s">
        <v>317</v>
      </c>
      <c r="AM11" s="1577" t="s">
        <v>275</v>
      </c>
      <c r="AN11" s="1577" t="s">
        <v>227</v>
      </c>
      <c r="AO11" s="2067" t="s">
        <v>123</v>
      </c>
      <c r="AP11" s="2067" t="s">
        <v>122</v>
      </c>
      <c r="AQ11" s="2066" t="s">
        <v>42</v>
      </c>
      <c r="AR11" s="2066" t="s">
        <v>39</v>
      </c>
      <c r="AS11" s="2067" t="s">
        <v>40</v>
      </c>
      <c r="AT11" s="2067" t="s">
        <v>142</v>
      </c>
      <c r="AU11" s="2067" t="s">
        <v>143</v>
      </c>
      <c r="AV11" s="2067" t="s">
        <v>144</v>
      </c>
      <c r="AW11" s="2065"/>
      <c r="AX11" s="1484"/>
      <c r="AY11" s="1484"/>
      <c r="AZ11" s="1484"/>
      <c r="BA11" s="1484"/>
      <c r="BB11" s="1484"/>
      <c r="BC11" s="1484"/>
      <c r="CE11" s="2433" t="s">
        <v>533</v>
      </c>
      <c r="CF11" s="2434"/>
      <c r="CG11" s="2434"/>
      <c r="CH11" s="2434"/>
      <c r="CI11" s="1145"/>
      <c r="CJ11" s="2434" t="s">
        <v>534</v>
      </c>
      <c r="CK11" s="2434"/>
      <c r="CL11" s="1144"/>
      <c r="CM11" s="2435" t="s">
        <v>535</v>
      </c>
      <c r="CN11" s="2435"/>
      <c r="CO11" s="2435"/>
      <c r="CP11" s="2435"/>
    </row>
    <row r="12" spans="1:94" s="1495" customFormat="1" ht="12.75" hidden="1" customHeight="1" x14ac:dyDescent="0.2">
      <c r="A12" s="1527"/>
      <c r="B12" s="1527"/>
      <c r="C12" s="1529"/>
      <c r="D12" s="1530"/>
      <c r="E12" s="1492"/>
      <c r="F12" s="1493"/>
      <c r="G12" s="2027"/>
      <c r="H12" s="1768"/>
      <c r="I12" s="1768"/>
      <c r="J12" s="1769"/>
      <c r="K12" s="1768"/>
      <c r="L12" s="1768"/>
      <c r="M12" s="1768"/>
      <c r="N12" s="1769"/>
      <c r="O12" s="1363"/>
      <c r="P12" s="1768"/>
      <c r="Q12" s="1768"/>
      <c r="R12" s="1769"/>
      <c r="S12" s="1768"/>
      <c r="T12" s="1768"/>
      <c r="U12" s="1768"/>
      <c r="V12" s="1769"/>
      <c r="W12" s="1363" t="s">
        <v>240</v>
      </c>
      <c r="X12" s="1768" t="s">
        <v>240</v>
      </c>
      <c r="Y12" s="1768" t="s">
        <v>240</v>
      </c>
      <c r="Z12" s="1769" t="s">
        <v>240</v>
      </c>
      <c r="AA12" s="1588"/>
      <c r="AB12" s="1772" t="s">
        <v>240</v>
      </c>
      <c r="AC12" s="1772" t="s">
        <v>240</v>
      </c>
      <c r="AD12" s="2509"/>
      <c r="AE12" s="2510"/>
      <c r="AF12" s="1585"/>
      <c r="AG12" s="1587"/>
      <c r="AH12" s="1587"/>
      <c r="AI12" s="1587"/>
      <c r="AJ12" s="1587"/>
      <c r="AK12" s="1587"/>
      <c r="AL12" s="1587" t="s">
        <v>240</v>
      </c>
      <c r="AM12" s="1587" t="s">
        <v>240</v>
      </c>
      <c r="AN12" s="1587" t="s">
        <v>240</v>
      </c>
      <c r="AO12" s="2070" t="s">
        <v>240</v>
      </c>
      <c r="AP12" s="2070" t="s">
        <v>241</v>
      </c>
      <c r="AQ12" s="2070" t="s">
        <v>241</v>
      </c>
      <c r="AR12" s="2070" t="s">
        <v>241</v>
      </c>
      <c r="AS12" s="2070" t="s">
        <v>241</v>
      </c>
      <c r="AT12" s="2070" t="s">
        <v>241</v>
      </c>
      <c r="AU12" s="2071"/>
      <c r="AV12" s="2071"/>
      <c r="AW12" s="2072"/>
      <c r="AX12" s="1494"/>
      <c r="AY12" s="1494"/>
      <c r="AZ12" s="1494"/>
      <c r="BA12" s="1494"/>
      <c r="BB12" s="1494"/>
      <c r="BC12" s="1494"/>
      <c r="CE12" s="1145"/>
      <c r="CF12" s="1145"/>
      <c r="CG12" s="1145"/>
      <c r="CH12" s="1145"/>
      <c r="CI12" s="1144"/>
      <c r="CJ12" s="1144"/>
      <c r="CK12" s="1144"/>
      <c r="CL12" s="1144"/>
      <c r="CM12" s="1144"/>
      <c r="CN12" s="1144"/>
      <c r="CO12" s="1144"/>
    </row>
    <row r="13" spans="1:94" ht="12.75" customHeight="1" x14ac:dyDescent="0.2">
      <c r="A13" s="1531" t="s">
        <v>59</v>
      </c>
      <c r="B13" s="1532"/>
      <c r="C13" s="2450"/>
      <c r="D13" s="2451"/>
      <c r="E13" s="2452"/>
      <c r="F13" s="1487"/>
      <c r="G13" s="2454"/>
      <c r="H13" s="1528"/>
      <c r="I13" s="1528"/>
      <c r="J13" s="2451"/>
      <c r="K13" s="1528"/>
      <c r="L13" s="1528"/>
      <c r="M13" s="1528"/>
      <c r="N13" s="2451"/>
      <c r="O13" s="2450"/>
      <c r="P13" s="1528"/>
      <c r="Q13" s="1528"/>
      <c r="R13" s="2451"/>
      <c r="S13" s="1528"/>
      <c r="T13" s="1528"/>
      <c r="U13" s="1528"/>
      <c r="V13" s="2451"/>
      <c r="W13" s="2450"/>
      <c r="X13" s="1528"/>
      <c r="Y13" s="1528"/>
      <c r="Z13" s="2451"/>
      <c r="AA13" s="1629"/>
      <c r="AB13" s="1528"/>
      <c r="AC13" s="1528"/>
      <c r="AD13" s="2511"/>
      <c r="AE13" s="2512"/>
      <c r="AF13" s="1539"/>
      <c r="AG13" s="1629"/>
      <c r="AH13" s="1629"/>
      <c r="AI13" s="1629"/>
      <c r="AJ13" s="1629"/>
      <c r="AK13" s="1629"/>
      <c r="AL13" s="1629"/>
      <c r="AM13" s="1629"/>
      <c r="AN13" s="1589"/>
      <c r="AO13" s="1496"/>
      <c r="AP13" s="1496"/>
      <c r="AQ13" s="1496"/>
      <c r="AR13" s="2073"/>
      <c r="AS13" s="1496"/>
      <c r="AT13" s="2075"/>
      <c r="AU13" s="2076"/>
      <c r="AV13" s="2076"/>
      <c r="AW13" s="2065"/>
      <c r="AX13" s="1484"/>
      <c r="AY13" s="1484"/>
      <c r="AZ13" s="1484"/>
      <c r="BA13" s="1484"/>
      <c r="CE13" s="1145"/>
      <c r="CF13" s="1145"/>
      <c r="CG13" s="1145"/>
      <c r="CH13" s="1145"/>
      <c r="CI13" s="1144"/>
      <c r="CJ13" s="1144"/>
      <c r="CK13" s="1144"/>
      <c r="CL13" s="1144"/>
      <c r="CM13" s="1144"/>
      <c r="CN13" s="1144"/>
      <c r="CO13" s="1144"/>
    </row>
    <row r="14" spans="1:94" ht="12.75" customHeight="1" x14ac:dyDescent="0.2">
      <c r="A14" s="1528"/>
      <c r="B14" s="1201" t="s">
        <v>186</v>
      </c>
      <c r="C14" s="1533">
        <v>-2737</v>
      </c>
      <c r="D14" s="1536">
        <v>-0.24531684144483284</v>
      </c>
      <c r="E14" s="1498"/>
      <c r="F14" s="1516">
        <v>8420</v>
      </c>
      <c r="G14" s="2116">
        <v>2287.41</v>
      </c>
      <c r="H14" s="1660">
        <v>5293</v>
      </c>
      <c r="I14" s="1660">
        <v>8256</v>
      </c>
      <c r="J14" s="1662">
        <v>11157</v>
      </c>
      <c r="K14" s="1660">
        <v>18848</v>
      </c>
      <c r="L14" s="1660">
        <v>20634</v>
      </c>
      <c r="M14" s="1660">
        <v>8192</v>
      </c>
      <c r="N14" s="1662">
        <v>4382</v>
      </c>
      <c r="O14" s="1666">
        <v>18996</v>
      </c>
      <c r="P14" s="1660">
        <v>11289</v>
      </c>
      <c r="Q14" s="1660">
        <v>14384</v>
      </c>
      <c r="R14" s="1662">
        <v>9838</v>
      </c>
      <c r="S14" s="1660">
        <v>8752</v>
      </c>
      <c r="T14" s="1660">
        <v>5756</v>
      </c>
      <c r="U14" s="1660">
        <v>2884</v>
      </c>
      <c r="V14" s="1662">
        <v>7633</v>
      </c>
      <c r="W14" s="1666">
        <v>11615</v>
      </c>
      <c r="X14" s="1660">
        <v>4141</v>
      </c>
      <c r="Y14" s="1660"/>
      <c r="Z14" s="1662"/>
      <c r="AA14" s="1629"/>
      <c r="AB14" s="1660">
        <v>26993.41</v>
      </c>
      <c r="AC14" s="1660">
        <v>52056</v>
      </c>
      <c r="AD14" s="1596">
        <v>-25062.59</v>
      </c>
      <c r="AE14" s="1536">
        <v>-0.48145439526663592</v>
      </c>
      <c r="AF14" s="1528"/>
      <c r="AG14" s="1684">
        <v>26993.41</v>
      </c>
      <c r="AH14" s="1684">
        <v>52056</v>
      </c>
      <c r="AI14" s="1684">
        <v>54507</v>
      </c>
      <c r="AJ14" s="1684">
        <v>25025</v>
      </c>
      <c r="AK14" s="1684">
        <v>35250</v>
      </c>
      <c r="AL14" s="1684">
        <v>23337</v>
      </c>
      <c r="AM14" s="1684">
        <v>12246</v>
      </c>
      <c r="AN14" s="1665">
        <v>3829</v>
      </c>
      <c r="AO14" s="2151">
        <v>92677</v>
      </c>
      <c r="AP14" s="1317">
        <v>82454</v>
      </c>
      <c r="AQ14" s="1317">
        <v>72926</v>
      </c>
      <c r="AR14" s="1317">
        <v>118332</v>
      </c>
      <c r="AS14" s="2079">
        <v>187562</v>
      </c>
      <c r="AT14" s="2075">
        <v>150470</v>
      </c>
      <c r="AU14" s="2075">
        <v>95559</v>
      </c>
      <c r="AV14" s="2075"/>
      <c r="AW14" s="2065"/>
      <c r="AX14" s="1484"/>
      <c r="AY14" s="1484"/>
      <c r="AZ14" s="1484"/>
      <c r="BA14" s="1484"/>
      <c r="CE14" s="1312">
        <v>9345</v>
      </c>
      <c r="CF14" s="2430">
        <v>0.82779697050225887</v>
      </c>
      <c r="CG14" s="2429">
        <v>-12082</v>
      </c>
      <c r="CH14" s="2430">
        <v>-1.0731138119470918</v>
      </c>
      <c r="CI14" s="2430"/>
      <c r="CJ14" s="1312">
        <v>33208</v>
      </c>
      <c r="CK14" s="2432">
        <v>-6214.59</v>
      </c>
      <c r="CL14" s="1312"/>
      <c r="CM14" s="2432">
        <v>-25062.59</v>
      </c>
      <c r="CN14" s="2431">
        <v>-0.48145439526663592</v>
      </c>
      <c r="CO14" s="1146">
        <v>0</v>
      </c>
      <c r="CP14" s="1146">
        <v>0</v>
      </c>
    </row>
    <row r="15" spans="1:94" ht="12.75" customHeight="1" x14ac:dyDescent="0.2">
      <c r="A15" s="1528"/>
      <c r="B15" s="1201" t="s">
        <v>304</v>
      </c>
      <c r="C15" s="1533">
        <v>-377</v>
      </c>
      <c r="D15" s="1536">
        <v>-0.32112436115843274</v>
      </c>
      <c r="E15" s="1498"/>
      <c r="F15" s="1499">
        <v>797</v>
      </c>
      <c r="G15" s="2118">
        <v>998.59</v>
      </c>
      <c r="H15" s="1420">
        <v>1003</v>
      </c>
      <c r="I15" s="1420">
        <v>1197</v>
      </c>
      <c r="J15" s="1421">
        <v>1174</v>
      </c>
      <c r="K15" s="1593">
        <v>1254</v>
      </c>
      <c r="L15" s="1420">
        <v>1483</v>
      </c>
      <c r="M15" s="1420">
        <v>1077</v>
      </c>
      <c r="N15" s="1421">
        <v>1152</v>
      </c>
      <c r="O15" s="1670">
        <v>1345</v>
      </c>
      <c r="P15" s="1420">
        <v>1121</v>
      </c>
      <c r="Q15" s="1420">
        <v>1500</v>
      </c>
      <c r="R15" s="1421">
        <v>1220</v>
      </c>
      <c r="S15" s="1398">
        <v>971</v>
      </c>
      <c r="T15" s="1420">
        <v>1150</v>
      </c>
      <c r="U15" s="1420">
        <v>2321</v>
      </c>
      <c r="V15" s="1421">
        <v>1671</v>
      </c>
      <c r="W15" s="1420">
        <v>1846</v>
      </c>
      <c r="X15" s="1420">
        <v>1378</v>
      </c>
      <c r="Y15" s="1593"/>
      <c r="Z15" s="1662"/>
      <c r="AA15" s="1629"/>
      <c r="AB15" s="1660">
        <v>4372.59</v>
      </c>
      <c r="AC15" s="1660">
        <v>4966</v>
      </c>
      <c r="AD15" s="1596">
        <v>-593.40999999999985</v>
      </c>
      <c r="AE15" s="1536">
        <v>-0.11949456302859442</v>
      </c>
      <c r="AF15" s="1539"/>
      <c r="AG15" s="1684">
        <v>4372.59</v>
      </c>
      <c r="AH15" s="1380">
        <v>4966</v>
      </c>
      <c r="AI15" s="1380">
        <v>5186</v>
      </c>
      <c r="AJ15" s="1380">
        <v>6113</v>
      </c>
      <c r="AK15" s="1367">
        <v>6358</v>
      </c>
      <c r="AL15" s="1367">
        <v>4801</v>
      </c>
      <c r="AM15" s="1388">
        <v>3473</v>
      </c>
      <c r="AN15" s="1775">
        <v>0</v>
      </c>
      <c r="AO15" s="2151"/>
      <c r="AP15" s="1317"/>
      <c r="AQ15" s="1317"/>
      <c r="AR15" s="1317"/>
      <c r="AS15" s="2079"/>
      <c r="AT15" s="2075"/>
      <c r="AU15" s="2075"/>
      <c r="AV15" s="2075"/>
      <c r="AW15" s="2065"/>
      <c r="AX15" s="1484"/>
      <c r="AY15" s="1484"/>
      <c r="AZ15" s="1484"/>
      <c r="BA15" s="1484"/>
      <c r="CE15" s="1312">
        <v>362</v>
      </c>
      <c r="CF15" s="2430">
        <v>0.32292595896520965</v>
      </c>
      <c r="CG15" s="2429">
        <v>-739</v>
      </c>
      <c r="CH15" s="2430">
        <v>-0.64405032012364238</v>
      </c>
      <c r="CI15" s="2430"/>
      <c r="CJ15" s="1312">
        <v>3712</v>
      </c>
      <c r="CK15" s="2432">
        <v>660.59000000000015</v>
      </c>
      <c r="CL15" s="1312"/>
      <c r="CM15" s="2432">
        <v>-593.40999999999985</v>
      </c>
      <c r="CN15" s="2431">
        <v>-0.11949456302859442</v>
      </c>
      <c r="CO15" s="1146">
        <v>0</v>
      </c>
      <c r="CP15" s="1146">
        <v>0</v>
      </c>
    </row>
    <row r="16" spans="1:94" ht="13.5" customHeight="1" x14ac:dyDescent="0.2">
      <c r="A16" s="1532"/>
      <c r="B16" s="1528"/>
      <c r="C16" s="1534">
        <v>-3114</v>
      </c>
      <c r="D16" s="1535">
        <v>-0.25253426323899114</v>
      </c>
      <c r="E16" s="1498"/>
      <c r="F16" s="1181">
        <v>9217</v>
      </c>
      <c r="G16" s="2210">
        <v>3286</v>
      </c>
      <c r="H16" s="1593">
        <v>6296</v>
      </c>
      <c r="I16" s="1593">
        <v>9453</v>
      </c>
      <c r="J16" s="1721">
        <v>12331</v>
      </c>
      <c r="K16" s="1304">
        <v>20102</v>
      </c>
      <c r="L16" s="1593">
        <v>22117</v>
      </c>
      <c r="M16" s="1593">
        <v>9269</v>
      </c>
      <c r="N16" s="1721">
        <v>5534</v>
      </c>
      <c r="O16" s="1307">
        <v>20341</v>
      </c>
      <c r="P16" s="1593">
        <v>12410</v>
      </c>
      <c r="Q16" s="1593">
        <v>15884</v>
      </c>
      <c r="R16" s="1721">
        <v>11058</v>
      </c>
      <c r="S16" s="1722">
        <v>9723</v>
      </c>
      <c r="T16" s="1593">
        <v>6906</v>
      </c>
      <c r="U16" s="1593">
        <v>5205</v>
      </c>
      <c r="V16" s="1674">
        <v>9304</v>
      </c>
      <c r="W16" s="1670">
        <v>13461</v>
      </c>
      <c r="X16" s="1593">
        <v>5519</v>
      </c>
      <c r="Y16" s="1593">
        <v>0</v>
      </c>
      <c r="Z16" s="1721">
        <v>0</v>
      </c>
      <c r="AA16" s="1629"/>
      <c r="AB16" s="1722">
        <v>31366</v>
      </c>
      <c r="AC16" s="1720">
        <v>57022</v>
      </c>
      <c r="AD16" s="1601">
        <v>-25656</v>
      </c>
      <c r="AE16" s="1535">
        <v>-0.4499316053453053</v>
      </c>
      <c r="AF16" s="1539"/>
      <c r="AG16" s="2479">
        <v>31366</v>
      </c>
      <c r="AH16" s="1602">
        <v>57022</v>
      </c>
      <c r="AI16" s="1602">
        <v>59693</v>
      </c>
      <c r="AJ16" s="1602">
        <v>31138</v>
      </c>
      <c r="AK16" s="1602">
        <v>41608</v>
      </c>
      <c r="AL16" s="1602">
        <v>28138</v>
      </c>
      <c r="AM16" s="1602">
        <v>15719</v>
      </c>
      <c r="AN16" s="1602">
        <v>3829</v>
      </c>
      <c r="AO16" s="2081">
        <v>92677</v>
      </c>
      <c r="AP16" s="2081">
        <v>82454</v>
      </c>
      <c r="AQ16" s="2081">
        <v>72926</v>
      </c>
      <c r="AR16" s="2081">
        <v>118332</v>
      </c>
      <c r="AS16" s="2081">
        <v>187562</v>
      </c>
      <c r="AT16" s="2082">
        <v>150470</v>
      </c>
      <c r="AU16" s="2082">
        <v>95559</v>
      </c>
      <c r="AV16" s="2082">
        <v>211758</v>
      </c>
      <c r="AW16" s="2065"/>
      <c r="AY16" s="1484"/>
      <c r="AZ16" s="1484"/>
      <c r="BA16" s="1484"/>
      <c r="CK16" s="2432"/>
      <c r="CM16" s="2432"/>
      <c r="CN16" s="2431"/>
    </row>
    <row r="17" spans="1:94" ht="12.75" customHeight="1" x14ac:dyDescent="0.2">
      <c r="A17" s="1531" t="s">
        <v>5</v>
      </c>
      <c r="B17" s="1528"/>
      <c r="C17" s="2780"/>
      <c r="D17" s="1631"/>
      <c r="E17" s="1498"/>
      <c r="F17" s="2908"/>
      <c r="G17" s="2908"/>
      <c r="H17" s="1723"/>
      <c r="I17" s="1723"/>
      <c r="J17" s="1663"/>
      <c r="K17" s="1065"/>
      <c r="L17" s="1603"/>
      <c r="M17" s="1603"/>
      <c r="N17" s="1662"/>
      <c r="O17" s="1916"/>
      <c r="P17" s="1603"/>
      <c r="Q17" s="1603"/>
      <c r="R17" s="1662"/>
      <c r="S17" s="2199"/>
      <c r="T17" s="1603"/>
      <c r="U17" s="1603"/>
      <c r="V17" s="1662"/>
      <c r="W17" s="2199"/>
      <c r="X17" s="1603"/>
      <c r="Y17" s="1603"/>
      <c r="Z17" s="1662"/>
      <c r="AA17" s="1629"/>
      <c r="AB17" s="2780"/>
      <c r="AC17" s="1723"/>
      <c r="AD17" s="2782"/>
      <c r="AE17" s="1631"/>
      <c r="AF17" s="1539"/>
      <c r="AG17" s="2896"/>
      <c r="AH17" s="1724"/>
      <c r="AI17" s="1724"/>
      <c r="AJ17" s="1724"/>
      <c r="AK17" s="1724"/>
      <c r="AL17" s="1724"/>
      <c r="AM17" s="1724"/>
      <c r="AN17" s="1608"/>
      <c r="AO17" s="2083"/>
      <c r="AP17" s="2083"/>
      <c r="AQ17" s="2083"/>
      <c r="AR17" s="2079"/>
      <c r="AS17" s="2079"/>
      <c r="AT17" s="2084"/>
      <c r="AU17" s="2084"/>
      <c r="AV17" s="2084"/>
      <c r="AW17" s="2065"/>
      <c r="AY17" s="1484"/>
      <c r="AZ17" s="1484"/>
      <c r="BA17" s="1484"/>
      <c r="CK17" s="2432">
        <v>0</v>
      </c>
      <c r="CM17" s="2432">
        <v>0</v>
      </c>
      <c r="CN17" s="2431" t="e">
        <v>#DIV/0!</v>
      </c>
      <c r="CO17" s="1146">
        <v>0</v>
      </c>
      <c r="CP17" s="1146" t="e">
        <v>#DIV/0!</v>
      </c>
    </row>
    <row r="18" spans="1:94" ht="12.75" hidden="1" customHeight="1" x14ac:dyDescent="0.2">
      <c r="A18" s="1531"/>
      <c r="B18" s="1528" t="s">
        <v>292</v>
      </c>
      <c r="C18" s="1533">
        <v>-743</v>
      </c>
      <c r="D18" s="1536">
        <v>-0.11741466498103666</v>
      </c>
      <c r="E18" s="1498"/>
      <c r="F18" s="2035">
        <v>5585</v>
      </c>
      <c r="G18" s="2035">
        <v>2004</v>
      </c>
      <c r="H18" s="1603">
        <v>2974</v>
      </c>
      <c r="I18" s="1603">
        <v>5157</v>
      </c>
      <c r="J18" s="1773">
        <v>6328</v>
      </c>
      <c r="K18" s="1205">
        <v>9817</v>
      </c>
      <c r="L18" s="1603">
        <v>10712</v>
      </c>
      <c r="M18" s="1603">
        <v>4838</v>
      </c>
      <c r="N18" s="1773">
        <v>4085</v>
      </c>
      <c r="O18" s="1396">
        <v>10188</v>
      </c>
      <c r="P18" s="1603">
        <v>6491</v>
      </c>
      <c r="Q18" s="1603">
        <v>8027</v>
      </c>
      <c r="R18" s="1773">
        <v>5877</v>
      </c>
      <c r="S18" s="2199">
        <v>6788</v>
      </c>
      <c r="T18" s="1603">
        <v>4370</v>
      </c>
      <c r="U18" s="1603">
        <v>3274</v>
      </c>
      <c r="V18" s="1773">
        <v>5146</v>
      </c>
      <c r="W18" s="2199">
        <v>6869</v>
      </c>
      <c r="X18" s="1603">
        <v>2735</v>
      </c>
      <c r="Y18" s="1603">
        <v>24445</v>
      </c>
      <c r="Z18" s="1773">
        <v>21416</v>
      </c>
      <c r="AA18" s="1629"/>
      <c r="AB18" s="2199">
        <v>16463</v>
      </c>
      <c r="AC18" s="1603">
        <v>29452</v>
      </c>
      <c r="AD18" s="1596">
        <v>-12989</v>
      </c>
      <c r="AE18" s="1536">
        <v>-0.44102268097242969</v>
      </c>
      <c r="AF18" s="1539"/>
      <c r="AG18" s="1684">
        <v>16463</v>
      </c>
      <c r="AH18" s="1684">
        <v>29452</v>
      </c>
      <c r="AI18" s="1684">
        <v>30583</v>
      </c>
      <c r="AJ18" s="1684">
        <v>19578</v>
      </c>
      <c r="AK18" s="1684">
        <v>21789</v>
      </c>
      <c r="AL18" s="1684">
        <v>13890</v>
      </c>
      <c r="AM18" s="1684">
        <v>9735</v>
      </c>
      <c r="AN18" s="1665">
        <v>2366</v>
      </c>
      <c r="AO18" s="2114">
        <v>45538</v>
      </c>
      <c r="AP18" s="2114">
        <v>42535</v>
      </c>
      <c r="AQ18" s="2114">
        <v>34016</v>
      </c>
      <c r="AR18" s="2114">
        <v>57211</v>
      </c>
      <c r="AS18" s="2079"/>
      <c r="AT18" s="2084"/>
      <c r="AU18" s="2084"/>
      <c r="AV18" s="2084"/>
      <c r="AW18" s="2065"/>
      <c r="AY18" s="1484"/>
      <c r="AZ18" s="1484"/>
      <c r="BA18" s="1484"/>
      <c r="CE18" s="1312">
        <v>4221</v>
      </c>
      <c r="CF18" s="2430">
        <v>0.65028501001386541</v>
      </c>
      <c r="CG18" s="2429">
        <v>-4964</v>
      </c>
      <c r="CH18" s="2430">
        <v>-0.7676996749949021</v>
      </c>
      <c r="CI18" s="2430"/>
      <c r="CJ18" s="1312">
        <v>19635</v>
      </c>
      <c r="CK18" s="2432">
        <v>-3172</v>
      </c>
      <c r="CL18" s="1312"/>
      <c r="CM18" s="2432">
        <v>-12989</v>
      </c>
      <c r="CN18" s="2431">
        <v>-0.44102268097242969</v>
      </c>
      <c r="CO18" s="1146">
        <v>0</v>
      </c>
      <c r="CP18" s="1146">
        <v>0</v>
      </c>
    </row>
    <row r="19" spans="1:94" ht="12.75" hidden="1" customHeight="1" x14ac:dyDescent="0.2">
      <c r="A19" s="1531"/>
      <c r="B19" s="1528" t="s">
        <v>293</v>
      </c>
      <c r="C19" s="1537">
        <v>-325</v>
      </c>
      <c r="D19" s="1538">
        <v>-0.90529247910863508</v>
      </c>
      <c r="E19" s="1498"/>
      <c r="F19" s="2017">
        <v>34</v>
      </c>
      <c r="G19" s="2043">
        <v>399</v>
      </c>
      <c r="H19" s="1252">
        <v>413</v>
      </c>
      <c r="I19" s="1252">
        <v>383</v>
      </c>
      <c r="J19" s="1674">
        <v>359</v>
      </c>
      <c r="K19" s="1252">
        <v>326</v>
      </c>
      <c r="L19" s="1252">
        <v>321</v>
      </c>
      <c r="M19" s="1252">
        <v>324</v>
      </c>
      <c r="N19" s="1674">
        <v>331</v>
      </c>
      <c r="O19" s="1429">
        <v>437</v>
      </c>
      <c r="P19" s="1252">
        <v>327</v>
      </c>
      <c r="Q19" s="1252">
        <v>312</v>
      </c>
      <c r="R19" s="1674">
        <v>26</v>
      </c>
      <c r="S19" s="2205">
        <v>0</v>
      </c>
      <c r="T19" s="1252">
        <v>0</v>
      </c>
      <c r="U19" s="1252">
        <v>0</v>
      </c>
      <c r="V19" s="2321">
        <v>0</v>
      </c>
      <c r="W19" s="2205">
        <v>0</v>
      </c>
      <c r="X19" s="1252">
        <v>0</v>
      </c>
      <c r="Y19" s="1252">
        <v>2572</v>
      </c>
      <c r="Z19" s="1674">
        <v>3403</v>
      </c>
      <c r="AA19" s="1629"/>
      <c r="AB19" s="2200">
        <v>1554</v>
      </c>
      <c r="AC19" s="1612">
        <v>1302</v>
      </c>
      <c r="AD19" s="1613">
        <v>252</v>
      </c>
      <c r="AE19" s="1538">
        <v>0.19354838709677419</v>
      </c>
      <c r="AF19" s="1539"/>
      <c r="AG19" s="1694">
        <v>1554</v>
      </c>
      <c r="AH19" s="1274">
        <v>1302</v>
      </c>
      <c r="AI19" s="1274">
        <v>1102</v>
      </c>
      <c r="AJ19" s="2514">
        <v>0</v>
      </c>
      <c r="AK19" s="2514">
        <v>0</v>
      </c>
      <c r="AL19" s="2514">
        <v>0</v>
      </c>
      <c r="AM19" s="1274">
        <v>389</v>
      </c>
      <c r="AN19" s="2202">
        <v>0</v>
      </c>
      <c r="AO19" s="2122">
        <v>2379</v>
      </c>
      <c r="AP19" s="2122">
        <v>3440</v>
      </c>
      <c r="AQ19" s="2122">
        <v>1964</v>
      </c>
      <c r="AR19" s="2122">
        <v>4067</v>
      </c>
      <c r="AS19" s="2079"/>
      <c r="AT19" s="2084"/>
      <c r="AU19" s="2084"/>
      <c r="AV19" s="2084"/>
      <c r="AW19" s="2065"/>
      <c r="AY19" s="1484"/>
      <c r="AZ19" s="1484"/>
      <c r="BA19" s="1484"/>
      <c r="CE19" s="1312">
        <v>-6</v>
      </c>
      <c r="CF19" s="2430">
        <v>-1.834862385321101E-2</v>
      </c>
      <c r="CG19" s="2429">
        <v>-319</v>
      </c>
      <c r="CH19" s="2430">
        <v>-0.88694385525542407</v>
      </c>
      <c r="CI19" s="2430"/>
      <c r="CJ19" s="1312">
        <v>976</v>
      </c>
      <c r="CK19" s="2432">
        <v>578</v>
      </c>
      <c r="CL19" s="1312"/>
      <c r="CM19" s="2432">
        <v>252</v>
      </c>
      <c r="CN19" s="2431">
        <v>0.19354838709677419</v>
      </c>
      <c r="CO19" s="1146">
        <v>0</v>
      </c>
      <c r="CP19" s="1146">
        <v>0</v>
      </c>
    </row>
    <row r="20" spans="1:94" ht="12.75" hidden="1" customHeight="1" x14ac:dyDescent="0.2">
      <c r="A20" s="1532"/>
      <c r="B20" s="946" t="s">
        <v>620</v>
      </c>
      <c r="C20" s="1533">
        <v>-1068</v>
      </c>
      <c r="D20" s="1536">
        <v>-0.15971287572902648</v>
      </c>
      <c r="E20" s="1498"/>
      <c r="F20" s="1159">
        <v>5619</v>
      </c>
      <c r="G20" s="2035">
        <v>2403</v>
      </c>
      <c r="H20" s="1603">
        <v>3387</v>
      </c>
      <c r="I20" s="1603">
        <v>5540</v>
      </c>
      <c r="J20" s="1662">
        <v>6687</v>
      </c>
      <c r="K20" s="1205">
        <v>10143</v>
      </c>
      <c r="L20" s="1603">
        <v>11033</v>
      </c>
      <c r="M20" s="1603">
        <v>5162</v>
      </c>
      <c r="N20" s="1662">
        <v>4416</v>
      </c>
      <c r="O20" s="1396">
        <v>10625</v>
      </c>
      <c r="P20" s="1603">
        <v>6818</v>
      </c>
      <c r="Q20" s="1603">
        <v>8339</v>
      </c>
      <c r="R20" s="1662">
        <v>5903</v>
      </c>
      <c r="S20" s="2199">
        <v>6788</v>
      </c>
      <c r="T20" s="1603">
        <v>4370</v>
      </c>
      <c r="U20" s="1603">
        <v>3274</v>
      </c>
      <c r="V20" s="1662">
        <v>5146</v>
      </c>
      <c r="W20" s="1402">
        <v>6869</v>
      </c>
      <c r="X20" s="1603">
        <v>2735</v>
      </c>
      <c r="Y20" s="1603">
        <v>27017</v>
      </c>
      <c r="Z20" s="1662">
        <v>24819</v>
      </c>
      <c r="AA20" s="1629"/>
      <c r="AB20" s="1660">
        <v>18017</v>
      </c>
      <c r="AC20" s="1660">
        <v>30754</v>
      </c>
      <c r="AD20" s="1596">
        <v>-12737</v>
      </c>
      <c r="AE20" s="1536">
        <v>-0.41415750796644341</v>
      </c>
      <c r="AF20" s="1539"/>
      <c r="AG20" s="1684">
        <v>18017</v>
      </c>
      <c r="AH20" s="1937">
        <v>30754</v>
      </c>
      <c r="AI20" s="1937">
        <v>31685</v>
      </c>
      <c r="AJ20" s="1937">
        <v>19578</v>
      </c>
      <c r="AK20" s="1937">
        <v>21789</v>
      </c>
      <c r="AL20" s="1937">
        <v>13890</v>
      </c>
      <c r="AM20" s="1937">
        <v>10124</v>
      </c>
      <c r="AN20" s="1937">
        <v>2366</v>
      </c>
      <c r="AO20" s="2151">
        <v>47917</v>
      </c>
      <c r="AP20" s="1317">
        <v>45975</v>
      </c>
      <c r="AQ20" s="1317">
        <v>35980</v>
      </c>
      <c r="AR20" s="1317">
        <v>61278</v>
      </c>
      <c r="AS20" s="2079">
        <v>98642</v>
      </c>
      <c r="AT20" s="2084">
        <v>82259</v>
      </c>
      <c r="AU20" s="2084">
        <v>47759</v>
      </c>
      <c r="AV20" s="2084">
        <v>120298</v>
      </c>
      <c r="AW20" s="2065"/>
      <c r="AY20" s="1484"/>
      <c r="AZ20" s="1484"/>
      <c r="BA20" s="1484"/>
      <c r="CE20" s="1312">
        <v>4215</v>
      </c>
      <c r="CF20" s="2430">
        <v>0.61821648577295396</v>
      </c>
      <c r="CG20" s="2429">
        <v>-5283</v>
      </c>
      <c r="CH20" s="2430">
        <v>-0.77792936150198044</v>
      </c>
      <c r="CI20" s="2430"/>
      <c r="CJ20" s="1312">
        <v>20611</v>
      </c>
      <c r="CK20" s="2432">
        <v>-2594</v>
      </c>
      <c r="CL20" s="1312"/>
      <c r="CM20" s="2432">
        <v>-12737</v>
      </c>
      <c r="CN20" s="2431">
        <v>-0.41415750796644341</v>
      </c>
      <c r="CO20" s="1146">
        <v>0</v>
      </c>
      <c r="CP20" s="1146">
        <v>0</v>
      </c>
    </row>
    <row r="21" spans="1:94" ht="13.5" hidden="1" customHeight="1" x14ac:dyDescent="0.2">
      <c r="A21" s="1532"/>
      <c r="B21" s="1528" t="s">
        <v>64</v>
      </c>
      <c r="C21" s="1533">
        <v>-10</v>
      </c>
      <c r="D21" s="1536">
        <v>-2.0202020202020204E-2</v>
      </c>
      <c r="E21" s="1498"/>
      <c r="F21" s="1159">
        <v>485</v>
      </c>
      <c r="G21" s="2035">
        <v>506</v>
      </c>
      <c r="H21" s="1603">
        <v>497</v>
      </c>
      <c r="I21" s="1603">
        <v>466</v>
      </c>
      <c r="J21" s="1662">
        <v>495</v>
      </c>
      <c r="K21" s="1205">
        <v>462</v>
      </c>
      <c r="L21" s="1603">
        <v>533</v>
      </c>
      <c r="M21" s="1603">
        <v>448</v>
      </c>
      <c r="N21" s="1662">
        <v>438</v>
      </c>
      <c r="O21" s="1396">
        <v>421</v>
      </c>
      <c r="P21" s="1603">
        <v>428</v>
      </c>
      <c r="Q21" s="1603">
        <v>412</v>
      </c>
      <c r="R21" s="1662">
        <v>388</v>
      </c>
      <c r="S21" s="2199">
        <v>481</v>
      </c>
      <c r="T21" s="1603">
        <v>498</v>
      </c>
      <c r="U21" s="1603">
        <v>525</v>
      </c>
      <c r="V21" s="1662">
        <v>436</v>
      </c>
      <c r="W21" s="2199">
        <v>495</v>
      </c>
      <c r="X21" s="1603">
        <v>283</v>
      </c>
      <c r="Y21" s="1603">
        <v>1848</v>
      </c>
      <c r="Z21" s="1662">
        <v>1836</v>
      </c>
      <c r="AA21" s="1589"/>
      <c r="AB21" s="1603">
        <v>1964</v>
      </c>
      <c r="AC21" s="1603">
        <v>1881</v>
      </c>
      <c r="AD21" s="1596">
        <v>83</v>
      </c>
      <c r="AE21" s="1536">
        <v>4.4125465178096755E-2</v>
      </c>
      <c r="AF21" s="1551"/>
      <c r="AG21" s="1684">
        <v>1964</v>
      </c>
      <c r="AH21" s="1665">
        <v>1881</v>
      </c>
      <c r="AI21" s="1665">
        <v>1649</v>
      </c>
      <c r="AJ21" s="1665">
        <v>1940</v>
      </c>
      <c r="AK21" s="1665">
        <v>1648</v>
      </c>
      <c r="AL21" s="1665">
        <v>1613</v>
      </c>
      <c r="AM21" s="1665">
        <v>1446</v>
      </c>
      <c r="AN21" s="1665">
        <v>735</v>
      </c>
      <c r="AO21" s="2003">
        <v>5048</v>
      </c>
      <c r="AP21" s="2003">
        <v>6445</v>
      </c>
      <c r="AQ21" s="1317">
        <v>5563</v>
      </c>
      <c r="AR21" s="1317">
        <v>4547</v>
      </c>
      <c r="AS21" s="2079">
        <v>1847</v>
      </c>
      <c r="AT21" s="2084">
        <v>2414</v>
      </c>
      <c r="AU21" s="2084">
        <v>6699</v>
      </c>
      <c r="AV21" s="2084">
        <v>12517</v>
      </c>
      <c r="AW21" s="2065"/>
      <c r="AY21" s="1484"/>
      <c r="AZ21" s="1484"/>
      <c r="BA21" s="1484"/>
      <c r="CE21" s="1312">
        <v>105</v>
      </c>
      <c r="CF21" s="2430">
        <v>0.24532710280373832</v>
      </c>
      <c r="CG21" s="2429">
        <v>-115</v>
      </c>
      <c r="CH21" s="2430">
        <v>-0.26552912300575854</v>
      </c>
      <c r="CI21" s="2430"/>
      <c r="CJ21" s="1312">
        <v>1419</v>
      </c>
      <c r="CK21" s="2432">
        <v>545</v>
      </c>
      <c r="CL21" s="1312"/>
      <c r="CM21" s="2432">
        <v>83</v>
      </c>
      <c r="CN21" s="2431">
        <v>4.4125465178096755E-2</v>
      </c>
      <c r="CO21" s="1146">
        <v>0</v>
      </c>
      <c r="CP21" s="1146">
        <v>0</v>
      </c>
    </row>
    <row r="22" spans="1:94" ht="13.5" customHeight="1" x14ac:dyDescent="0.2">
      <c r="A22" s="1532"/>
      <c r="B22" s="1201" t="s">
        <v>720</v>
      </c>
      <c r="C22" s="1533">
        <v>-1078</v>
      </c>
      <c r="D22" s="1536">
        <v>-0.15009746588693956</v>
      </c>
      <c r="E22" s="1498"/>
      <c r="F22" s="1159">
        <v>6104</v>
      </c>
      <c r="G22" s="2035">
        <v>2909</v>
      </c>
      <c r="H22" s="1603">
        <v>3884</v>
      </c>
      <c r="I22" s="1603">
        <v>6006</v>
      </c>
      <c r="J22" s="1662">
        <v>7182</v>
      </c>
      <c r="K22" s="2035">
        <v>10605</v>
      </c>
      <c r="L22" s="1603">
        <v>11566</v>
      </c>
      <c r="M22" s="1603">
        <v>5610</v>
      </c>
      <c r="N22" s="1662">
        <v>4854</v>
      </c>
      <c r="O22" s="1396"/>
      <c r="P22" s="1603"/>
      <c r="Q22" s="1603"/>
      <c r="R22" s="1662"/>
      <c r="S22" s="2199"/>
      <c r="T22" s="1603"/>
      <c r="U22" s="1603"/>
      <c r="V22" s="1662"/>
      <c r="W22" s="2199"/>
      <c r="X22" s="1603"/>
      <c r="Y22" s="1603"/>
      <c r="Z22" s="1662"/>
      <c r="AA22" s="1589"/>
      <c r="AB22" s="1603"/>
      <c r="AC22" s="1603"/>
      <c r="AD22" s="1596"/>
      <c r="AE22" s="1536"/>
      <c r="AF22" s="1551"/>
      <c r="AG22" s="1684">
        <v>19981</v>
      </c>
      <c r="AH22" s="1665">
        <v>32635</v>
      </c>
      <c r="AI22" s="1665">
        <v>33334</v>
      </c>
      <c r="AJ22" s="1665">
        <v>21518</v>
      </c>
      <c r="AK22" s="1665">
        <v>23437</v>
      </c>
      <c r="AL22" s="1665"/>
      <c r="AM22" s="1665"/>
      <c r="AN22" s="1665"/>
      <c r="AO22" s="2003"/>
      <c r="AP22" s="2003"/>
      <c r="AQ22" s="1317"/>
      <c r="AR22" s="1317"/>
      <c r="AS22" s="2079"/>
      <c r="AT22" s="2084"/>
      <c r="AU22" s="2084"/>
      <c r="AV22" s="2084"/>
      <c r="AW22" s="2065"/>
      <c r="AY22" s="1484"/>
      <c r="AZ22" s="1484"/>
      <c r="BA22" s="1484"/>
      <c r="CE22" s="1312"/>
      <c r="CF22" s="2430"/>
      <c r="CG22" s="2429"/>
      <c r="CH22" s="2430"/>
      <c r="CI22" s="2430"/>
      <c r="CJ22" s="1312"/>
      <c r="CK22" s="2432"/>
      <c r="CL22" s="1312"/>
      <c r="CM22" s="2432"/>
      <c r="CN22" s="2431"/>
      <c r="CO22" s="1146"/>
      <c r="CP22" s="1146"/>
    </row>
    <row r="23" spans="1:94" ht="12.75" customHeight="1" x14ac:dyDescent="0.2">
      <c r="A23" s="1532"/>
      <c r="B23" s="1528" t="s">
        <v>93</v>
      </c>
      <c r="C23" s="1533">
        <v>-142</v>
      </c>
      <c r="D23" s="1536">
        <v>-0.25959780621572209</v>
      </c>
      <c r="E23" s="1498"/>
      <c r="F23" s="1159">
        <v>405</v>
      </c>
      <c r="G23" s="2035">
        <v>501</v>
      </c>
      <c r="H23" s="1603">
        <v>477</v>
      </c>
      <c r="I23" s="1603">
        <v>578</v>
      </c>
      <c r="J23" s="1662">
        <v>547</v>
      </c>
      <c r="K23" s="1205">
        <v>795</v>
      </c>
      <c r="L23" s="1603">
        <v>552</v>
      </c>
      <c r="M23" s="1603">
        <v>504</v>
      </c>
      <c r="N23" s="1662">
        <v>484</v>
      </c>
      <c r="O23" s="1396">
        <v>519</v>
      </c>
      <c r="P23" s="1603">
        <v>502</v>
      </c>
      <c r="Q23" s="1603">
        <v>536</v>
      </c>
      <c r="R23" s="1662">
        <v>531</v>
      </c>
      <c r="S23" s="2199">
        <v>516</v>
      </c>
      <c r="T23" s="1603">
        <v>567</v>
      </c>
      <c r="U23" s="1603">
        <v>514</v>
      </c>
      <c r="V23" s="1662">
        <v>503</v>
      </c>
      <c r="W23" s="2199">
        <v>549</v>
      </c>
      <c r="X23" s="1603">
        <v>519</v>
      </c>
      <c r="Y23" s="1603">
        <v>931</v>
      </c>
      <c r="Z23" s="1662">
        <v>960</v>
      </c>
      <c r="AA23" s="1589"/>
      <c r="AB23" s="1603">
        <v>2103</v>
      </c>
      <c r="AC23" s="1603">
        <v>2335</v>
      </c>
      <c r="AD23" s="1596">
        <v>-232</v>
      </c>
      <c r="AE23" s="1536">
        <v>-9.9357601713062099E-2</v>
      </c>
      <c r="AF23" s="1551"/>
      <c r="AG23" s="1684">
        <v>2103</v>
      </c>
      <c r="AH23" s="1665">
        <v>2335</v>
      </c>
      <c r="AI23" s="1665">
        <v>2088</v>
      </c>
      <c r="AJ23" s="1665">
        <v>2100</v>
      </c>
      <c r="AK23" s="1665">
        <v>2049</v>
      </c>
      <c r="AL23" s="1665">
        <v>1791</v>
      </c>
      <c r="AM23" s="1665">
        <v>1355</v>
      </c>
      <c r="AN23" s="1665">
        <v>371</v>
      </c>
      <c r="AO23" s="2003">
        <v>3514</v>
      </c>
      <c r="AP23" s="2003">
        <v>3552</v>
      </c>
      <c r="AQ23" s="1317">
        <v>2941</v>
      </c>
      <c r="AR23" s="1317">
        <v>2179</v>
      </c>
      <c r="AS23" s="2079">
        <v>2191</v>
      </c>
      <c r="AT23" s="2084">
        <v>2896</v>
      </c>
      <c r="AU23" s="2084">
        <v>1887</v>
      </c>
      <c r="AV23" s="2084">
        <v>3440</v>
      </c>
      <c r="AW23" s="2065"/>
      <c r="AY23" s="1484"/>
      <c r="AZ23" s="1484"/>
      <c r="BA23" s="1484"/>
      <c r="CE23" s="1312">
        <v>50</v>
      </c>
      <c r="CF23" s="2430">
        <v>9.9601593625498003E-2</v>
      </c>
      <c r="CG23" s="2429">
        <v>-192</v>
      </c>
      <c r="CH23" s="2430">
        <v>-0.35919939984122007</v>
      </c>
      <c r="CI23" s="2430"/>
      <c r="CJ23" s="1312">
        <v>1540</v>
      </c>
      <c r="CK23" s="2432">
        <v>563</v>
      </c>
      <c r="CL23" s="1312"/>
      <c r="CM23" s="2432">
        <v>-232</v>
      </c>
      <c r="CN23" s="2431">
        <v>-9.9357601713062099E-2</v>
      </c>
      <c r="CO23" s="1146">
        <v>0</v>
      </c>
      <c r="CP23" s="1146">
        <v>0</v>
      </c>
    </row>
    <row r="24" spans="1:94" ht="12.75" customHeight="1" x14ac:dyDescent="0.2">
      <c r="A24" s="1532"/>
      <c r="B24" s="1528" t="s">
        <v>66</v>
      </c>
      <c r="C24" s="1533">
        <v>-63</v>
      </c>
      <c r="D24" s="1536">
        <v>-0.20792079207920791</v>
      </c>
      <c r="E24" s="1498"/>
      <c r="F24" s="1159">
        <v>240</v>
      </c>
      <c r="G24" s="2035">
        <v>307</v>
      </c>
      <c r="H24" s="1603">
        <v>278</v>
      </c>
      <c r="I24" s="1603">
        <v>314</v>
      </c>
      <c r="J24" s="1662">
        <v>303</v>
      </c>
      <c r="K24" s="1205">
        <v>311</v>
      </c>
      <c r="L24" s="1603">
        <v>305</v>
      </c>
      <c r="M24" s="1603">
        <v>340</v>
      </c>
      <c r="N24" s="1662">
        <v>269</v>
      </c>
      <c r="O24" s="1396">
        <v>272</v>
      </c>
      <c r="P24" s="1603">
        <v>267</v>
      </c>
      <c r="Q24" s="1603">
        <v>257</v>
      </c>
      <c r="R24" s="1662">
        <v>244</v>
      </c>
      <c r="S24" s="2199">
        <v>242</v>
      </c>
      <c r="T24" s="1603">
        <v>239</v>
      </c>
      <c r="U24" s="1603">
        <v>236</v>
      </c>
      <c r="V24" s="1662">
        <v>245</v>
      </c>
      <c r="W24" s="2199">
        <v>238</v>
      </c>
      <c r="X24" s="1205">
        <v>-3</v>
      </c>
      <c r="Y24" s="1603">
        <v>2369</v>
      </c>
      <c r="Z24" s="1662">
        <v>2399</v>
      </c>
      <c r="AA24" s="1589"/>
      <c r="AB24" s="1603">
        <v>1202</v>
      </c>
      <c r="AC24" s="1603">
        <v>1225</v>
      </c>
      <c r="AD24" s="1596">
        <v>-23</v>
      </c>
      <c r="AE24" s="1536">
        <v>-1.8775510204081632E-2</v>
      </c>
      <c r="AF24" s="1551"/>
      <c r="AG24" s="1684">
        <v>1202</v>
      </c>
      <c r="AH24" s="1665">
        <v>1225</v>
      </c>
      <c r="AI24" s="1665">
        <v>1040</v>
      </c>
      <c r="AJ24" s="1665">
        <v>962</v>
      </c>
      <c r="AK24" s="1665">
        <v>906</v>
      </c>
      <c r="AL24" s="1665">
        <v>739</v>
      </c>
      <c r="AM24" s="1665">
        <v>866</v>
      </c>
      <c r="AN24" s="1665">
        <v>161</v>
      </c>
      <c r="AO24" s="2003">
        <v>3474</v>
      </c>
      <c r="AP24" s="2003">
        <v>3842</v>
      </c>
      <c r="AQ24" s="1317">
        <v>4046</v>
      </c>
      <c r="AR24" s="1317">
        <v>3227</v>
      </c>
      <c r="AS24" s="2079">
        <v>3000</v>
      </c>
      <c r="AT24" s="2084">
        <v>2293</v>
      </c>
      <c r="AU24" s="2084">
        <v>1365</v>
      </c>
      <c r="AV24" s="2084">
        <v>4236</v>
      </c>
      <c r="AW24" s="2065"/>
      <c r="AY24" s="1484"/>
      <c r="AZ24" s="1484"/>
      <c r="BA24" s="1484"/>
      <c r="CE24" s="1312">
        <v>38</v>
      </c>
      <c r="CF24" s="2430">
        <v>0.14232209737827714</v>
      </c>
      <c r="CG24" s="2429">
        <v>-101</v>
      </c>
      <c r="CH24" s="2430">
        <v>-0.35024288945748505</v>
      </c>
      <c r="CI24" s="2430"/>
      <c r="CJ24" s="1312">
        <v>914</v>
      </c>
      <c r="CK24" s="2432">
        <v>288</v>
      </c>
      <c r="CL24" s="1312"/>
      <c r="CM24" s="2432">
        <v>-23</v>
      </c>
      <c r="CN24" s="2431">
        <v>-1.8775510204081632E-2</v>
      </c>
      <c r="CO24" s="1146">
        <v>0</v>
      </c>
      <c r="CP24" s="1146">
        <v>0</v>
      </c>
    </row>
    <row r="25" spans="1:94" ht="12.75" customHeight="1" x14ac:dyDescent="0.2">
      <c r="A25" s="1532"/>
      <c r="B25" s="1528" t="s">
        <v>67</v>
      </c>
      <c r="C25" s="1533">
        <v>8</v>
      </c>
      <c r="D25" s="1536">
        <v>2.6845637583892617E-2</v>
      </c>
      <c r="E25" s="1498"/>
      <c r="F25" s="1159">
        <v>306</v>
      </c>
      <c r="G25" s="2035">
        <v>306</v>
      </c>
      <c r="H25" s="1603">
        <v>321</v>
      </c>
      <c r="I25" s="1603">
        <v>322</v>
      </c>
      <c r="J25" s="1662">
        <v>298</v>
      </c>
      <c r="K25" s="2303">
        <v>323</v>
      </c>
      <c r="L25" s="1603">
        <v>313</v>
      </c>
      <c r="M25" s="1603">
        <v>608</v>
      </c>
      <c r="N25" s="1662">
        <v>224</v>
      </c>
      <c r="O25" s="2847">
        <v>241</v>
      </c>
      <c r="P25" s="1603">
        <v>259</v>
      </c>
      <c r="Q25" s="1603">
        <v>239</v>
      </c>
      <c r="R25" s="1662">
        <v>231</v>
      </c>
      <c r="S25" s="2199">
        <v>202</v>
      </c>
      <c r="T25" s="1603">
        <v>186</v>
      </c>
      <c r="U25" s="1603">
        <v>236</v>
      </c>
      <c r="V25" s="1662">
        <v>203</v>
      </c>
      <c r="W25" s="2199">
        <v>226</v>
      </c>
      <c r="X25" s="1603">
        <v>202</v>
      </c>
      <c r="Y25" s="1603">
        <v>3145</v>
      </c>
      <c r="Z25" s="1662">
        <v>2855</v>
      </c>
      <c r="AA25" s="1589"/>
      <c r="AB25" s="1603">
        <v>1247</v>
      </c>
      <c r="AC25" s="1603">
        <v>1468</v>
      </c>
      <c r="AD25" s="1596">
        <v>-221</v>
      </c>
      <c r="AE25" s="1536">
        <v>-0.1505449591280654</v>
      </c>
      <c r="AF25" s="1551"/>
      <c r="AG25" s="1684">
        <v>1247</v>
      </c>
      <c r="AH25" s="1665">
        <v>1468</v>
      </c>
      <c r="AI25" s="1665">
        <v>970</v>
      </c>
      <c r="AJ25" s="1665">
        <v>827</v>
      </c>
      <c r="AK25" s="1665">
        <v>754</v>
      </c>
      <c r="AL25" s="1665">
        <v>667</v>
      </c>
      <c r="AM25" s="1665">
        <v>422</v>
      </c>
      <c r="AN25" s="1665">
        <v>165</v>
      </c>
      <c r="AO25" s="2003">
        <v>5143</v>
      </c>
      <c r="AP25" s="2003">
        <v>2433</v>
      </c>
      <c r="AQ25" s="1317">
        <v>2049</v>
      </c>
      <c r="AR25" s="1317">
        <v>2816</v>
      </c>
      <c r="AS25" s="2079">
        <v>3930</v>
      </c>
      <c r="AT25" s="2084">
        <v>2980</v>
      </c>
      <c r="AU25" s="2084">
        <v>2274</v>
      </c>
      <c r="AV25" s="2084">
        <v>4205</v>
      </c>
      <c r="AW25" s="2065"/>
      <c r="AY25" s="1484"/>
      <c r="AZ25" s="1484"/>
      <c r="BA25" s="1484"/>
      <c r="CE25" s="1312">
        <v>54</v>
      </c>
      <c r="CF25" s="2430">
        <v>0.20849420849420849</v>
      </c>
      <c r="CG25" s="2429">
        <v>-46</v>
      </c>
      <c r="CH25" s="2430">
        <v>-0.18164857091031589</v>
      </c>
      <c r="CI25" s="2430"/>
      <c r="CJ25" s="1312">
        <v>1145</v>
      </c>
      <c r="CK25" s="2432">
        <v>102</v>
      </c>
      <c r="CL25" s="1312"/>
      <c r="CM25" s="2432">
        <v>-221</v>
      </c>
      <c r="CN25" s="2431">
        <v>-0.1505449591280654</v>
      </c>
      <c r="CO25" s="1146">
        <v>0</v>
      </c>
      <c r="CP25" s="1146">
        <v>0</v>
      </c>
    </row>
    <row r="26" spans="1:94" ht="12.75" customHeight="1" x14ac:dyDescent="0.2">
      <c r="A26" s="1532"/>
      <c r="B26" s="1528" t="s">
        <v>62</v>
      </c>
      <c r="C26" s="1533">
        <v>28</v>
      </c>
      <c r="D26" s="1536" t="s">
        <v>41</v>
      </c>
      <c r="E26" s="1498"/>
      <c r="F26" s="1159">
        <v>32</v>
      </c>
      <c r="G26" s="2035">
        <v>5</v>
      </c>
      <c r="H26" s="1603">
        <v>5</v>
      </c>
      <c r="I26" s="1603">
        <v>14</v>
      </c>
      <c r="J26" s="1662">
        <v>4</v>
      </c>
      <c r="K26" s="2303">
        <v>15</v>
      </c>
      <c r="L26" s="1603">
        <v>6</v>
      </c>
      <c r="M26" s="1603">
        <v>15</v>
      </c>
      <c r="N26" s="1662">
        <v>8</v>
      </c>
      <c r="O26" s="2847">
        <v>12</v>
      </c>
      <c r="P26" s="1603">
        <v>9</v>
      </c>
      <c r="Q26" s="1603">
        <v>14</v>
      </c>
      <c r="R26" s="1662">
        <v>7</v>
      </c>
      <c r="S26" s="2199">
        <v>11</v>
      </c>
      <c r="T26" s="1603">
        <v>8</v>
      </c>
      <c r="U26" s="1603">
        <v>11</v>
      </c>
      <c r="V26" s="1662">
        <v>8</v>
      </c>
      <c r="W26" s="1396">
        <v>-12</v>
      </c>
      <c r="X26" s="1603">
        <v>3</v>
      </c>
      <c r="Y26" s="1603">
        <v>406</v>
      </c>
      <c r="Z26" s="1662">
        <v>496</v>
      </c>
      <c r="AA26" s="1589"/>
      <c r="AB26" s="1603">
        <v>28</v>
      </c>
      <c r="AC26" s="1603">
        <v>44</v>
      </c>
      <c r="AD26" s="1596">
        <v>-16</v>
      </c>
      <c r="AE26" s="1536">
        <v>-0.36363636363636365</v>
      </c>
      <c r="AF26" s="1551"/>
      <c r="AG26" s="1684">
        <v>28</v>
      </c>
      <c r="AH26" s="1665">
        <v>44</v>
      </c>
      <c r="AI26" s="1665">
        <v>42</v>
      </c>
      <c r="AJ26" s="1665">
        <v>38</v>
      </c>
      <c r="AK26" s="1665">
        <v>36</v>
      </c>
      <c r="AL26" s="1665">
        <v>43</v>
      </c>
      <c r="AM26" s="1665">
        <v>24</v>
      </c>
      <c r="AN26" s="1665">
        <v>5</v>
      </c>
      <c r="AO26" s="2003">
        <v>102</v>
      </c>
      <c r="AP26" s="2003">
        <v>74</v>
      </c>
      <c r="AQ26" s="1317">
        <v>253</v>
      </c>
      <c r="AR26" s="1317">
        <v>-4</v>
      </c>
      <c r="AS26" s="2079">
        <v>551</v>
      </c>
      <c r="AT26" s="2084">
        <v>175</v>
      </c>
      <c r="AU26" s="2084">
        <v>114</v>
      </c>
      <c r="AV26" s="2084">
        <v>35</v>
      </c>
      <c r="AW26" s="1484"/>
      <c r="AY26" s="1484"/>
      <c r="AZ26" s="1484"/>
      <c r="BA26" s="1484"/>
      <c r="CE26" s="1312">
        <v>-3</v>
      </c>
      <c r="CF26" s="2430">
        <v>-0.33333333333333331</v>
      </c>
      <c r="CG26" s="2429">
        <v>31</v>
      </c>
      <c r="CH26" s="2430" t="e">
        <v>#VALUE!</v>
      </c>
      <c r="CI26" s="2430"/>
      <c r="CJ26" s="1312">
        <v>29</v>
      </c>
      <c r="CK26" s="2432">
        <v>-1</v>
      </c>
      <c r="CL26" s="1312"/>
      <c r="CM26" s="2432">
        <v>-16</v>
      </c>
      <c r="CN26" s="2431">
        <v>-0.36363636363636365</v>
      </c>
      <c r="CO26" s="1146">
        <v>0</v>
      </c>
      <c r="CP26" s="1146">
        <v>0</v>
      </c>
    </row>
    <row r="27" spans="1:94" ht="12.75" customHeight="1" x14ac:dyDescent="0.2">
      <c r="A27" s="1532"/>
      <c r="B27" s="1528" t="s">
        <v>68</v>
      </c>
      <c r="C27" s="1533">
        <v>109</v>
      </c>
      <c r="D27" s="1536">
        <v>0.11834961997828447</v>
      </c>
      <c r="E27" s="1498"/>
      <c r="F27" s="1159">
        <v>1030</v>
      </c>
      <c r="G27" s="2035">
        <v>917</v>
      </c>
      <c r="H27" s="1603">
        <v>1184</v>
      </c>
      <c r="I27" s="1603">
        <v>1340</v>
      </c>
      <c r="J27" s="1662">
        <v>921</v>
      </c>
      <c r="K27" s="2303">
        <v>859</v>
      </c>
      <c r="L27" s="1603">
        <v>878</v>
      </c>
      <c r="M27" s="1603">
        <v>982</v>
      </c>
      <c r="N27" s="1662">
        <v>860</v>
      </c>
      <c r="O27" s="2847">
        <v>750</v>
      </c>
      <c r="P27" s="1603">
        <v>1096</v>
      </c>
      <c r="Q27" s="1603">
        <v>809</v>
      </c>
      <c r="R27" s="1662">
        <v>819</v>
      </c>
      <c r="S27" s="2199">
        <v>771</v>
      </c>
      <c r="T27" s="1603">
        <v>891</v>
      </c>
      <c r="U27" s="1603">
        <v>952</v>
      </c>
      <c r="V27" s="1662">
        <v>804</v>
      </c>
      <c r="W27" s="2199">
        <v>682</v>
      </c>
      <c r="X27" s="1603">
        <v>1331</v>
      </c>
      <c r="Y27" s="1603">
        <v>3901</v>
      </c>
      <c r="Z27" s="1662">
        <v>4859</v>
      </c>
      <c r="AA27" s="1589"/>
      <c r="AB27" s="1603">
        <v>4362</v>
      </c>
      <c r="AC27" s="1603">
        <v>3579</v>
      </c>
      <c r="AD27" s="1596">
        <v>783</v>
      </c>
      <c r="AE27" s="1536">
        <v>0.21877619446772842</v>
      </c>
      <c r="AF27" s="1551"/>
      <c r="AG27" s="1684">
        <v>4362</v>
      </c>
      <c r="AH27" s="1665">
        <v>3579</v>
      </c>
      <c r="AI27" s="1665">
        <v>3474</v>
      </c>
      <c r="AJ27" s="1665">
        <v>3418</v>
      </c>
      <c r="AK27" s="1665">
        <v>4006</v>
      </c>
      <c r="AL27" s="1665">
        <v>2641</v>
      </c>
      <c r="AM27" s="1665">
        <v>2567</v>
      </c>
      <c r="AN27" s="1665">
        <v>1135</v>
      </c>
      <c r="AO27" s="2003">
        <v>7399</v>
      </c>
      <c r="AP27" s="2003">
        <v>5985</v>
      </c>
      <c r="AQ27" s="1317">
        <v>15606</v>
      </c>
      <c r="AR27" s="1317">
        <v>11718</v>
      </c>
      <c r="AS27" s="2079">
        <v>12437</v>
      </c>
      <c r="AT27" s="2084">
        <v>11037</v>
      </c>
      <c r="AU27" s="2084">
        <v>6277</v>
      </c>
      <c r="AV27" s="2084">
        <v>7632</v>
      </c>
      <c r="AW27" s="1484"/>
      <c r="AY27" s="1484"/>
      <c r="AZ27" s="1484"/>
      <c r="BA27" s="1484"/>
      <c r="CE27" s="1312">
        <v>-218</v>
      </c>
      <c r="CF27" s="2430">
        <v>-0.1989051094890511</v>
      </c>
      <c r="CG27" s="2429">
        <v>327</v>
      </c>
      <c r="CH27" s="2430">
        <v>0.31725472946733557</v>
      </c>
      <c r="CI27" s="2430"/>
      <c r="CJ27" s="1312">
        <v>2720</v>
      </c>
      <c r="CK27" s="2432">
        <v>1642</v>
      </c>
      <c r="CL27" s="1312"/>
      <c r="CM27" s="2432">
        <v>783</v>
      </c>
      <c r="CN27" s="2431">
        <v>0.21877619446772842</v>
      </c>
      <c r="CO27" s="1146">
        <v>0</v>
      </c>
      <c r="CP27" s="1146">
        <v>0</v>
      </c>
    </row>
    <row r="28" spans="1:94" ht="12.75" customHeight="1" x14ac:dyDescent="0.2">
      <c r="A28" s="1532"/>
      <c r="B28" s="1528" t="s">
        <v>69</v>
      </c>
      <c r="C28" s="1533">
        <v>-2</v>
      </c>
      <c r="D28" s="1536">
        <v>-1.834862385321101E-2</v>
      </c>
      <c r="E28" s="1498"/>
      <c r="F28" s="1159">
        <v>107</v>
      </c>
      <c r="G28" s="2035">
        <v>117</v>
      </c>
      <c r="H28" s="1603">
        <v>122</v>
      </c>
      <c r="I28" s="1603">
        <v>117</v>
      </c>
      <c r="J28" s="1662">
        <v>109</v>
      </c>
      <c r="K28" s="2303">
        <v>125</v>
      </c>
      <c r="L28" s="1603">
        <v>118</v>
      </c>
      <c r="M28" s="1603">
        <v>151</v>
      </c>
      <c r="N28" s="1662">
        <v>150</v>
      </c>
      <c r="O28" s="2847">
        <v>423</v>
      </c>
      <c r="P28" s="1603">
        <v>416</v>
      </c>
      <c r="Q28" s="1603">
        <v>402</v>
      </c>
      <c r="R28" s="1662">
        <v>377</v>
      </c>
      <c r="S28" s="2199">
        <v>868</v>
      </c>
      <c r="T28" s="1603">
        <v>848</v>
      </c>
      <c r="U28" s="1603">
        <v>819</v>
      </c>
      <c r="V28" s="1662">
        <v>814</v>
      </c>
      <c r="W28" s="2199">
        <v>892</v>
      </c>
      <c r="X28" s="1603">
        <v>838</v>
      </c>
      <c r="Y28" s="1603">
        <v>1343</v>
      </c>
      <c r="Z28" s="1662">
        <v>1353</v>
      </c>
      <c r="AA28" s="1589"/>
      <c r="AB28" s="1603">
        <v>465</v>
      </c>
      <c r="AC28" s="1603">
        <v>544</v>
      </c>
      <c r="AD28" s="1596">
        <v>-79</v>
      </c>
      <c r="AE28" s="1536">
        <v>-0.14522058823529413</v>
      </c>
      <c r="AF28" s="1551"/>
      <c r="AG28" s="1684">
        <v>465</v>
      </c>
      <c r="AH28" s="1665">
        <v>544</v>
      </c>
      <c r="AI28" s="1665">
        <v>1618</v>
      </c>
      <c r="AJ28" s="1665">
        <v>3349</v>
      </c>
      <c r="AK28" s="1665">
        <v>3456</v>
      </c>
      <c r="AL28" s="1665">
        <v>3681</v>
      </c>
      <c r="AM28" s="1665">
        <v>4428</v>
      </c>
      <c r="AN28" s="1665">
        <v>1930</v>
      </c>
      <c r="AO28" s="2003">
        <v>1254</v>
      </c>
      <c r="AP28" s="2003">
        <v>1603</v>
      </c>
      <c r="AQ28" s="1317">
        <v>1843</v>
      </c>
      <c r="AR28" s="1317">
        <v>1825</v>
      </c>
      <c r="AS28" s="2079">
        <v>1063</v>
      </c>
      <c r="AT28" s="2084">
        <v>893</v>
      </c>
      <c r="AU28" s="2084">
        <v>470</v>
      </c>
      <c r="AV28" s="2084">
        <v>1291</v>
      </c>
      <c r="AW28" s="1484"/>
      <c r="AY28" s="1484"/>
      <c r="AZ28" s="1484"/>
      <c r="BA28" s="1484"/>
      <c r="CE28" s="1312">
        <v>-298</v>
      </c>
      <c r="CF28" s="2430">
        <v>-0.71634615384615385</v>
      </c>
      <c r="CG28" s="2429">
        <v>296</v>
      </c>
      <c r="CH28" s="2430">
        <v>0.69799752999294284</v>
      </c>
      <c r="CI28" s="2430"/>
      <c r="CJ28" s="1312">
        <v>419</v>
      </c>
      <c r="CK28" s="2432">
        <v>46</v>
      </c>
      <c r="CL28" s="1312"/>
      <c r="CM28" s="2432">
        <v>-79</v>
      </c>
      <c r="CN28" s="2431">
        <v>-0.14522058823529413</v>
      </c>
      <c r="CO28" s="1146">
        <v>0</v>
      </c>
      <c r="CP28" s="1146">
        <v>0</v>
      </c>
    </row>
    <row r="29" spans="1:94" ht="12.75" customHeight="1" x14ac:dyDescent="0.2">
      <c r="A29" s="1528"/>
      <c r="B29" s="1528" t="s">
        <v>684</v>
      </c>
      <c r="C29" s="1533">
        <v>192</v>
      </c>
      <c r="D29" s="1536" t="s">
        <v>41</v>
      </c>
      <c r="E29" s="1505"/>
      <c r="F29" s="1159">
        <v>192</v>
      </c>
      <c r="G29" s="2035">
        <v>0</v>
      </c>
      <c r="H29" s="1595">
        <v>0</v>
      </c>
      <c r="I29" s="1595">
        <v>0</v>
      </c>
      <c r="J29" s="1725">
        <v>0</v>
      </c>
      <c r="K29" s="2303">
        <v>0</v>
      </c>
      <c r="L29" s="1595">
        <v>0</v>
      </c>
      <c r="M29" s="1595">
        <v>0</v>
      </c>
      <c r="N29" s="1725">
        <v>0</v>
      </c>
      <c r="O29" s="2847">
        <v>0</v>
      </c>
      <c r="P29" s="1595">
        <v>0</v>
      </c>
      <c r="Q29" s="1595">
        <v>0</v>
      </c>
      <c r="R29" s="1725">
        <v>0</v>
      </c>
      <c r="S29" s="2201">
        <v>0</v>
      </c>
      <c r="T29" s="1595">
        <v>0</v>
      </c>
      <c r="U29" s="1595">
        <v>0</v>
      </c>
      <c r="V29" s="1725">
        <v>473</v>
      </c>
      <c r="W29" s="2199">
        <v>16</v>
      </c>
      <c r="X29" s="1595">
        <v>0</v>
      </c>
      <c r="Y29" s="1595">
        <v>-40</v>
      </c>
      <c r="Z29" s="1725">
        <v>668</v>
      </c>
      <c r="AA29" s="1589"/>
      <c r="AB29" s="1065">
        <v>0</v>
      </c>
      <c r="AC29" s="1065">
        <v>0</v>
      </c>
      <c r="AD29" s="1065">
        <v>0</v>
      </c>
      <c r="AE29" s="1536">
        <v>0</v>
      </c>
      <c r="AF29" s="1551"/>
      <c r="AG29" s="1263">
        <v>0</v>
      </c>
      <c r="AH29" s="1774">
        <v>0</v>
      </c>
      <c r="AI29" s="1774">
        <v>0</v>
      </c>
      <c r="AJ29" s="1665">
        <v>473</v>
      </c>
      <c r="AK29" s="1665">
        <v>278</v>
      </c>
      <c r="AL29" s="1665">
        <v>1228</v>
      </c>
      <c r="AM29" s="1774">
        <v>0</v>
      </c>
      <c r="AN29" s="1665">
        <v>362</v>
      </c>
      <c r="AO29" s="2003">
        <v>4697</v>
      </c>
      <c r="AP29" s="2003">
        <v>3012</v>
      </c>
      <c r="AQ29" s="1317">
        <v>1340</v>
      </c>
      <c r="AR29" s="1317">
        <v>1133</v>
      </c>
      <c r="AS29" s="2079">
        <v>1510</v>
      </c>
      <c r="AT29" s="2084">
        <v>538</v>
      </c>
      <c r="AU29" s="2084">
        <v>590</v>
      </c>
      <c r="AV29" s="2084">
        <v>836</v>
      </c>
      <c r="AW29" s="1484"/>
      <c r="AY29" s="1484"/>
      <c r="AZ29" s="1484"/>
      <c r="BA29" s="1484"/>
      <c r="CE29" s="1312">
        <v>0</v>
      </c>
      <c r="CF29" s="2430" t="e">
        <v>#DIV/0!</v>
      </c>
      <c r="CG29" s="2429">
        <v>192</v>
      </c>
      <c r="CH29" s="2430" t="e">
        <v>#VALUE!</v>
      </c>
      <c r="CI29" s="2430"/>
      <c r="CJ29" s="1312">
        <v>0</v>
      </c>
      <c r="CK29" s="2432">
        <v>0</v>
      </c>
      <c r="CL29" s="1312"/>
      <c r="CM29" s="2432">
        <v>0</v>
      </c>
      <c r="CN29" s="2431" t="e">
        <v>#DIV/0!</v>
      </c>
      <c r="CO29" s="1146">
        <v>0</v>
      </c>
      <c r="CP29" s="1146" t="e">
        <v>#DIV/0!</v>
      </c>
    </row>
    <row r="30" spans="1:94" ht="18" hidden="1" customHeight="1" x14ac:dyDescent="0.2">
      <c r="A30" s="1532"/>
      <c r="B30" s="1528" t="s">
        <v>164</v>
      </c>
      <c r="C30" s="1533">
        <v>0</v>
      </c>
      <c r="D30" s="1536" t="e">
        <v>#DIV/0!</v>
      </c>
      <c r="E30" s="1498"/>
      <c r="F30" s="1159">
        <v>0</v>
      </c>
      <c r="G30" s="2035">
        <v>0</v>
      </c>
      <c r="H30" s="1595"/>
      <c r="I30" s="1595"/>
      <c r="J30" s="1725"/>
      <c r="K30" s="2303"/>
      <c r="L30" s="1595"/>
      <c r="M30" s="1595"/>
      <c r="N30" s="1725"/>
      <c r="O30" s="2847"/>
      <c r="P30" s="1595"/>
      <c r="Q30" s="1595">
        <v>0</v>
      </c>
      <c r="R30" s="1725">
        <v>0</v>
      </c>
      <c r="S30" s="2201">
        <v>0</v>
      </c>
      <c r="T30" s="1595">
        <v>0</v>
      </c>
      <c r="U30" s="1595">
        <v>0</v>
      </c>
      <c r="V30" s="1725">
        <v>0</v>
      </c>
      <c r="W30" s="2201">
        <v>0</v>
      </c>
      <c r="X30" s="1595">
        <v>0</v>
      </c>
      <c r="Y30" s="1595">
        <v>0</v>
      </c>
      <c r="Z30" s="1725">
        <v>0</v>
      </c>
      <c r="AA30" s="1629"/>
      <c r="AB30" s="1065">
        <v>0</v>
      </c>
      <c r="AC30" s="1065">
        <v>0</v>
      </c>
      <c r="AD30" s="1915">
        <v>0</v>
      </c>
      <c r="AE30" s="1066">
        <v>0</v>
      </c>
      <c r="AF30" s="1551"/>
      <c r="AG30" s="1263">
        <v>0</v>
      </c>
      <c r="AH30" s="1775">
        <v>0</v>
      </c>
      <c r="AI30" s="1775">
        <v>0</v>
      </c>
      <c r="AJ30" s="1775">
        <v>0</v>
      </c>
      <c r="AK30" s="1774">
        <v>0</v>
      </c>
      <c r="AL30" s="1774">
        <v>0</v>
      </c>
      <c r="AM30" s="1774">
        <v>0</v>
      </c>
      <c r="AN30" s="1774">
        <v>0</v>
      </c>
      <c r="AO30" s="926">
        <v>0</v>
      </c>
      <c r="AP30" s="2139">
        <v>0</v>
      </c>
      <c r="AQ30" s="2139">
        <v>1274</v>
      </c>
      <c r="AR30" s="2152">
        <v>0</v>
      </c>
      <c r="AS30" s="2093">
        <v>0</v>
      </c>
      <c r="AT30" s="2093">
        <v>0</v>
      </c>
      <c r="AU30" s="2084">
        <v>0</v>
      </c>
      <c r="AV30" s="2084">
        <v>0</v>
      </c>
      <c r="AW30" s="1484"/>
      <c r="AY30" s="1484"/>
      <c r="AZ30" s="1484"/>
      <c r="BA30" s="1484"/>
      <c r="CE30" s="1312">
        <v>0</v>
      </c>
      <c r="CF30" s="2430" t="e">
        <v>#DIV/0!</v>
      </c>
      <c r="CG30" s="2429">
        <v>0</v>
      </c>
      <c r="CH30" s="2430" t="e">
        <v>#DIV/0!</v>
      </c>
      <c r="CI30" s="2430"/>
      <c r="CJ30" s="1312">
        <v>0</v>
      </c>
      <c r="CK30" s="2432">
        <v>0</v>
      </c>
      <c r="CL30" s="1312"/>
      <c r="CM30" s="2432">
        <v>0</v>
      </c>
      <c r="CN30" s="2431" t="e">
        <v>#DIV/0!</v>
      </c>
      <c r="CO30" s="1146">
        <v>0</v>
      </c>
      <c r="CP30" s="1146" t="e">
        <v>#DIV/0!</v>
      </c>
    </row>
    <row r="31" spans="1:94" ht="21" hidden="1" customHeight="1" x14ac:dyDescent="0.2">
      <c r="A31" s="1528"/>
      <c r="B31" s="1528" t="s">
        <v>185</v>
      </c>
      <c r="C31" s="1533">
        <v>0</v>
      </c>
      <c r="D31" s="1536" t="e">
        <v>#DIV/0!</v>
      </c>
      <c r="E31" s="1498"/>
      <c r="F31" s="1159">
        <v>0</v>
      </c>
      <c r="G31" s="2035">
        <v>0</v>
      </c>
      <c r="H31" s="1595"/>
      <c r="I31" s="1595"/>
      <c r="J31" s="1725"/>
      <c r="K31" s="2303"/>
      <c r="L31" s="1595"/>
      <c r="M31" s="1595"/>
      <c r="N31" s="1725"/>
      <c r="O31" s="2847"/>
      <c r="P31" s="1595"/>
      <c r="Q31" s="1595">
        <v>0</v>
      </c>
      <c r="R31" s="1725">
        <v>0</v>
      </c>
      <c r="S31" s="1740">
        <v>0</v>
      </c>
      <c r="T31" s="1595">
        <v>0</v>
      </c>
      <c r="U31" s="1595">
        <v>0</v>
      </c>
      <c r="V31" s="1725">
        <v>0</v>
      </c>
      <c r="W31" s="1740">
        <v>0</v>
      </c>
      <c r="X31" s="1595">
        <v>0</v>
      </c>
      <c r="Y31" s="1595">
        <v>0</v>
      </c>
      <c r="Z31" s="1725">
        <v>0</v>
      </c>
      <c r="AA31" s="1621"/>
      <c r="AB31" s="1065">
        <v>0</v>
      </c>
      <c r="AC31" s="1065">
        <v>0</v>
      </c>
      <c r="AD31" s="1915">
        <v>0</v>
      </c>
      <c r="AE31" s="1066">
        <v>0</v>
      </c>
      <c r="AF31" s="1939"/>
      <c r="AG31" s="1263">
        <v>0</v>
      </c>
      <c r="AH31" s="1775">
        <v>0</v>
      </c>
      <c r="AI31" s="1775">
        <v>0</v>
      </c>
      <c r="AJ31" s="1775">
        <v>0</v>
      </c>
      <c r="AK31" s="1640">
        <v>0</v>
      </c>
      <c r="AL31" s="1725">
        <v>0</v>
      </c>
      <c r="AM31" s="1775">
        <v>0</v>
      </c>
      <c r="AN31" s="1774">
        <v>0</v>
      </c>
      <c r="AO31" s="2153">
        <v>0</v>
      </c>
      <c r="AP31" s="2154">
        <v>0</v>
      </c>
      <c r="AQ31" s="2154">
        <v>0</v>
      </c>
      <c r="AR31" s="2154">
        <v>0</v>
      </c>
      <c r="AS31" s="2090">
        <v>0</v>
      </c>
      <c r="AT31" s="2091">
        <v>0</v>
      </c>
      <c r="AU31" s="2084"/>
      <c r="AV31" s="2084">
        <v>0</v>
      </c>
      <c r="AW31" s="1484"/>
      <c r="AY31" s="1484"/>
      <c r="AZ31" s="1484"/>
      <c r="BA31" s="1484"/>
      <c r="CE31" s="1312">
        <v>0</v>
      </c>
      <c r="CF31" s="2430" t="e">
        <v>#DIV/0!</v>
      </c>
      <c r="CG31" s="2429">
        <v>0</v>
      </c>
      <c r="CH31" s="2430" t="e">
        <v>#DIV/0!</v>
      </c>
      <c r="CI31" s="2430"/>
      <c r="CJ31" s="1312">
        <v>0</v>
      </c>
      <c r="CK31" s="2432">
        <v>0</v>
      </c>
      <c r="CL31" s="1312"/>
      <c r="CM31" s="2432">
        <v>0</v>
      </c>
      <c r="CN31" s="2431" t="e">
        <v>#DIV/0!</v>
      </c>
      <c r="CO31" s="1146">
        <v>0</v>
      </c>
      <c r="CP31" s="1146" t="e">
        <v>#DIV/0!</v>
      </c>
    </row>
    <row r="32" spans="1:94" ht="12.75" customHeight="1" x14ac:dyDescent="0.2">
      <c r="A32" s="1532"/>
      <c r="B32" s="1528" t="s">
        <v>380</v>
      </c>
      <c r="C32" s="1537">
        <v>0</v>
      </c>
      <c r="D32" s="2542">
        <v>0</v>
      </c>
      <c r="E32" s="1498"/>
      <c r="F32" s="1159">
        <v>0</v>
      </c>
      <c r="G32" s="2035">
        <v>0</v>
      </c>
      <c r="H32" s="1595">
        <v>0</v>
      </c>
      <c r="I32" s="1595">
        <v>0</v>
      </c>
      <c r="J32" s="1725">
        <v>0</v>
      </c>
      <c r="K32" s="2303">
        <v>0</v>
      </c>
      <c r="L32" s="1595">
        <v>0</v>
      </c>
      <c r="M32" s="1595">
        <v>0</v>
      </c>
      <c r="N32" s="1725">
        <v>0</v>
      </c>
      <c r="O32" s="2847">
        <v>0</v>
      </c>
      <c r="P32" s="1595">
        <v>0</v>
      </c>
      <c r="Q32" s="1595">
        <v>0</v>
      </c>
      <c r="R32" s="1725">
        <v>0</v>
      </c>
      <c r="S32" s="2201">
        <v>0</v>
      </c>
      <c r="T32" s="1595">
        <v>22342</v>
      </c>
      <c r="U32" s="1595">
        <v>0</v>
      </c>
      <c r="V32" s="1725">
        <v>0</v>
      </c>
      <c r="W32" s="2201">
        <v>0</v>
      </c>
      <c r="X32" s="1595">
        <v>0</v>
      </c>
      <c r="Y32" s="1595">
        <v>0</v>
      </c>
      <c r="Z32" s="1725">
        <v>0</v>
      </c>
      <c r="AA32" s="1629"/>
      <c r="AB32" s="1065">
        <v>0</v>
      </c>
      <c r="AC32" s="1065">
        <v>0</v>
      </c>
      <c r="AD32" s="1915">
        <v>0</v>
      </c>
      <c r="AE32" s="1536">
        <v>0</v>
      </c>
      <c r="AF32" s="1551"/>
      <c r="AG32" s="1263">
        <v>0</v>
      </c>
      <c r="AH32" s="1774">
        <v>0</v>
      </c>
      <c r="AI32" s="1774">
        <v>0</v>
      </c>
      <c r="AJ32" s="1665">
        <v>22342</v>
      </c>
      <c r="AK32" s="1774">
        <v>0</v>
      </c>
      <c r="AL32" s="1774">
        <v>0</v>
      </c>
      <c r="AM32" s="1774">
        <v>0</v>
      </c>
      <c r="AN32" s="1774">
        <v>0</v>
      </c>
      <c r="AO32" s="926">
        <v>0</v>
      </c>
      <c r="AP32" s="2139"/>
      <c r="AQ32" s="2139"/>
      <c r="AR32" s="2152"/>
      <c r="AS32" s="2093"/>
      <c r="AT32" s="2093"/>
      <c r="AU32" s="2084"/>
      <c r="AV32" s="2084"/>
      <c r="AW32" s="1484"/>
      <c r="AY32" s="1484"/>
      <c r="AZ32" s="1484"/>
      <c r="BA32" s="1484"/>
      <c r="CE32" s="1312">
        <v>0</v>
      </c>
      <c r="CF32" s="2430" t="e">
        <v>#DIV/0!</v>
      </c>
      <c r="CG32" s="2429">
        <v>0</v>
      </c>
      <c r="CH32" s="2430" t="e">
        <v>#DIV/0!</v>
      </c>
      <c r="CI32" s="2430"/>
      <c r="CJ32" s="1312">
        <v>0</v>
      </c>
      <c r="CK32" s="2432">
        <v>0</v>
      </c>
      <c r="CL32" s="1312"/>
      <c r="CM32" s="2432">
        <v>0</v>
      </c>
      <c r="CN32" s="2431" t="e">
        <v>#DIV/0!</v>
      </c>
      <c r="CO32" s="1146">
        <v>0</v>
      </c>
      <c r="CP32" s="1146" t="e">
        <v>#DIV/0!</v>
      </c>
    </row>
    <row r="33" spans="1:94" ht="12.75" customHeight="1" x14ac:dyDescent="0.2">
      <c r="A33" s="1532"/>
      <c r="B33" s="1528"/>
      <c r="C33" s="1537">
        <v>-948</v>
      </c>
      <c r="D33" s="1538">
        <v>-0.10123878684322939</v>
      </c>
      <c r="E33" s="1498"/>
      <c r="F33" s="2247">
        <v>8416</v>
      </c>
      <c r="G33" s="1722">
        <v>5062</v>
      </c>
      <c r="H33" s="1720">
        <v>6271</v>
      </c>
      <c r="I33" s="1720">
        <v>8691</v>
      </c>
      <c r="J33" s="1721">
        <v>9364</v>
      </c>
      <c r="K33" s="1720">
        <v>13033</v>
      </c>
      <c r="L33" s="1720">
        <v>13738</v>
      </c>
      <c r="M33" s="1720">
        <v>8210</v>
      </c>
      <c r="N33" s="1721">
        <v>6849</v>
      </c>
      <c r="O33" s="1195">
        <v>13263</v>
      </c>
      <c r="P33" s="1720">
        <v>9795</v>
      </c>
      <c r="Q33" s="1720">
        <v>11008</v>
      </c>
      <c r="R33" s="1721">
        <v>8500</v>
      </c>
      <c r="S33" s="1722">
        <v>9879</v>
      </c>
      <c r="T33" s="1720">
        <v>29949</v>
      </c>
      <c r="U33" s="1720">
        <v>6567</v>
      </c>
      <c r="V33" s="1721">
        <v>8632</v>
      </c>
      <c r="W33" s="1722">
        <v>9955</v>
      </c>
      <c r="X33" s="1720">
        <v>5908</v>
      </c>
      <c r="Y33" s="1720">
        <v>40920</v>
      </c>
      <c r="Z33" s="1663">
        <v>40245</v>
      </c>
      <c r="AA33" s="1629"/>
      <c r="AB33" s="1720">
        <v>29388</v>
      </c>
      <c r="AC33" s="1720">
        <v>41830</v>
      </c>
      <c r="AD33" s="1630">
        <v>-12442</v>
      </c>
      <c r="AE33" s="1631">
        <v>-0.2974420272531676</v>
      </c>
      <c r="AF33" s="1549"/>
      <c r="AG33" s="2479">
        <v>29388</v>
      </c>
      <c r="AH33" s="1938">
        <v>41830</v>
      </c>
      <c r="AI33" s="1938">
        <v>42566</v>
      </c>
      <c r="AJ33" s="1938">
        <v>55027</v>
      </c>
      <c r="AK33" s="1632">
        <v>34922</v>
      </c>
      <c r="AL33" s="1632">
        <v>26293</v>
      </c>
      <c r="AM33" s="1632">
        <v>21232</v>
      </c>
      <c r="AN33" s="1632">
        <v>7230</v>
      </c>
      <c r="AO33" s="2094">
        <v>78548</v>
      </c>
      <c r="AP33" s="2094">
        <v>72921</v>
      </c>
      <c r="AQ33" s="2094">
        <v>70895</v>
      </c>
      <c r="AR33" s="2094">
        <v>88719</v>
      </c>
      <c r="AS33" s="2094">
        <v>125171</v>
      </c>
      <c r="AT33" s="2095">
        <v>105485</v>
      </c>
      <c r="AU33" s="2095">
        <v>67435</v>
      </c>
      <c r="AV33" s="2082">
        <v>154490</v>
      </c>
      <c r="AW33" s="1484"/>
      <c r="AY33" s="1484"/>
      <c r="AZ33" s="1484"/>
      <c r="BA33" s="1484"/>
      <c r="CE33" s="1312">
        <v>3943</v>
      </c>
      <c r="CF33" s="2430">
        <v>0.40255232261357837</v>
      </c>
      <c r="CG33" s="2429">
        <v>-4891</v>
      </c>
      <c r="CH33" s="2430">
        <v>-0.50379110945680772</v>
      </c>
      <c r="CI33" s="2430"/>
      <c r="CJ33" s="1312">
        <v>28797</v>
      </c>
      <c r="CK33" s="2432">
        <v>591</v>
      </c>
      <c r="CL33" s="1312"/>
      <c r="CM33" s="2432">
        <v>-12442</v>
      </c>
      <c r="CN33" s="2431">
        <v>-0.2974420272531676</v>
      </c>
      <c r="CO33" s="1146">
        <v>0</v>
      </c>
      <c r="CP33" s="1146">
        <v>0</v>
      </c>
    </row>
    <row r="34" spans="1:94" s="1510" customFormat="1" ht="24.95" customHeight="1" thickBot="1" x14ac:dyDescent="0.25">
      <c r="A34" s="3157" t="s">
        <v>183</v>
      </c>
      <c r="B34" s="3151"/>
      <c r="C34" s="1533">
        <v>-2166</v>
      </c>
      <c r="D34" s="1536">
        <v>-0.73003033367037407</v>
      </c>
      <c r="E34" s="1503"/>
      <c r="F34" s="2196">
        <v>801</v>
      </c>
      <c r="G34" s="2196">
        <v>-1776</v>
      </c>
      <c r="H34" s="1633">
        <v>25</v>
      </c>
      <c r="I34" s="1633">
        <v>762</v>
      </c>
      <c r="J34" s="1634">
        <v>2967</v>
      </c>
      <c r="K34" s="1633">
        <v>7069</v>
      </c>
      <c r="L34" s="1633">
        <v>8379</v>
      </c>
      <c r="M34" s="1633">
        <v>1059</v>
      </c>
      <c r="N34" s="1634">
        <v>-1315</v>
      </c>
      <c r="O34" s="2845">
        <v>7078</v>
      </c>
      <c r="P34" s="1633">
        <v>2615</v>
      </c>
      <c r="Q34" s="1633">
        <v>4876</v>
      </c>
      <c r="R34" s="1634">
        <v>2558</v>
      </c>
      <c r="S34" s="2845">
        <v>-156</v>
      </c>
      <c r="T34" s="1633">
        <v>-23043</v>
      </c>
      <c r="U34" s="1633">
        <v>-1362</v>
      </c>
      <c r="V34" s="1634">
        <v>672</v>
      </c>
      <c r="W34" s="2845">
        <v>3506</v>
      </c>
      <c r="X34" s="1633">
        <v>-389</v>
      </c>
      <c r="Y34" s="1633">
        <v>7990</v>
      </c>
      <c r="Z34" s="1634">
        <v>4501</v>
      </c>
      <c r="AA34" s="1618"/>
      <c r="AB34" s="1633">
        <v>1978</v>
      </c>
      <c r="AC34" s="1633">
        <v>15192</v>
      </c>
      <c r="AD34" s="1395">
        <v>-13214</v>
      </c>
      <c r="AE34" s="1535">
        <v>-0.86979989468141128</v>
      </c>
      <c r="AF34" s="1549"/>
      <c r="AG34" s="1684">
        <v>1978</v>
      </c>
      <c r="AH34" s="1933">
        <v>15192</v>
      </c>
      <c r="AI34" s="1933">
        <v>17127</v>
      </c>
      <c r="AJ34" s="1933">
        <v>-23889</v>
      </c>
      <c r="AK34" s="1403">
        <v>6686</v>
      </c>
      <c r="AL34" s="1403">
        <v>1845</v>
      </c>
      <c r="AM34" s="1403">
        <v>-5513</v>
      </c>
      <c r="AN34" s="1403">
        <v>-3401</v>
      </c>
      <c r="AO34" s="2081">
        <v>14129</v>
      </c>
      <c r="AP34" s="2081">
        <v>9533</v>
      </c>
      <c r="AQ34" s="2081">
        <v>2031</v>
      </c>
      <c r="AR34" s="2096">
        <v>29613</v>
      </c>
      <c r="AS34" s="2096" t="e">
        <v>#REF!</v>
      </c>
      <c r="AT34" s="2082" t="e">
        <v>#REF!</v>
      </c>
      <c r="AU34" s="2082" t="e">
        <v>#REF!</v>
      </c>
      <c r="AV34" s="2097"/>
      <c r="AW34" s="1509"/>
      <c r="AY34" s="1509"/>
      <c r="AZ34" s="1509"/>
      <c r="BA34" s="1509"/>
      <c r="CE34" s="1312">
        <v>5764</v>
      </c>
      <c r="CF34" s="2430">
        <v>2.204206500956023</v>
      </c>
      <c r="CG34" s="2429">
        <v>-7930</v>
      </c>
      <c r="CH34" s="2430">
        <v>-2.9342368346263972</v>
      </c>
      <c r="CI34" s="2430"/>
      <c r="CJ34" s="1312">
        <v>8123</v>
      </c>
      <c r="CK34" s="2432">
        <v>-6145</v>
      </c>
      <c r="CL34" s="1312"/>
      <c r="CM34" s="2432">
        <v>-13214</v>
      </c>
      <c r="CN34" s="2431">
        <v>-0.86979989468141128</v>
      </c>
      <c r="CO34" s="1146">
        <v>0</v>
      </c>
      <c r="CP34" s="1146">
        <v>0</v>
      </c>
    </row>
    <row r="35" spans="1:94" s="1510" customFormat="1" ht="12.75" customHeight="1" thickTop="1" x14ac:dyDescent="0.2">
      <c r="A35" s="2992"/>
      <c r="B35" s="2232" t="s">
        <v>332</v>
      </c>
      <c r="C35" s="1534">
        <v>-60</v>
      </c>
      <c r="D35" s="1535">
        <v>-0.65934065934065933</v>
      </c>
      <c r="E35" s="1498"/>
      <c r="F35" s="1742">
        <v>31</v>
      </c>
      <c r="G35" s="2848">
        <v>16</v>
      </c>
      <c r="H35" s="1742">
        <v>89</v>
      </c>
      <c r="I35" s="1742">
        <v>90</v>
      </c>
      <c r="J35" s="1400">
        <v>91</v>
      </c>
      <c r="K35" s="1742">
        <v>283</v>
      </c>
      <c r="L35" s="1742">
        <v>0</v>
      </c>
      <c r="M35" s="1742">
        <v>0</v>
      </c>
      <c r="N35" s="1400">
        <v>0</v>
      </c>
      <c r="O35" s="2848">
        <v>0</v>
      </c>
      <c r="P35" s="1742">
        <v>0</v>
      </c>
      <c r="Q35" s="1742">
        <v>0</v>
      </c>
      <c r="R35" s="1400">
        <v>0</v>
      </c>
      <c r="S35" s="1401">
        <v>0</v>
      </c>
      <c r="T35" s="1742">
        <v>0</v>
      </c>
      <c r="U35" s="1742">
        <v>0</v>
      </c>
      <c r="V35" s="1400">
        <v>0</v>
      </c>
      <c r="W35" s="1401">
        <v>0</v>
      </c>
      <c r="X35" s="1742">
        <v>0</v>
      </c>
      <c r="Y35" s="1742">
        <v>-205</v>
      </c>
      <c r="Z35" s="1400">
        <v>-215</v>
      </c>
      <c r="AA35" s="1746"/>
      <c r="AB35" s="1395">
        <v>286</v>
      </c>
      <c r="AC35" s="1395">
        <v>283</v>
      </c>
      <c r="AD35" s="1395">
        <v>3</v>
      </c>
      <c r="AE35" s="1536" t="s">
        <v>41</v>
      </c>
      <c r="AF35" s="1814"/>
      <c r="AG35" s="2479">
        <v>286</v>
      </c>
      <c r="AH35" s="1249">
        <v>283</v>
      </c>
      <c r="AI35" s="1775">
        <v>0</v>
      </c>
      <c r="AJ35" s="1775">
        <v>0</v>
      </c>
      <c r="AK35" s="1403">
        <v>0</v>
      </c>
      <c r="AL35" s="1403">
        <v>84</v>
      </c>
      <c r="AM35" s="1395">
        <v>0</v>
      </c>
      <c r="AN35" s="1403">
        <v>0</v>
      </c>
      <c r="AO35" s="2142">
        <v>0</v>
      </c>
      <c r="AP35" s="2142">
        <v>0</v>
      </c>
      <c r="AQ35" s="2142">
        <v>0</v>
      </c>
      <c r="AR35" s="2079"/>
      <c r="AS35" s="2086"/>
      <c r="AT35" s="2099"/>
      <c r="AU35" s="2084"/>
      <c r="AV35" s="1504"/>
      <c r="AW35" s="1509"/>
      <c r="AY35" s="1509"/>
      <c r="AZ35" s="1509"/>
      <c r="BA35" s="1509"/>
      <c r="CE35" s="1312">
        <v>0</v>
      </c>
      <c r="CF35" s="2430" t="e">
        <v>#DIV/0!</v>
      </c>
      <c r="CG35" s="2429">
        <v>-60</v>
      </c>
      <c r="CH35" s="2430" t="e">
        <v>#DIV/0!</v>
      </c>
      <c r="CI35" s="2430"/>
      <c r="CJ35" s="1312">
        <v>0</v>
      </c>
      <c r="CK35" s="2432">
        <v>286</v>
      </c>
      <c r="CL35" s="1312"/>
      <c r="CM35" s="2432">
        <v>3</v>
      </c>
      <c r="CN35" s="2431">
        <v>1.0600706713780919E-2</v>
      </c>
      <c r="CO35" s="1146">
        <v>0</v>
      </c>
      <c r="CP35" s="1146" t="e">
        <v>#VALUE!</v>
      </c>
    </row>
    <row r="36" spans="1:94" s="1510" customFormat="1" ht="18.75" customHeight="1" thickBot="1" x14ac:dyDescent="0.25">
      <c r="A36" s="3157" t="s">
        <v>72</v>
      </c>
      <c r="B36" s="3191"/>
      <c r="C36" s="1534">
        <v>-2106</v>
      </c>
      <c r="D36" s="1535">
        <v>-0.73226703755215572</v>
      </c>
      <c r="E36" s="1498"/>
      <c r="F36" s="2197">
        <v>770</v>
      </c>
      <c r="G36" s="2197">
        <v>-1792</v>
      </c>
      <c r="H36" s="1435">
        <v>-64</v>
      </c>
      <c r="I36" s="1435">
        <v>672</v>
      </c>
      <c r="J36" s="1439">
        <v>2876</v>
      </c>
      <c r="K36" s="1435">
        <v>6786</v>
      </c>
      <c r="L36" s="1435">
        <v>8379</v>
      </c>
      <c r="M36" s="1435">
        <v>1059</v>
      </c>
      <c r="N36" s="1439">
        <v>-1315</v>
      </c>
      <c r="O36" s="1436">
        <v>7078</v>
      </c>
      <c r="P36" s="1435">
        <v>2615</v>
      </c>
      <c r="Q36" s="1435">
        <v>4876</v>
      </c>
      <c r="R36" s="1439">
        <v>2558</v>
      </c>
      <c r="S36" s="1436">
        <v>-156</v>
      </c>
      <c r="T36" s="1435">
        <v>-23043</v>
      </c>
      <c r="U36" s="1435">
        <v>-1362</v>
      </c>
      <c r="V36" s="1439">
        <v>672</v>
      </c>
      <c r="W36" s="1436">
        <v>3506</v>
      </c>
      <c r="X36" s="1435">
        <v>-389</v>
      </c>
      <c r="Y36" s="1748">
        <v>8195</v>
      </c>
      <c r="Z36" s="1646">
        <v>4716</v>
      </c>
      <c r="AA36" s="1746"/>
      <c r="AB36" s="1435">
        <v>1692</v>
      </c>
      <c r="AC36" s="1435">
        <v>14909</v>
      </c>
      <c r="AD36" s="1435">
        <v>-13217</v>
      </c>
      <c r="AE36" s="1542">
        <v>-0.88651150311892146</v>
      </c>
      <c r="AF36" s="1638"/>
      <c r="AG36" s="2897">
        <v>1692</v>
      </c>
      <c r="AH36" s="1443">
        <v>14909</v>
      </c>
      <c r="AI36" s="1443">
        <v>17127</v>
      </c>
      <c r="AJ36" s="1443">
        <v>-23889</v>
      </c>
      <c r="AK36" s="1443">
        <v>6686</v>
      </c>
      <c r="AL36" s="1443">
        <v>1761</v>
      </c>
      <c r="AM36" s="1443">
        <v>-5513</v>
      </c>
      <c r="AN36" s="1443">
        <v>-3401</v>
      </c>
      <c r="AO36" s="2100">
        <v>14129</v>
      </c>
      <c r="AP36" s="2100">
        <v>9533</v>
      </c>
      <c r="AQ36" s="2100">
        <v>2031</v>
      </c>
      <c r="AR36" s="2100"/>
      <c r="AS36" s="2101"/>
      <c r="AT36" s="2102"/>
      <c r="AU36" s="2082"/>
      <c r="AV36" s="1504"/>
      <c r="AW36" s="1509"/>
      <c r="AY36" s="1509"/>
      <c r="AZ36" s="1509"/>
      <c r="BA36" s="1509"/>
      <c r="CE36" s="1312">
        <v>5764</v>
      </c>
      <c r="CF36" s="2430">
        <v>2.204206500956023</v>
      </c>
      <c r="CG36" s="2429">
        <v>-7870</v>
      </c>
      <c r="CH36" s="2430">
        <v>-2.9364735385081788</v>
      </c>
      <c r="CI36" s="2430"/>
      <c r="CJ36" s="1312">
        <v>8123</v>
      </c>
      <c r="CK36" s="2432">
        <v>-6431</v>
      </c>
      <c r="CL36" s="1312"/>
      <c r="CM36" s="2432">
        <v>-13217</v>
      </c>
      <c r="CN36" s="2431">
        <v>-0.88651150311892146</v>
      </c>
      <c r="CO36" s="1146">
        <v>0</v>
      </c>
      <c r="CP36" s="1146">
        <v>0</v>
      </c>
    </row>
    <row r="37" spans="1:94" ht="12.75" customHeight="1" thickTop="1" x14ac:dyDescent="0.2">
      <c r="A37" s="1539"/>
      <c r="B37" s="1539"/>
      <c r="C37" s="1269"/>
      <c r="D37" s="1544"/>
      <c r="E37" s="1513"/>
      <c r="F37" s="1966"/>
      <c r="G37" s="1966"/>
      <c r="H37" s="1647"/>
      <c r="I37" s="1647"/>
      <c r="J37" s="1528"/>
      <c r="K37" s="1647"/>
      <c r="L37" s="1647"/>
      <c r="M37" s="1647"/>
      <c r="N37" s="1528"/>
      <c r="O37" s="1647"/>
      <c r="P37" s="1647"/>
      <c r="Q37" s="1647"/>
      <c r="R37" s="1528"/>
      <c r="S37" s="1544"/>
      <c r="T37" s="1647"/>
      <c r="U37" s="1647"/>
      <c r="V37" s="1528"/>
      <c r="W37" s="1544"/>
      <c r="X37" s="1647"/>
      <c r="Y37" s="1647"/>
      <c r="Z37" s="1528"/>
      <c r="AA37" s="1528"/>
      <c r="AB37" s="1528"/>
      <c r="AC37" s="1549"/>
      <c r="AD37" s="1596"/>
      <c r="AE37" s="1544"/>
      <c r="AF37" s="1549"/>
      <c r="AG37" s="1549"/>
      <c r="AH37" s="1549"/>
      <c r="AI37" s="1549"/>
      <c r="AJ37" s="1549"/>
      <c r="AK37" s="1549"/>
      <c r="AL37" s="1549"/>
      <c r="AM37" s="1549"/>
      <c r="AN37" s="1549"/>
      <c r="AO37" s="1497"/>
      <c r="AP37" s="1497"/>
      <c r="AQ37" s="1497"/>
      <c r="AR37" s="1504"/>
      <c r="AS37" s="1504"/>
      <c r="AT37" s="1504"/>
      <c r="AU37" s="1504"/>
      <c r="AV37" s="1504"/>
      <c r="AW37" s="1484"/>
      <c r="AY37" s="1484"/>
      <c r="AZ37" s="1484"/>
      <c r="BA37" s="1484"/>
    </row>
    <row r="38" spans="1:94" ht="12.75" customHeight="1" x14ac:dyDescent="0.2">
      <c r="A38" s="1204" t="s">
        <v>623</v>
      </c>
      <c r="B38" s="1547"/>
      <c r="C38" s="1545">
        <v>7.9820015035525049</v>
      </c>
      <c r="D38" s="1544"/>
      <c r="E38" s="1513"/>
      <c r="F38" s="1514">
        <v>0.66225452967342957</v>
      </c>
      <c r="G38" s="1514">
        <v>0.88527084601339012</v>
      </c>
      <c r="H38" s="1559">
        <v>0.61689961880559085</v>
      </c>
      <c r="I38" s="1559">
        <v>0.63535385591875593</v>
      </c>
      <c r="J38" s="1559">
        <v>0.58243451463790452</v>
      </c>
      <c r="K38" s="1559">
        <v>0.52755944682121181</v>
      </c>
      <c r="L38" s="1559">
        <v>0.52294615002034639</v>
      </c>
      <c r="M38" s="1559">
        <v>0.60524328406516348</v>
      </c>
      <c r="N38" s="1559">
        <v>0.87712323816407667</v>
      </c>
      <c r="O38" s="1559">
        <v>0.54304114841944839</v>
      </c>
      <c r="P38" s="1559">
        <v>0.58388396454472202</v>
      </c>
      <c r="Q38" s="1559">
        <v>0.55093175522538407</v>
      </c>
      <c r="R38" s="1559">
        <v>0.56890938686923498</v>
      </c>
      <c r="S38" s="1559">
        <v>0.74760876272755328</v>
      </c>
      <c r="T38" s="1559">
        <v>0.70489429481610189</v>
      </c>
      <c r="U38" s="1559">
        <v>0.72987512007684918</v>
      </c>
      <c r="V38" s="1559">
        <v>0.59995700773860705</v>
      </c>
      <c r="W38" s="1559">
        <v>0.54706188247529897</v>
      </c>
      <c r="X38" s="1559">
        <v>0.54683819532524003</v>
      </c>
      <c r="Y38" s="1559">
        <v>0.59016561030464121</v>
      </c>
      <c r="Z38" s="1559">
        <v>0.59569570464399058</v>
      </c>
      <c r="AA38" s="1528"/>
      <c r="AB38" s="1559">
        <v>0.63702735446024361</v>
      </c>
      <c r="AC38" s="1559">
        <v>0.57232296306688646</v>
      </c>
      <c r="AD38" s="1545">
        <v>6.4704391393357152</v>
      </c>
      <c r="AE38" s="1544"/>
      <c r="AF38" s="1549"/>
      <c r="AG38" s="1559">
        <v>0.63702735446024361</v>
      </c>
      <c r="AH38" s="1559">
        <v>0.57232296306688646</v>
      </c>
      <c r="AI38" s="1559">
        <v>0.55842393580486827</v>
      </c>
      <c r="AJ38" s="1559">
        <v>0.69105273299505432</v>
      </c>
      <c r="AK38" s="1559">
        <v>0.56328109978850216</v>
      </c>
      <c r="AL38" s="1559">
        <v>0.55096311038453338</v>
      </c>
      <c r="AM38" s="1559">
        <v>0.73605191169921746</v>
      </c>
      <c r="AN38" s="1559">
        <v>0.80987202925045709</v>
      </c>
      <c r="AO38" s="2103">
        <v>0.5715010196704684</v>
      </c>
      <c r="AP38" s="2103">
        <v>0.63574841729934262</v>
      </c>
      <c r="AQ38" s="2106">
        <v>0.56965965499273241</v>
      </c>
      <c r="AR38" s="2106">
        <v>0.55627387350843394</v>
      </c>
      <c r="AS38" s="2106">
        <v>0.53576417397980403</v>
      </c>
      <c r="AT38" s="2107">
        <v>0.56272346647172189</v>
      </c>
      <c r="AU38" s="2107">
        <v>0.56988875982377385</v>
      </c>
      <c r="AV38" s="2107">
        <v>0.627</v>
      </c>
      <c r="AW38" s="1484"/>
      <c r="AY38" s="1484"/>
      <c r="AZ38" s="1484"/>
      <c r="BA38" s="1484"/>
    </row>
    <row r="39" spans="1:94" ht="12.75" customHeight="1" x14ac:dyDescent="0.2">
      <c r="A39" s="1547" t="s">
        <v>75</v>
      </c>
      <c r="B39" s="1547"/>
      <c r="C39" s="1545">
        <v>7.3888441183408791</v>
      </c>
      <c r="D39" s="1544"/>
      <c r="E39" s="1513"/>
      <c r="F39" s="1514">
        <v>0.25084083758272757</v>
      </c>
      <c r="G39" s="1514">
        <v>0.65520389531345102</v>
      </c>
      <c r="H39" s="1559">
        <v>0.37912960609911056</v>
      </c>
      <c r="I39" s="1559">
        <v>0.28403681370993333</v>
      </c>
      <c r="J39" s="1559">
        <v>0.17695239639931878</v>
      </c>
      <c r="K39" s="1559">
        <v>0.12078400159188141</v>
      </c>
      <c r="L39" s="1559">
        <v>9.8205000678211335E-2</v>
      </c>
      <c r="M39" s="1559">
        <v>0.28050490883590462</v>
      </c>
      <c r="N39" s="1559">
        <v>0.36049873509215757</v>
      </c>
      <c r="O39" s="1559">
        <v>0.10899169165724398</v>
      </c>
      <c r="P39" s="1559">
        <v>0.20539887187751812</v>
      </c>
      <c r="Q39" s="1559">
        <v>0.14209267187106522</v>
      </c>
      <c r="R39" s="1559">
        <v>0.19976487610779525</v>
      </c>
      <c r="S39" s="1559">
        <v>0.26843566800370255</v>
      </c>
      <c r="T39" s="1559">
        <v>3.6317694758181291</v>
      </c>
      <c r="U39" s="1559">
        <v>0.53179634966378486</v>
      </c>
      <c r="V39" s="1559">
        <v>0.32781599312123816</v>
      </c>
      <c r="W39" s="1559">
        <v>0.19248198499368546</v>
      </c>
      <c r="X39" s="1559">
        <v>0.52364558796883498</v>
      </c>
      <c r="Y39" s="1559">
        <v>0.24647311388264159</v>
      </c>
      <c r="Z39" s="1559">
        <v>0.30371429848478076</v>
      </c>
      <c r="AA39" s="1528"/>
      <c r="AB39" s="1559">
        <v>0.29991073136517249</v>
      </c>
      <c r="AC39" s="1559">
        <v>0.16125355126091684</v>
      </c>
      <c r="AD39" s="1545">
        <v>13.865718010425566</v>
      </c>
      <c r="AE39" s="1544"/>
      <c r="AF39" s="1549"/>
      <c r="AG39" s="1559">
        <v>0.29991073136517249</v>
      </c>
      <c r="AH39" s="1559">
        <v>0.16125355126091684</v>
      </c>
      <c r="AI39" s="1559">
        <v>0.15465800010051431</v>
      </c>
      <c r="AJ39" s="1559">
        <v>1.0761449033335475</v>
      </c>
      <c r="AK39" s="1559">
        <v>0.27602864833685831</v>
      </c>
      <c r="AL39" s="1559">
        <v>0.38346719738432011</v>
      </c>
      <c r="AM39" s="1559">
        <v>0.61467014441122214</v>
      </c>
      <c r="AN39" s="1559">
        <v>1.0783494384956909</v>
      </c>
      <c r="AO39" s="2103">
        <v>0.27604475759897279</v>
      </c>
      <c r="AP39" s="2103">
        <v>0.24863560288160672</v>
      </c>
      <c r="AQ39" s="2103">
        <v>0.4024901955406851</v>
      </c>
      <c r="AR39" s="2103">
        <v>0.19347260250819728</v>
      </c>
      <c r="AS39" s="2103">
        <v>0.13159381964363784</v>
      </c>
      <c r="AT39" s="2103">
        <v>0.13831328504020735</v>
      </c>
      <c r="AU39" s="2103">
        <v>0.13580091880408962</v>
      </c>
      <c r="AV39" s="2103">
        <v>0.10235740798458617</v>
      </c>
      <c r="AW39" s="1484"/>
      <c r="AY39" s="1484"/>
      <c r="AZ39" s="1484"/>
      <c r="BA39" s="1484"/>
    </row>
    <row r="40" spans="1:94" s="2061" customFormat="1" ht="12.75" customHeight="1" x14ac:dyDescent="0.2">
      <c r="A40" s="1547" t="s">
        <v>76</v>
      </c>
      <c r="B40" s="1547"/>
      <c r="C40" s="1545">
        <v>15.370845621893391</v>
      </c>
      <c r="D40" s="1544"/>
      <c r="E40" s="1513"/>
      <c r="F40" s="1514">
        <v>0.91309536725615714</v>
      </c>
      <c r="G40" s="1514">
        <v>1.5404747413268411</v>
      </c>
      <c r="H40" s="1559">
        <v>0.99602922490470136</v>
      </c>
      <c r="I40" s="1559">
        <v>0.91939066962868932</v>
      </c>
      <c r="J40" s="1559">
        <v>0.75938691103722322</v>
      </c>
      <c r="K40" s="1559">
        <v>0.64834344841309322</v>
      </c>
      <c r="L40" s="1559">
        <v>0.62115115069855764</v>
      </c>
      <c r="M40" s="1559">
        <v>0.8857481929010681</v>
      </c>
      <c r="N40" s="1559">
        <v>1.2376219732562341</v>
      </c>
      <c r="O40" s="1559">
        <v>0.65203284007669238</v>
      </c>
      <c r="P40" s="1559">
        <v>0.78928283642224017</v>
      </c>
      <c r="Q40" s="1559">
        <v>0.69302442709644929</v>
      </c>
      <c r="R40" s="1559">
        <v>0.76867426297703023</v>
      </c>
      <c r="S40" s="1559">
        <v>1.0160444307312557</v>
      </c>
      <c r="T40" s="1559">
        <v>4.3366637706342308</v>
      </c>
      <c r="U40" s="1559">
        <v>1.2616714697406339</v>
      </c>
      <c r="V40" s="1559">
        <v>0.92777300085984526</v>
      </c>
      <c r="W40" s="1559">
        <v>0.73954386746898448</v>
      </c>
      <c r="X40" s="1559">
        <v>1.070483783294075</v>
      </c>
      <c r="Y40" s="1559">
        <v>0.8366387241872828</v>
      </c>
      <c r="Z40" s="1559">
        <v>0.89941000312877128</v>
      </c>
      <c r="AA40" s="1528"/>
      <c r="AB40" s="1559">
        <v>0.93693808582541604</v>
      </c>
      <c r="AC40" s="1559">
        <v>0.73357651432780335</v>
      </c>
      <c r="AD40" s="1545">
        <v>20.33615714976127</v>
      </c>
      <c r="AE40" s="1544"/>
      <c r="AF40" s="1528"/>
      <c r="AG40" s="1559">
        <v>0.93693808582541604</v>
      </c>
      <c r="AH40" s="1559">
        <v>0.73357651432780335</v>
      </c>
      <c r="AI40" s="1559">
        <v>0.71308193590538249</v>
      </c>
      <c r="AJ40" s="1559">
        <v>1.7671976363286017</v>
      </c>
      <c r="AK40" s="1559">
        <v>0.83930974812536052</v>
      </c>
      <c r="AL40" s="1559">
        <v>0.9344303077688535</v>
      </c>
      <c r="AM40" s="1559">
        <v>1.3507220561104396</v>
      </c>
      <c r="AN40" s="1559">
        <v>1.8882214677461477</v>
      </c>
      <c r="AO40" s="1514">
        <v>0.84754577726944114</v>
      </c>
      <c r="AP40" s="1514">
        <v>0.88438402018094942</v>
      </c>
      <c r="AQ40" s="2106">
        <v>0.9721498505334174</v>
      </c>
      <c r="AR40" s="2106">
        <v>0.74974647601663114</v>
      </c>
      <c r="AS40" s="2106">
        <v>0.66735799362344184</v>
      </c>
      <c r="AT40" s="2107">
        <v>0.70103675151192923</v>
      </c>
      <c r="AU40" s="2107">
        <v>0.70568967862786336</v>
      </c>
      <c r="AV40" s="2107">
        <v>0.73</v>
      </c>
      <c r="AW40" s="1486"/>
      <c r="AY40" s="1486"/>
      <c r="AZ40" s="1486"/>
      <c r="BA40" s="1486"/>
    </row>
    <row r="41" spans="1:94" s="2061" customFormat="1" ht="12.75" customHeight="1" x14ac:dyDescent="0.2">
      <c r="A41" s="1546" t="s">
        <v>182</v>
      </c>
      <c r="B41" s="1547"/>
      <c r="C41" s="1545">
        <v>-15.370845621893386</v>
      </c>
      <c r="D41" s="1544"/>
      <c r="E41" s="1513"/>
      <c r="F41" s="1514">
        <v>8.6904632743842899E-2</v>
      </c>
      <c r="G41" s="1559">
        <v>-0.54047474132684115</v>
      </c>
      <c r="H41" s="1559">
        <v>3.9707750952986025E-3</v>
      </c>
      <c r="I41" s="1559">
        <v>8.0609330371310697E-2</v>
      </c>
      <c r="J41" s="1559">
        <v>0.24061308896277675</v>
      </c>
      <c r="K41" s="1559">
        <v>0.35165655158690678</v>
      </c>
      <c r="L41" s="1559">
        <v>0.3788488493014423</v>
      </c>
      <c r="M41" s="1559">
        <v>0.11425180709893193</v>
      </c>
      <c r="N41" s="1559">
        <v>-0.23762197325623419</v>
      </c>
      <c r="O41" s="1559">
        <v>0.34796715992330762</v>
      </c>
      <c r="P41" s="1559">
        <v>0.21071716357775988</v>
      </c>
      <c r="Q41" s="1559">
        <v>0.30697557290355076</v>
      </c>
      <c r="R41" s="1559">
        <v>0.2313257370229698</v>
      </c>
      <c r="S41" s="1559">
        <v>-1.6044430731255787E-2</v>
      </c>
      <c r="T41" s="1559">
        <v>-3.3366637706342313</v>
      </c>
      <c r="U41" s="1559">
        <v>-0.26167146974063399</v>
      </c>
      <c r="V41" s="1559">
        <v>7.2226999140154777E-2</v>
      </c>
      <c r="W41" s="1559">
        <v>0.26045613253101552</v>
      </c>
      <c r="X41" s="1559">
        <v>-7.0483783294075009E-2</v>
      </c>
      <c r="Y41" s="1559">
        <v>0.16336127581271723</v>
      </c>
      <c r="Z41" s="1559">
        <v>0.10058999687122872</v>
      </c>
      <c r="AA41" s="1652"/>
      <c r="AB41" s="1559">
        <v>6.3061914174583941E-2</v>
      </c>
      <c r="AC41" s="1559">
        <v>0.2664234856721967</v>
      </c>
      <c r="AD41" s="1545">
        <v>-20.336157149761274</v>
      </c>
      <c r="AE41" s="1544"/>
      <c r="AF41" s="1652"/>
      <c r="AG41" s="1559">
        <v>6.3061914174583941E-2</v>
      </c>
      <c r="AH41" s="1559">
        <v>0.2664234856721967</v>
      </c>
      <c r="AI41" s="1559">
        <v>0.28691806409461745</v>
      </c>
      <c r="AJ41" s="1559">
        <v>-0.76719763632860172</v>
      </c>
      <c r="AK41" s="1559">
        <v>0.16069025187463951</v>
      </c>
      <c r="AL41" s="1559">
        <v>6.556969223114649E-2</v>
      </c>
      <c r="AM41" s="1559">
        <v>-0.35072205611043961</v>
      </c>
      <c r="AN41" s="1559">
        <v>-0.88822146774614785</v>
      </c>
      <c r="AO41" s="1514">
        <v>0.15245422273055884</v>
      </c>
      <c r="AP41" s="1514">
        <v>0.11561597981905063</v>
      </c>
      <c r="AQ41" s="2106">
        <v>2.7850149466582562E-2</v>
      </c>
      <c r="AR41" s="2106">
        <v>0.25025352398336881</v>
      </c>
      <c r="AS41" s="2106" t="e">
        <v>#REF!</v>
      </c>
      <c r="AT41" s="2107" t="e">
        <v>#REF!</v>
      </c>
      <c r="AU41" s="2107" t="e">
        <v>#REF!</v>
      </c>
      <c r="AV41" s="2107"/>
      <c r="AW41" s="1486"/>
      <c r="AY41" s="1486"/>
      <c r="AZ41" s="1486"/>
      <c r="BA41" s="1486"/>
    </row>
    <row r="42" spans="1:94" s="2061" customFormat="1" ht="12.75" customHeight="1" x14ac:dyDescent="0.2">
      <c r="A42" s="1546" t="s">
        <v>77</v>
      </c>
      <c r="B42" s="1528"/>
      <c r="C42" s="1545">
        <v>-14.969203199790185</v>
      </c>
      <c r="D42" s="1528"/>
      <c r="E42" s="1487"/>
      <c r="F42" s="1559">
        <v>8.3541282412932627E-2</v>
      </c>
      <c r="G42" s="1559">
        <v>-0.54534388314059645</v>
      </c>
      <c r="H42" s="1559">
        <v>-1.0165184243964422E-2</v>
      </c>
      <c r="I42" s="1559">
        <v>7.1088543319581088E-2</v>
      </c>
      <c r="J42" s="1559">
        <v>0.23323331441083447</v>
      </c>
      <c r="K42" s="1559">
        <v>0.33757835041289425</v>
      </c>
      <c r="L42" s="1559">
        <v>0.3788488493014423</v>
      </c>
      <c r="M42" s="1559">
        <v>0.11425180709893193</v>
      </c>
      <c r="N42" s="1559">
        <v>-0.23762197325623419</v>
      </c>
      <c r="O42" s="1559">
        <v>0.34796715992330762</v>
      </c>
      <c r="P42" s="1559">
        <v>0.21071716357775988</v>
      </c>
      <c r="Q42" s="1559">
        <v>0.30697557290355076</v>
      </c>
      <c r="R42" s="1528"/>
      <c r="S42" s="1528"/>
      <c r="T42" s="1528"/>
      <c r="U42" s="1528"/>
      <c r="V42" s="1528"/>
      <c r="W42" s="1528"/>
      <c r="X42" s="1528"/>
      <c r="Y42" s="1528"/>
      <c r="Z42" s="1528"/>
      <c r="AA42" s="1528"/>
      <c r="AB42" s="1559">
        <v>5.3943760760058662E-2</v>
      </c>
      <c r="AC42" s="1559">
        <v>0.26146048893409563</v>
      </c>
      <c r="AD42" s="1545">
        <v>-20.751672817403698</v>
      </c>
      <c r="AE42" s="2228"/>
      <c r="AF42" s="1528"/>
      <c r="AG42" s="1559">
        <v>5.3943760760058662E-2</v>
      </c>
      <c r="AH42" s="1559">
        <v>0.26146048893409563</v>
      </c>
      <c r="AI42" s="1559">
        <v>0.28691806409461745</v>
      </c>
      <c r="AJ42" s="1559">
        <v>-0.76719763632860172</v>
      </c>
      <c r="AK42" s="1559">
        <v>0.16069025187463951</v>
      </c>
      <c r="AL42" s="1559">
        <v>6.2584405430378853E-2</v>
      </c>
      <c r="AM42" s="1528"/>
      <c r="AN42" s="1528"/>
      <c r="AO42" s="1487"/>
      <c r="AP42" s="1487"/>
      <c r="AQ42" s="1487"/>
      <c r="AR42" s="1487"/>
      <c r="AS42" s="1487"/>
      <c r="AT42" s="2109"/>
      <c r="AU42" s="2109"/>
      <c r="AV42" s="2109"/>
      <c r="AW42" s="1486"/>
      <c r="AY42" s="1486"/>
      <c r="AZ42" s="1486"/>
      <c r="BA42" s="1486"/>
    </row>
    <row r="43" spans="1:94" s="2061" customFormat="1" ht="12.75" customHeight="1" x14ac:dyDescent="0.2">
      <c r="A43" s="1546"/>
      <c r="B43" s="1528"/>
      <c r="C43" s="1528"/>
      <c r="D43" s="1528"/>
      <c r="E43" s="1487"/>
      <c r="F43" s="1487"/>
      <c r="G43" s="1487"/>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2228"/>
      <c r="AE43" s="2228"/>
      <c r="AF43" s="1528"/>
      <c r="AG43" s="1528"/>
      <c r="AH43" s="1528"/>
      <c r="AI43" s="1528"/>
      <c r="AJ43" s="1528"/>
      <c r="AK43" s="1528"/>
      <c r="AL43" s="1528"/>
      <c r="AM43" s="1528"/>
      <c r="AN43" s="1528"/>
      <c r="AO43" s="1487"/>
      <c r="AP43" s="1487"/>
      <c r="AQ43" s="1487"/>
      <c r="AR43" s="1487"/>
      <c r="AS43" s="1487"/>
      <c r="AT43" s="2109"/>
      <c r="AU43" s="2109"/>
      <c r="AV43" s="2109"/>
      <c r="AW43" s="1486"/>
      <c r="AY43" s="1486"/>
      <c r="AZ43" s="1486"/>
      <c r="BA43" s="1486"/>
    </row>
    <row r="44" spans="1:94" s="2061" customFormat="1" ht="12.75" customHeight="1" x14ac:dyDescent="0.2">
      <c r="A44" s="954" t="s">
        <v>497</v>
      </c>
      <c r="B44" s="1528"/>
      <c r="C44" s="1006">
        <v>-71</v>
      </c>
      <c r="D44" s="1544">
        <v>-8.4023668639053251E-2</v>
      </c>
      <c r="E44" s="1487"/>
      <c r="F44" s="1515">
        <v>774</v>
      </c>
      <c r="G44" s="1515">
        <v>854</v>
      </c>
      <c r="H44" s="1528">
        <v>771</v>
      </c>
      <c r="I44" s="1528">
        <v>834</v>
      </c>
      <c r="J44" s="1528">
        <v>845</v>
      </c>
      <c r="K44" s="1657">
        <v>830</v>
      </c>
      <c r="L44" s="1528">
        <v>928</v>
      </c>
      <c r="M44" s="1528">
        <v>866</v>
      </c>
      <c r="N44" s="1528">
        <v>860</v>
      </c>
      <c r="O44" s="1657">
        <v>862</v>
      </c>
      <c r="P44" s="1528">
        <v>769</v>
      </c>
      <c r="Q44" s="1528">
        <v>845</v>
      </c>
      <c r="R44" s="1528">
        <v>742</v>
      </c>
      <c r="S44" s="1528">
        <v>731</v>
      </c>
      <c r="T44" s="1528">
        <v>816</v>
      </c>
      <c r="U44" s="1528">
        <v>790</v>
      </c>
      <c r="V44" s="1528">
        <v>803</v>
      </c>
      <c r="W44" s="1528">
        <v>836</v>
      </c>
      <c r="X44" s="1528">
        <v>634</v>
      </c>
      <c r="Y44" s="1528"/>
      <c r="Z44" s="1528"/>
      <c r="AA44" s="1528"/>
      <c r="AB44" s="1205">
        <v>854</v>
      </c>
      <c r="AC44" s="2303">
        <v>830</v>
      </c>
      <c r="AD44" s="1596">
        <v>24</v>
      </c>
      <c r="AE44" s="1544">
        <v>2.891566265060241E-2</v>
      </c>
      <c r="AF44" s="1528"/>
      <c r="AG44" s="1269">
        <v>854</v>
      </c>
      <c r="AH44" s="1269">
        <v>830</v>
      </c>
      <c r="AI44" s="1269">
        <v>862</v>
      </c>
      <c r="AJ44" s="1269">
        <v>731</v>
      </c>
      <c r="AK44" s="1269">
        <v>836</v>
      </c>
      <c r="AL44" s="1269">
        <v>555</v>
      </c>
      <c r="AM44" s="1269">
        <v>451</v>
      </c>
      <c r="AN44" s="1269">
        <v>0</v>
      </c>
      <c r="AO44" s="1487"/>
      <c r="AP44" s="1487"/>
      <c r="AQ44" s="1487"/>
      <c r="AR44" s="1487"/>
      <c r="AS44" s="1487"/>
      <c r="AT44" s="2109"/>
      <c r="AU44" s="2109"/>
      <c r="AV44" s="2109"/>
      <c r="AW44" s="1486"/>
      <c r="AY44" s="1486"/>
      <c r="AZ44" s="1486"/>
      <c r="BA44" s="1486"/>
    </row>
    <row r="45" spans="1:94" s="2061" customFormat="1" ht="12.75" customHeight="1" x14ac:dyDescent="0.2">
      <c r="A45" s="1528"/>
      <c r="B45" s="1528"/>
      <c r="C45" s="1528"/>
      <c r="D45" s="1528"/>
      <c r="E45" s="1487"/>
      <c r="F45" s="1487"/>
      <c r="G45" s="1487"/>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2228"/>
      <c r="AE45" s="2228"/>
      <c r="AF45" s="1528"/>
      <c r="AG45" s="1528"/>
      <c r="AH45" s="1528"/>
      <c r="AI45" s="1528"/>
      <c r="AJ45" s="1528"/>
      <c r="AK45" s="1528"/>
      <c r="AL45" s="1528"/>
      <c r="AM45" s="1528"/>
      <c r="AN45" s="1528"/>
      <c r="AO45" s="1487"/>
      <c r="AP45" s="1487"/>
      <c r="AQ45" s="1487"/>
      <c r="AR45" s="1487"/>
      <c r="AS45" s="1487"/>
      <c r="AT45" s="2109"/>
      <c r="AU45" s="2109"/>
      <c r="AV45" s="2109"/>
      <c r="AW45" s="1486"/>
      <c r="AY45" s="1486"/>
      <c r="AZ45" s="1486"/>
      <c r="BA45" s="1486"/>
    </row>
    <row r="46" spans="1:94" s="2061" customFormat="1" ht="12.75" customHeight="1" x14ac:dyDescent="0.2">
      <c r="A46" s="1547" t="s">
        <v>723</v>
      </c>
      <c r="B46" s="1547"/>
      <c r="C46" s="1006">
        <v>4</v>
      </c>
      <c r="D46" s="1544">
        <v>5.8823529411764705E-2</v>
      </c>
      <c r="E46" s="1513"/>
      <c r="F46" s="1159">
        <v>72</v>
      </c>
      <c r="G46" s="1159">
        <v>68</v>
      </c>
      <c r="H46" s="1205">
        <v>68</v>
      </c>
      <c r="I46" s="1205">
        <v>66</v>
      </c>
      <c r="J46" s="1205">
        <v>68</v>
      </c>
      <c r="K46" s="1205">
        <v>68</v>
      </c>
      <c r="L46" s="1205">
        <v>68</v>
      </c>
      <c r="M46" s="1205">
        <v>67</v>
      </c>
      <c r="N46" s="1205">
        <v>69</v>
      </c>
      <c r="O46" s="1205">
        <v>69</v>
      </c>
      <c r="P46" s="1205">
        <v>70</v>
      </c>
      <c r="Q46" s="1205">
        <v>71</v>
      </c>
      <c r="R46" s="1205">
        <v>67</v>
      </c>
      <c r="S46" s="1205">
        <v>65</v>
      </c>
      <c r="T46" s="1205">
        <v>67</v>
      </c>
      <c r="U46" s="1205">
        <v>71</v>
      </c>
      <c r="V46" s="1205">
        <v>70</v>
      </c>
      <c r="W46" s="1205">
        <v>69</v>
      </c>
      <c r="X46" s="1205">
        <v>66</v>
      </c>
      <c r="Y46" s="1205">
        <v>384</v>
      </c>
      <c r="Z46" s="1205">
        <v>372</v>
      </c>
      <c r="AA46" s="1269"/>
      <c r="AB46" s="1205">
        <v>68</v>
      </c>
      <c r="AC46" s="2303">
        <v>68</v>
      </c>
      <c r="AD46" s="1596">
        <v>0</v>
      </c>
      <c r="AE46" s="1544">
        <v>0</v>
      </c>
      <c r="AF46" s="1528"/>
      <c r="AG46" s="1269">
        <v>68</v>
      </c>
      <c r="AH46" s="1205">
        <v>68</v>
      </c>
      <c r="AI46" s="1205">
        <v>69</v>
      </c>
      <c r="AJ46" s="1205">
        <v>65</v>
      </c>
      <c r="AK46" s="1269">
        <v>69</v>
      </c>
      <c r="AL46" s="1269">
        <v>63</v>
      </c>
      <c r="AM46" s="1269">
        <v>58</v>
      </c>
      <c r="AN46" s="1269">
        <v>44</v>
      </c>
      <c r="AO46" s="1169">
        <v>143</v>
      </c>
      <c r="AP46" s="1169">
        <v>138</v>
      </c>
      <c r="AQ46" s="1169">
        <v>105</v>
      </c>
      <c r="AR46" s="2106"/>
      <c r="AS46" s="1514"/>
      <c r="AT46" s="2108"/>
      <c r="AU46" s="2108"/>
      <c r="AV46" s="2108"/>
      <c r="AW46" s="1486"/>
      <c r="AY46" s="1486"/>
      <c r="AZ46" s="1486"/>
      <c r="BA46" s="1486"/>
    </row>
    <row r="47" spans="1:94" ht="12.75" customHeight="1" x14ac:dyDescent="0.2">
      <c r="A47" s="1547"/>
      <c r="B47" s="1547"/>
      <c r="C47" s="1545"/>
      <c r="D47" s="1544"/>
      <c r="E47" s="1513"/>
      <c r="F47" s="1513"/>
      <c r="G47" s="1513"/>
      <c r="H47" s="1544"/>
      <c r="I47" s="1544"/>
      <c r="J47" s="1205"/>
      <c r="K47" s="1544"/>
      <c r="L47" s="1544"/>
      <c r="M47" s="1544"/>
      <c r="N47" s="1205"/>
      <c r="O47" s="1544"/>
      <c r="P47" s="1544"/>
      <c r="Q47" s="1544"/>
      <c r="R47" s="1205"/>
      <c r="S47" s="1544"/>
      <c r="T47" s="1544"/>
      <c r="U47" s="1544"/>
      <c r="V47" s="1205"/>
      <c r="W47" s="1544"/>
      <c r="X47" s="1544"/>
      <c r="Y47" s="1544"/>
      <c r="Z47" s="1205"/>
      <c r="AA47" s="1269"/>
      <c r="AB47" s="1269"/>
      <c r="AC47" s="1246"/>
      <c r="AD47" s="1596"/>
      <c r="AE47" s="1544"/>
      <c r="AF47" s="1549"/>
      <c r="AG47" s="1269"/>
      <c r="AH47" s="1269"/>
      <c r="AI47" s="1269"/>
      <c r="AJ47" s="1269"/>
      <c r="AK47" s="1269"/>
      <c r="AL47" s="1269"/>
      <c r="AM47" s="1269"/>
      <c r="AN47" s="1269"/>
      <c r="AO47" s="1169"/>
      <c r="AP47" s="1169"/>
      <c r="AQ47" s="1169"/>
      <c r="AR47" s="2106"/>
      <c r="AS47" s="1514"/>
      <c r="AT47" s="2108"/>
      <c r="AU47" s="2108"/>
      <c r="AV47" s="2108"/>
      <c r="AW47" s="1484"/>
      <c r="AY47" s="1484"/>
      <c r="AZ47" s="1484"/>
      <c r="BA47" s="1484"/>
    </row>
    <row r="48" spans="1:94" ht="18" customHeight="1" x14ac:dyDescent="0.2">
      <c r="A48" s="1550" t="s">
        <v>619</v>
      </c>
      <c r="B48" s="1528"/>
      <c r="C48" s="1551"/>
      <c r="D48" s="1551"/>
      <c r="E48" s="1497"/>
      <c r="F48" s="1487"/>
      <c r="G48" s="1487"/>
      <c r="H48" s="1528"/>
      <c r="I48" s="1528"/>
      <c r="J48" s="1528"/>
      <c r="K48" s="1528"/>
      <c r="L48" s="1528"/>
      <c r="M48" s="1528"/>
      <c r="N48" s="1528"/>
      <c r="O48" s="1528"/>
      <c r="P48" s="1528"/>
      <c r="Q48" s="1528"/>
      <c r="R48" s="1528"/>
      <c r="S48" s="1549"/>
      <c r="T48" s="1528"/>
      <c r="U48" s="1528"/>
      <c r="V48" s="1528"/>
      <c r="W48" s="1528"/>
      <c r="X48" s="1528"/>
      <c r="Y48" s="1528"/>
      <c r="Z48" s="1528"/>
      <c r="AA48" s="1528"/>
      <c r="AB48" s="1539"/>
      <c r="AC48" s="1551"/>
      <c r="AD48" s="1590"/>
      <c r="AE48" s="1590"/>
      <c r="AF48" s="1551"/>
      <c r="AG48" s="1551"/>
      <c r="AH48" s="1551"/>
      <c r="AI48" s="1551"/>
      <c r="AJ48" s="1551"/>
      <c r="AK48" s="1551"/>
      <c r="AL48" s="1551"/>
      <c r="AM48" s="1551"/>
      <c r="AN48" s="1551"/>
      <c r="AO48" s="2074"/>
      <c r="AP48" s="2074"/>
      <c r="AQ48" s="2074"/>
      <c r="AR48" s="2074"/>
      <c r="AS48" s="2074"/>
      <c r="AT48" s="2110"/>
      <c r="AU48" s="2110"/>
      <c r="AV48" s="2110"/>
      <c r="AW48" s="1484"/>
      <c r="AY48" s="1484"/>
      <c r="AZ48" s="1484"/>
      <c r="BA48" s="1484"/>
    </row>
    <row r="49" spans="1:94" ht="12.75" customHeight="1" x14ac:dyDescent="0.2">
      <c r="A49" s="1552"/>
      <c r="B49" s="1528"/>
      <c r="C49" s="1551"/>
      <c r="D49" s="1551"/>
      <c r="E49" s="1497"/>
      <c r="F49" s="1969"/>
      <c r="G49" s="1969"/>
      <c r="H49" s="1779"/>
      <c r="I49" s="1779"/>
      <c r="J49" s="1528"/>
      <c r="K49" s="1779"/>
      <c r="L49" s="1779"/>
      <c r="M49" s="1779"/>
      <c r="N49" s="1528"/>
      <c r="O49" s="1779"/>
      <c r="P49" s="1779"/>
      <c r="Q49" s="1779"/>
      <c r="R49" s="1528"/>
      <c r="S49" s="1549"/>
      <c r="T49" s="1779"/>
      <c r="U49" s="1779"/>
      <c r="V49" s="1528"/>
      <c r="W49" s="1528"/>
      <c r="X49" s="1779"/>
      <c r="Y49" s="1779"/>
      <c r="Z49" s="1528"/>
      <c r="AA49" s="1528"/>
      <c r="AB49" s="1539"/>
      <c r="AC49" s="1551"/>
      <c r="AD49" s="1590"/>
      <c r="AE49" s="1590"/>
      <c r="AF49" s="1551"/>
      <c r="AG49" s="1551"/>
      <c r="AH49" s="1551"/>
      <c r="AI49" s="1551"/>
      <c r="AJ49" s="1551"/>
      <c r="AK49" s="1551"/>
      <c r="AL49" s="1551"/>
      <c r="AM49" s="1551"/>
      <c r="AN49" s="1551"/>
      <c r="AO49" s="2074"/>
      <c r="AP49" s="2074"/>
      <c r="AQ49" s="2074"/>
      <c r="AR49" s="2074"/>
      <c r="AS49" s="2074"/>
      <c r="AT49" s="2110"/>
      <c r="AU49" s="2110"/>
      <c r="AV49" s="2110"/>
      <c r="AW49" s="1484"/>
      <c r="AY49" s="1484"/>
      <c r="AZ49" s="1484"/>
      <c r="BA49" s="1484"/>
    </row>
    <row r="50" spans="1:94" ht="12.75" customHeight="1" x14ac:dyDescent="0.2">
      <c r="A50" s="1527"/>
      <c r="B50" s="1528"/>
      <c r="C50" s="3195" t="s">
        <v>671</v>
      </c>
      <c r="D50" s="3196"/>
      <c r="E50" s="1488"/>
      <c r="F50" s="1497"/>
      <c r="G50" s="2111"/>
      <c r="H50" s="1549"/>
      <c r="I50" s="1549"/>
      <c r="J50" s="1717"/>
      <c r="K50" s="1549"/>
      <c r="L50" s="1528"/>
      <c r="M50" s="1549"/>
      <c r="N50" s="1717"/>
      <c r="O50" s="1549"/>
      <c r="P50" s="1549"/>
      <c r="Q50" s="1549"/>
      <c r="R50" s="1717"/>
      <c r="S50" s="1716"/>
      <c r="T50" s="1549"/>
      <c r="U50" s="1549"/>
      <c r="V50" s="1717"/>
      <c r="W50" s="1716"/>
      <c r="X50" s="1549"/>
      <c r="Y50" s="1549"/>
      <c r="Z50" s="1717"/>
      <c r="AA50" s="1589"/>
      <c r="AB50" s="988" t="s">
        <v>660</v>
      </c>
      <c r="AC50" s="988"/>
      <c r="AD50" s="988" t="s">
        <v>563</v>
      </c>
      <c r="AE50" s="989"/>
      <c r="AF50" s="1570"/>
      <c r="AG50" s="1571"/>
      <c r="AH50" s="1571"/>
      <c r="AI50" s="1571"/>
      <c r="AJ50" s="1571"/>
      <c r="AK50" s="1571"/>
      <c r="AL50" s="1571"/>
      <c r="AM50" s="1571"/>
      <c r="AN50" s="1571"/>
      <c r="AO50" s="2062"/>
      <c r="AP50" s="2062"/>
      <c r="AQ50" s="2062"/>
      <c r="AR50" s="2111"/>
      <c r="AS50" s="2112"/>
      <c r="AT50" s="2062"/>
      <c r="AU50" s="2062"/>
      <c r="AV50" s="2062"/>
      <c r="AW50" s="2065"/>
      <c r="AY50" s="1484"/>
      <c r="AZ50" s="1484"/>
      <c r="BA50" s="1484"/>
    </row>
    <row r="51" spans="1:94" ht="12.75" customHeight="1" x14ac:dyDescent="0.2">
      <c r="A51" s="1527" t="s">
        <v>496</v>
      </c>
      <c r="B51" s="1528"/>
      <c r="C51" s="3197" t="s">
        <v>38</v>
      </c>
      <c r="D51" s="3198"/>
      <c r="E51" s="1511"/>
      <c r="F51" s="907" t="s">
        <v>670</v>
      </c>
      <c r="G51" s="1948" t="s">
        <v>558</v>
      </c>
      <c r="H51" s="992" t="s">
        <v>559</v>
      </c>
      <c r="I51" s="992" t="s">
        <v>560</v>
      </c>
      <c r="J51" s="993" t="s">
        <v>561</v>
      </c>
      <c r="K51" s="992" t="s">
        <v>508</v>
      </c>
      <c r="L51" s="992" t="s">
        <v>507</v>
      </c>
      <c r="M51" s="992" t="s">
        <v>506</v>
      </c>
      <c r="N51" s="993" t="s">
        <v>505</v>
      </c>
      <c r="O51" s="992" t="s">
        <v>382</v>
      </c>
      <c r="P51" s="992" t="s">
        <v>383</v>
      </c>
      <c r="Q51" s="992" t="s">
        <v>384</v>
      </c>
      <c r="R51" s="993" t="s">
        <v>385</v>
      </c>
      <c r="S51" s="992" t="s">
        <v>368</v>
      </c>
      <c r="T51" s="992" t="s">
        <v>367</v>
      </c>
      <c r="U51" s="992" t="s">
        <v>366</v>
      </c>
      <c r="V51" s="993" t="s">
        <v>364</v>
      </c>
      <c r="W51" s="992" t="s">
        <v>348</v>
      </c>
      <c r="X51" s="992" t="s">
        <v>349</v>
      </c>
      <c r="Y51" s="992" t="s">
        <v>350</v>
      </c>
      <c r="Z51" s="993" t="s">
        <v>351</v>
      </c>
      <c r="AA51" s="1569"/>
      <c r="AB51" s="990" t="s">
        <v>558</v>
      </c>
      <c r="AC51" s="990" t="s">
        <v>508</v>
      </c>
      <c r="AD51" s="3071" t="s">
        <v>38</v>
      </c>
      <c r="AE51" s="3072"/>
      <c r="AF51" s="1656"/>
      <c r="AG51" s="994" t="s">
        <v>661</v>
      </c>
      <c r="AH51" s="994" t="s">
        <v>538</v>
      </c>
      <c r="AI51" s="994" t="s">
        <v>502</v>
      </c>
      <c r="AJ51" s="994" t="s">
        <v>379</v>
      </c>
      <c r="AK51" s="994" t="s">
        <v>360</v>
      </c>
      <c r="AL51" s="994" t="s">
        <v>317</v>
      </c>
      <c r="AM51" s="1574" t="s">
        <v>275</v>
      </c>
      <c r="AN51" s="1574" t="s">
        <v>227</v>
      </c>
      <c r="AO51" s="2066" t="s">
        <v>123</v>
      </c>
      <c r="AP51" s="2066" t="s">
        <v>122</v>
      </c>
      <c r="AQ51" s="2066" t="s">
        <v>42</v>
      </c>
      <c r="AR51" s="2066" t="s">
        <v>39</v>
      </c>
      <c r="AS51" s="2067" t="s">
        <v>40</v>
      </c>
      <c r="AT51" s="2067" t="s">
        <v>142</v>
      </c>
      <c r="AU51" s="2067" t="s">
        <v>143</v>
      </c>
      <c r="AV51" s="2067" t="s">
        <v>144</v>
      </c>
      <c r="AW51" s="2065"/>
      <c r="AY51" s="1484"/>
      <c r="AZ51" s="1484"/>
      <c r="BA51" s="1484"/>
      <c r="CE51" s="1312"/>
      <c r="CF51" s="2430"/>
      <c r="CG51" s="2429"/>
      <c r="CH51" s="2430"/>
      <c r="CI51" s="2430"/>
      <c r="CJ51" s="1312"/>
      <c r="CK51" s="2432"/>
      <c r="CL51" s="1312"/>
      <c r="CM51" s="2432"/>
      <c r="CN51" s="2431"/>
      <c r="CO51" s="1146"/>
      <c r="CP51" s="1146"/>
    </row>
    <row r="52" spans="1:94" ht="12.75" customHeight="1" x14ac:dyDescent="0.2">
      <c r="A52" s="1553"/>
      <c r="B52" s="1549" t="s">
        <v>4</v>
      </c>
      <c r="C52" s="1804">
        <v>-3114</v>
      </c>
      <c r="D52" s="1631">
        <v>-0.25253426323899114</v>
      </c>
      <c r="E52" s="2874"/>
      <c r="F52" s="1169">
        <v>9217</v>
      </c>
      <c r="G52" s="2318">
        <v>3286</v>
      </c>
      <c r="H52" s="1657">
        <v>6296</v>
      </c>
      <c r="I52" s="1657">
        <v>9453</v>
      </c>
      <c r="J52" s="1658">
        <v>12331</v>
      </c>
      <c r="K52" s="1269">
        <v>20102</v>
      </c>
      <c r="L52" s="1657">
        <v>22117</v>
      </c>
      <c r="M52" s="1657">
        <v>9269</v>
      </c>
      <c r="N52" s="1658">
        <v>5534</v>
      </c>
      <c r="O52" s="1269">
        <v>20341</v>
      </c>
      <c r="P52" s="1657">
        <v>12410</v>
      </c>
      <c r="Q52" s="1657">
        <v>15884</v>
      </c>
      <c r="R52" s="1658">
        <v>11058</v>
      </c>
      <c r="S52" s="1657">
        <v>9723</v>
      </c>
      <c r="T52" s="1657">
        <v>6906</v>
      </c>
      <c r="U52" s="1657">
        <v>5205</v>
      </c>
      <c r="V52" s="1658">
        <v>9304</v>
      </c>
      <c r="W52" s="1657">
        <v>13461</v>
      </c>
      <c r="X52" s="1657">
        <v>5519</v>
      </c>
      <c r="Y52" s="1657">
        <v>48910</v>
      </c>
      <c r="Z52" s="1658">
        <v>44746</v>
      </c>
      <c r="AA52" s="2876"/>
      <c r="AB52" s="2780">
        <v>31366</v>
      </c>
      <c r="AC52" s="1723">
        <v>57022</v>
      </c>
      <c r="AD52" s="2893">
        <v>-25656</v>
      </c>
      <c r="AE52" s="1631">
        <v>-0.4499316053453053</v>
      </c>
      <c r="AF52" s="1551"/>
      <c r="AG52" s="2899">
        <v>31366</v>
      </c>
      <c r="AH52" s="1684">
        <v>57022</v>
      </c>
      <c r="AI52" s="1684">
        <v>59693</v>
      </c>
      <c r="AJ52" s="1684">
        <v>31138</v>
      </c>
      <c r="AK52" s="1684">
        <v>41608</v>
      </c>
      <c r="AL52" s="1684">
        <v>28138</v>
      </c>
      <c r="AM52" s="1684">
        <v>15719</v>
      </c>
      <c r="AN52" s="1684">
        <v>3829</v>
      </c>
      <c r="AO52" s="2124">
        <v>92677</v>
      </c>
      <c r="AP52" s="2124">
        <v>82454</v>
      </c>
      <c r="AQ52" s="2124">
        <v>72926</v>
      </c>
      <c r="AR52" s="2124">
        <v>118332</v>
      </c>
      <c r="AS52" s="2115">
        <v>187562</v>
      </c>
      <c r="AT52" s="2095">
        <v>150470</v>
      </c>
      <c r="AU52" s="2095">
        <v>95559</v>
      </c>
      <c r="AV52" s="2095">
        <v>211758</v>
      </c>
      <c r="AW52" s="2155"/>
      <c r="AX52" s="2061"/>
      <c r="AY52" s="1484"/>
      <c r="AZ52" s="1484"/>
      <c r="BA52" s="1484"/>
      <c r="CE52" s="1312">
        <v>9707</v>
      </c>
      <c r="CF52" s="2430">
        <v>0.78219178082191776</v>
      </c>
      <c r="CG52" s="2429">
        <v>-12821</v>
      </c>
      <c r="CH52" s="2430">
        <v>-1.034726044060909</v>
      </c>
      <c r="CI52" s="2430"/>
      <c r="CJ52" s="1312">
        <v>36920</v>
      </c>
      <c r="CK52" s="2432">
        <v>-5554</v>
      </c>
      <c r="CL52" s="1312"/>
      <c r="CM52" s="2432">
        <v>-25656</v>
      </c>
      <c r="CN52" s="2431">
        <v>-0.4499316053453053</v>
      </c>
      <c r="CO52" s="1146">
        <v>0</v>
      </c>
      <c r="CP52" s="1146">
        <v>0</v>
      </c>
    </row>
    <row r="53" spans="1:94" s="1766" customFormat="1" ht="12.75" customHeight="1" x14ac:dyDescent="0.2">
      <c r="A53" s="1551"/>
      <c r="B53" s="1549" t="s">
        <v>80</v>
      </c>
      <c r="C53" s="1533">
        <v>-948</v>
      </c>
      <c r="D53" s="1536">
        <v>-0.10123878684322939</v>
      </c>
      <c r="E53" s="2877"/>
      <c r="F53" s="1169">
        <v>8416</v>
      </c>
      <c r="G53" s="2318">
        <v>5062</v>
      </c>
      <c r="H53" s="1657">
        <v>6271</v>
      </c>
      <c r="I53" s="1657">
        <v>8691</v>
      </c>
      <c r="J53" s="1248">
        <v>9364</v>
      </c>
      <c r="K53" s="1269">
        <v>13033</v>
      </c>
      <c r="L53" s="1657">
        <v>13738</v>
      </c>
      <c r="M53" s="1657">
        <v>8210</v>
      </c>
      <c r="N53" s="1248">
        <v>6849</v>
      </c>
      <c r="O53" s="1269">
        <v>13012</v>
      </c>
      <c r="P53" s="1657">
        <v>9545</v>
      </c>
      <c r="Q53" s="1657">
        <v>10759</v>
      </c>
      <c r="R53" s="1248">
        <v>8261</v>
      </c>
      <c r="S53" s="1657">
        <v>9165</v>
      </c>
      <c r="T53" s="1657">
        <v>6905</v>
      </c>
      <c r="U53" s="1657">
        <v>5878</v>
      </c>
      <c r="V53" s="1658">
        <v>7939</v>
      </c>
      <c r="W53" s="1657">
        <v>9324</v>
      </c>
      <c r="X53" s="1657">
        <v>5204</v>
      </c>
      <c r="Y53" s="1657">
        <v>40920</v>
      </c>
      <c r="Z53" s="1658">
        <v>40245</v>
      </c>
      <c r="AA53" s="2876"/>
      <c r="AB53" s="2199">
        <v>29388</v>
      </c>
      <c r="AC53" s="1603">
        <v>41830</v>
      </c>
      <c r="AD53" s="2231">
        <v>-12442</v>
      </c>
      <c r="AE53" s="1669">
        <v>-0.2974420272531676</v>
      </c>
      <c r="AF53" s="1551"/>
      <c r="AG53" s="1684">
        <v>29388</v>
      </c>
      <c r="AH53" s="1684">
        <v>41830</v>
      </c>
      <c r="AI53" s="1684">
        <v>41577</v>
      </c>
      <c r="AJ53" s="1684">
        <v>29887</v>
      </c>
      <c r="AK53" s="1684">
        <v>32019</v>
      </c>
      <c r="AL53" s="1684">
        <v>23461</v>
      </c>
      <c r="AM53" s="1684">
        <v>17253</v>
      </c>
      <c r="AN53" s="1684">
        <v>5458</v>
      </c>
      <c r="AO53" s="2124">
        <v>78548</v>
      </c>
      <c r="AP53" s="2124"/>
      <c r="AQ53" s="2124"/>
      <c r="AR53" s="2116"/>
      <c r="AS53" s="2117"/>
      <c r="AT53" s="2084"/>
      <c r="AU53" s="2084"/>
      <c r="AV53" s="2084"/>
      <c r="AW53" s="2156"/>
      <c r="AX53" s="2157"/>
      <c r="AY53" s="1765"/>
      <c r="AZ53" s="1765"/>
      <c r="BA53" s="1765"/>
      <c r="CE53" s="1312">
        <v>4193</v>
      </c>
      <c r="CF53" s="2430">
        <v>0.43928758512310112</v>
      </c>
      <c r="CG53" s="2429">
        <v>-5141</v>
      </c>
      <c r="CH53" s="2430">
        <v>-0.54052637196633047</v>
      </c>
      <c r="CI53" s="2430"/>
      <c r="CJ53" s="1312">
        <v>28797</v>
      </c>
      <c r="CK53" s="2432">
        <v>591</v>
      </c>
      <c r="CL53" s="1312"/>
      <c r="CM53" s="2432">
        <v>-12442</v>
      </c>
      <c r="CN53" s="2431">
        <v>-0.2974420272531676</v>
      </c>
      <c r="CO53" s="1146">
        <v>0</v>
      </c>
      <c r="CP53" s="1146">
        <v>0</v>
      </c>
    </row>
    <row r="54" spans="1:94" s="1766" customFormat="1" ht="12.75" customHeight="1" x14ac:dyDescent="0.2">
      <c r="A54" s="1551"/>
      <c r="B54" s="1541" t="s">
        <v>332</v>
      </c>
      <c r="C54" s="1533">
        <v>-60</v>
      </c>
      <c r="D54" s="1536">
        <v>-0.65934065934065933</v>
      </c>
      <c r="E54" s="2877"/>
      <c r="F54" s="1169">
        <v>31</v>
      </c>
      <c r="G54" s="2318">
        <v>16</v>
      </c>
      <c r="H54" s="1269">
        <v>89</v>
      </c>
      <c r="I54" s="1269">
        <v>90</v>
      </c>
      <c r="J54" s="1248">
        <v>91</v>
      </c>
      <c r="K54" s="1269">
        <v>283</v>
      </c>
      <c r="L54" s="1269">
        <v>0</v>
      </c>
      <c r="M54" s="1269">
        <v>0</v>
      </c>
      <c r="N54" s="1248">
        <v>0</v>
      </c>
      <c r="O54" s="1077">
        <v>0</v>
      </c>
      <c r="P54" s="1269">
        <v>0</v>
      </c>
      <c r="Q54" s="1269">
        <v>0</v>
      </c>
      <c r="R54" s="1248">
        <v>0</v>
      </c>
      <c r="S54" s="1269">
        <v>0</v>
      </c>
      <c r="T54" s="1269">
        <v>0</v>
      </c>
      <c r="U54" s="1269">
        <v>0</v>
      </c>
      <c r="V54" s="1248">
        <v>0</v>
      </c>
      <c r="W54" s="1269">
        <v>0</v>
      </c>
      <c r="X54" s="1269">
        <v>0</v>
      </c>
      <c r="Y54" s="1269"/>
      <c r="Z54" s="1248"/>
      <c r="AA54" s="1476"/>
      <c r="AB54" s="2199">
        <v>286</v>
      </c>
      <c r="AC54" s="1603">
        <v>283</v>
      </c>
      <c r="AD54" s="2231">
        <v>3</v>
      </c>
      <c r="AE54" s="1536" t="s">
        <v>41</v>
      </c>
      <c r="AF54" s="1247"/>
      <c r="AG54" s="1684">
        <v>286</v>
      </c>
      <c r="AH54" s="1265">
        <v>283</v>
      </c>
      <c r="AI54" s="1265">
        <v>0</v>
      </c>
      <c r="AJ54" s="1265">
        <v>0</v>
      </c>
      <c r="AK54" s="1265">
        <v>0</v>
      </c>
      <c r="AL54" s="1265">
        <v>84</v>
      </c>
      <c r="AM54" s="1265">
        <v>0</v>
      </c>
      <c r="AN54" s="1265">
        <v>0</v>
      </c>
      <c r="AO54" s="2124"/>
      <c r="AP54" s="2124"/>
      <c r="AQ54" s="2124"/>
      <c r="AR54" s="2116"/>
      <c r="AS54" s="2117"/>
      <c r="AT54" s="2084"/>
      <c r="AU54" s="2084"/>
      <c r="AV54" s="2084"/>
      <c r="AW54" s="2156"/>
      <c r="AX54" s="2157"/>
      <c r="AY54" s="1765"/>
      <c r="AZ54" s="1765"/>
      <c r="BA54" s="1765"/>
      <c r="CE54" s="1312">
        <v>0</v>
      </c>
      <c r="CF54" s="2430" t="e">
        <v>#DIV/0!</v>
      </c>
      <c r="CG54" s="2429">
        <v>-60</v>
      </c>
      <c r="CH54" s="2430" t="e">
        <v>#DIV/0!</v>
      </c>
      <c r="CI54" s="2430"/>
      <c r="CJ54" s="1312">
        <v>0</v>
      </c>
      <c r="CK54" s="2432">
        <v>286</v>
      </c>
      <c r="CL54" s="1312"/>
      <c r="CM54" s="2432">
        <v>3</v>
      </c>
      <c r="CN54" s="2431">
        <v>1.0600706713780919E-2</v>
      </c>
      <c r="CO54" s="1146">
        <v>0</v>
      </c>
      <c r="CP54" s="1146" t="e">
        <v>#VALUE!</v>
      </c>
    </row>
    <row r="55" spans="1:94" s="1766" customFormat="1" ht="15.75" customHeight="1" x14ac:dyDescent="0.2">
      <c r="A55" s="1551"/>
      <c r="B55" s="1541" t="s">
        <v>72</v>
      </c>
      <c r="C55" s="1537">
        <v>-2106</v>
      </c>
      <c r="D55" s="1538">
        <v>-0.73226703755215572</v>
      </c>
      <c r="E55" s="2877"/>
      <c r="F55" s="1181">
        <v>770</v>
      </c>
      <c r="G55" s="2210">
        <v>-1792</v>
      </c>
      <c r="H55" s="1304">
        <v>-64</v>
      </c>
      <c r="I55" s="1304">
        <v>672</v>
      </c>
      <c r="J55" s="1458">
        <v>2876</v>
      </c>
      <c r="K55" s="1304">
        <v>6786</v>
      </c>
      <c r="L55" s="1304">
        <v>8379</v>
      </c>
      <c r="M55" s="1304">
        <v>1059</v>
      </c>
      <c r="N55" s="1458">
        <v>-1315</v>
      </c>
      <c r="O55" s="1304">
        <v>7329</v>
      </c>
      <c r="P55" s="1304">
        <v>2865</v>
      </c>
      <c r="Q55" s="1304">
        <v>5125</v>
      </c>
      <c r="R55" s="1458">
        <v>2797</v>
      </c>
      <c r="S55" s="1304">
        <v>558</v>
      </c>
      <c r="T55" s="1304">
        <v>1</v>
      </c>
      <c r="U55" s="1304">
        <v>-673</v>
      </c>
      <c r="V55" s="1673">
        <v>1365</v>
      </c>
      <c r="W55" s="1304">
        <v>4137</v>
      </c>
      <c r="X55" s="1304">
        <v>315</v>
      </c>
      <c r="Y55" s="1672">
        <v>8195</v>
      </c>
      <c r="Z55" s="1673">
        <v>4716</v>
      </c>
      <c r="AA55" s="1476"/>
      <c r="AB55" s="2200">
        <v>1692</v>
      </c>
      <c r="AC55" s="1612">
        <v>14909</v>
      </c>
      <c r="AD55" s="2894">
        <v>-13217</v>
      </c>
      <c r="AE55" s="1557">
        <v>-0.88651150311892146</v>
      </c>
      <c r="AF55" s="1551"/>
      <c r="AG55" s="1694">
        <v>1692</v>
      </c>
      <c r="AH55" s="1274">
        <v>14909</v>
      </c>
      <c r="AI55" s="1274">
        <v>18116</v>
      </c>
      <c r="AJ55" s="1274">
        <v>1251</v>
      </c>
      <c r="AK55" s="1274">
        <v>9589</v>
      </c>
      <c r="AL55" s="1274">
        <v>4593</v>
      </c>
      <c r="AM55" s="1274">
        <v>-1534</v>
      </c>
      <c r="AN55" s="1274">
        <v>-1629</v>
      </c>
      <c r="AO55" s="2121">
        <v>14129</v>
      </c>
      <c r="AP55" s="2121" t="e">
        <v>#REF!</v>
      </c>
      <c r="AQ55" s="2121" t="e">
        <v>#REF!</v>
      </c>
      <c r="AR55" s="1516"/>
      <c r="AS55" s="1516"/>
      <c r="AT55" s="1504"/>
      <c r="AU55" s="1504"/>
      <c r="AV55" s="1504"/>
      <c r="AW55" s="2158"/>
      <c r="AX55" s="2157"/>
      <c r="AY55" s="1765"/>
      <c r="AZ55" s="1765"/>
      <c r="BA55" s="1765"/>
      <c r="CE55" s="1312">
        <v>5514</v>
      </c>
      <c r="CF55" s="2430">
        <v>1.924607329842932</v>
      </c>
      <c r="CG55" s="2429">
        <v>-7620</v>
      </c>
      <c r="CH55" s="2430">
        <v>-2.6568743673950879</v>
      </c>
      <c r="CI55" s="2430"/>
      <c r="CJ55" s="1312">
        <v>8123</v>
      </c>
      <c r="CK55" s="2432">
        <v>-6431</v>
      </c>
      <c r="CL55" s="1312"/>
      <c r="CM55" s="2432">
        <v>-13217</v>
      </c>
      <c r="CN55" s="2431">
        <v>-0.88651150311892146</v>
      </c>
      <c r="CO55" s="1146">
        <v>0</v>
      </c>
      <c r="CP55" s="1146">
        <v>0</v>
      </c>
    </row>
    <row r="56" spans="1:94" s="1766" customFormat="1" ht="12.75" customHeight="1" x14ac:dyDescent="0.2">
      <c r="A56" s="1551"/>
      <c r="B56" s="1549"/>
      <c r="C56" s="1558"/>
      <c r="D56" s="1559"/>
      <c r="E56" s="1514"/>
      <c r="F56" s="1487"/>
      <c r="G56" s="1487"/>
      <c r="H56" s="1528"/>
      <c r="I56" s="1528"/>
      <c r="J56" s="1549"/>
      <c r="K56" s="1528"/>
      <c r="L56" s="1528"/>
      <c r="M56" s="1528"/>
      <c r="N56" s="1549"/>
      <c r="O56" s="1528"/>
      <c r="P56" s="1528"/>
      <c r="Q56" s="1528"/>
      <c r="R56" s="1549"/>
      <c r="S56" s="1528"/>
      <c r="T56" s="1528"/>
      <c r="U56" s="1528"/>
      <c r="V56" s="1549"/>
      <c r="W56" s="1559"/>
      <c r="X56" s="1528"/>
      <c r="Y56" s="1528"/>
      <c r="Z56" s="1549"/>
      <c r="AA56" s="1549"/>
      <c r="AB56" s="1559"/>
      <c r="AC56" s="1559"/>
      <c r="AD56" s="1676"/>
      <c r="AE56" s="1677"/>
      <c r="AF56" s="1549"/>
      <c r="AG56" s="1528"/>
      <c r="AH56" s="1528"/>
      <c r="AI56" s="1528"/>
      <c r="AJ56" s="1528"/>
      <c r="AK56" s="1528"/>
      <c r="AL56" s="1528"/>
      <c r="AM56" s="1528"/>
      <c r="AN56" s="1528"/>
      <c r="AO56" s="1487"/>
      <c r="AP56" s="1487"/>
      <c r="AQ56" s="1487"/>
      <c r="AR56" s="2092"/>
      <c r="AS56" s="2092"/>
      <c r="AT56" s="1504"/>
      <c r="AU56" s="1504"/>
      <c r="AV56" s="1504"/>
      <c r="AW56" s="2158"/>
      <c r="AX56" s="2157"/>
      <c r="AY56" s="1765"/>
      <c r="AZ56" s="1765"/>
      <c r="BA56" s="1765"/>
    </row>
    <row r="57" spans="1:94" s="1766" customFormat="1" ht="12.75" customHeight="1" x14ac:dyDescent="0.2">
      <c r="A57" s="1551"/>
      <c r="B57" s="1203" t="s">
        <v>623</v>
      </c>
      <c r="C57" s="1545">
        <v>7.9820015035525049</v>
      </c>
      <c r="D57" s="1559"/>
      <c r="E57" s="1514"/>
      <c r="F57" s="1514">
        <v>0.66225452967342957</v>
      </c>
      <c r="G57" s="1514">
        <v>0.88527084601339012</v>
      </c>
      <c r="H57" s="1559">
        <v>0.61689961880559085</v>
      </c>
      <c r="I57" s="1559">
        <v>0.63535385591875593</v>
      </c>
      <c r="J57" s="1559">
        <v>0.58243451463790452</v>
      </c>
      <c r="K57" s="1559">
        <v>0.52755944682121181</v>
      </c>
      <c r="L57" s="1559">
        <v>0.52294615002034639</v>
      </c>
      <c r="M57" s="1559">
        <v>0.60524328406516348</v>
      </c>
      <c r="N57" s="1559">
        <v>0.87712323816407667</v>
      </c>
      <c r="O57" s="1559">
        <v>0.54304114841944839</v>
      </c>
      <c r="P57" s="1559">
        <v>0.58388396454472202</v>
      </c>
      <c r="Q57" s="1559">
        <v>0.55093175522538407</v>
      </c>
      <c r="R57" s="1559">
        <v>0.56890938686923498</v>
      </c>
      <c r="S57" s="1559">
        <v>0.74760876272755328</v>
      </c>
      <c r="T57" s="1528"/>
      <c r="U57" s="1528"/>
      <c r="V57" s="1549"/>
      <c r="W57" s="1559"/>
      <c r="X57" s="1528"/>
      <c r="Y57" s="1528"/>
      <c r="Z57" s="1549"/>
      <c r="AA57" s="1549"/>
      <c r="AB57" s="1559">
        <v>0.63702735446024361</v>
      </c>
      <c r="AC57" s="1559">
        <v>0.57232296306688646</v>
      </c>
      <c r="AD57" s="1545">
        <v>6.4704391393357152</v>
      </c>
      <c r="AE57" s="1677"/>
      <c r="AF57" s="1549"/>
      <c r="AG57" s="1559">
        <v>0.63702735446024361</v>
      </c>
      <c r="AH57" s="1559">
        <v>0.57232296306688646</v>
      </c>
      <c r="AI57" s="1559">
        <v>0.55842393580486827</v>
      </c>
      <c r="AJ57" s="1559">
        <v>0.69105273299505432</v>
      </c>
      <c r="AK57" s="1559">
        <v>0.56328109978850216</v>
      </c>
      <c r="AL57" s="1559">
        <v>0.55096311038453338</v>
      </c>
      <c r="AM57" s="1528"/>
      <c r="AN57" s="1528"/>
      <c r="AO57" s="1487"/>
      <c r="AP57" s="1487"/>
      <c r="AQ57" s="1487"/>
      <c r="AR57" s="2092"/>
      <c r="AS57" s="2092"/>
      <c r="AT57" s="1504"/>
      <c r="AU57" s="1504"/>
      <c r="AV57" s="1504"/>
      <c r="AW57" s="2158"/>
      <c r="AX57" s="2157"/>
      <c r="AY57" s="1765"/>
      <c r="AZ57" s="1765"/>
      <c r="BA57" s="1765"/>
    </row>
    <row r="58" spans="1:94" ht="12.75" customHeight="1" x14ac:dyDescent="0.2">
      <c r="A58" s="1551"/>
      <c r="B58" s="1546" t="s">
        <v>75</v>
      </c>
      <c r="C58" s="1545">
        <v>7.3888441183408791</v>
      </c>
      <c r="D58" s="1559"/>
      <c r="E58" s="1514"/>
      <c r="F58" s="1514">
        <v>0.25084083758272757</v>
      </c>
      <c r="G58" s="1514">
        <v>0.65520389531345102</v>
      </c>
      <c r="H58" s="1559">
        <v>0.37912960609911056</v>
      </c>
      <c r="I58" s="1559">
        <v>0.28403681370993333</v>
      </c>
      <c r="J58" s="1559">
        <v>0.17695239639931878</v>
      </c>
      <c r="K58" s="1559">
        <v>0.12078400159188141</v>
      </c>
      <c r="L58" s="1559">
        <v>9.8205000678211335E-2</v>
      </c>
      <c r="M58" s="1559">
        <v>0.28050490883590462</v>
      </c>
      <c r="N58" s="1559">
        <v>0.36049873509215757</v>
      </c>
      <c r="O58" s="1559">
        <v>9.6652082001868145E-2</v>
      </c>
      <c r="P58" s="1559">
        <v>0.18525382755842063</v>
      </c>
      <c r="Q58" s="1559">
        <v>0.12641651976832033</v>
      </c>
      <c r="R58" s="1559">
        <v>0.17815156447820582</v>
      </c>
      <c r="S58" s="1559">
        <v>0.19500154273372416</v>
      </c>
      <c r="T58" s="1559">
        <v>0.2949609035621199</v>
      </c>
      <c r="U58" s="1559">
        <v>0.39942363112391932</v>
      </c>
      <c r="V58" s="1559">
        <v>0.25333190025795355</v>
      </c>
      <c r="W58" s="1559">
        <v>0.14560582423296931</v>
      </c>
      <c r="X58" s="1559">
        <v>0.39608624750860666</v>
      </c>
      <c r="Y58" s="1559">
        <v>0.24647311388264159</v>
      </c>
      <c r="Z58" s="1559">
        <v>0.30371429848478076</v>
      </c>
      <c r="AA58" s="1549"/>
      <c r="AB58" s="1559">
        <v>0.29991073136517249</v>
      </c>
      <c r="AC58" s="1559">
        <v>0.16125355126091684</v>
      </c>
      <c r="AD58" s="1545">
        <v>13.865718010425566</v>
      </c>
      <c r="AE58" s="1677"/>
      <c r="AF58" s="1549"/>
      <c r="AG58" s="1559">
        <v>0.29991073136517249</v>
      </c>
      <c r="AH58" s="1559">
        <v>0.16125355126091684</v>
      </c>
      <c r="AI58" s="1559">
        <v>0.13808989328732013</v>
      </c>
      <c r="AJ58" s="1559">
        <v>0.26877127625409469</v>
      </c>
      <c r="AK58" s="1559">
        <v>0.20625841184387617</v>
      </c>
      <c r="AL58" s="1559">
        <v>0.28282038524415382</v>
      </c>
      <c r="AM58" s="1559">
        <v>0.3615369934474203</v>
      </c>
      <c r="AN58" s="1559">
        <v>0.61556542178114393</v>
      </c>
      <c r="AO58" s="2106">
        <v>0.27604475759897279</v>
      </c>
      <c r="AP58" s="2106">
        <v>0.13384477827906055</v>
      </c>
      <c r="AQ58" s="2106">
        <v>0.38502043167046046</v>
      </c>
      <c r="AR58" s="2106">
        <v>0.19347260250819728</v>
      </c>
      <c r="AS58" s="2106">
        <v>0.13159381964363784</v>
      </c>
      <c r="AT58" s="2105">
        <v>0.13831328504020735</v>
      </c>
      <c r="AU58" s="2105">
        <v>0.13580091880408962</v>
      </c>
      <c r="AV58" s="2105">
        <v>0.10299999999999998</v>
      </c>
      <c r="AW58" s="1486"/>
      <c r="AY58" s="1484"/>
      <c r="AZ58" s="1484"/>
      <c r="BA58" s="1484"/>
    </row>
    <row r="59" spans="1:94" ht="12.75" customHeight="1" x14ac:dyDescent="0.2">
      <c r="A59" s="1551"/>
      <c r="B59" s="1546" t="s">
        <v>76</v>
      </c>
      <c r="C59" s="1545">
        <v>15.370845621893391</v>
      </c>
      <c r="D59" s="1559"/>
      <c r="E59" s="1514"/>
      <c r="F59" s="1514">
        <v>0.91309536725615714</v>
      </c>
      <c r="G59" s="1514">
        <v>1.5404747413268411</v>
      </c>
      <c r="H59" s="1559">
        <v>0.99602922490470136</v>
      </c>
      <c r="I59" s="1559">
        <v>0.91939066962868932</v>
      </c>
      <c r="J59" s="1559">
        <v>0.75938691103722322</v>
      </c>
      <c r="K59" s="1559">
        <v>0.64834344841309322</v>
      </c>
      <c r="L59" s="1559">
        <v>0.62115115069855764</v>
      </c>
      <c r="M59" s="1559">
        <v>0.8857481929010681</v>
      </c>
      <c r="N59" s="1559">
        <v>1.2376219732562341</v>
      </c>
      <c r="O59" s="1559">
        <v>0.63969323042131654</v>
      </c>
      <c r="P59" s="1559">
        <v>0.76913779210314259</v>
      </c>
      <c r="Q59" s="1559">
        <v>0.67734827499370431</v>
      </c>
      <c r="R59" s="1559">
        <v>0.74706095134744077</v>
      </c>
      <c r="S59" s="1559">
        <v>0.94261030546127733</v>
      </c>
      <c r="T59" s="1559">
        <v>0.99985519837822179</v>
      </c>
      <c r="U59" s="1559">
        <v>1.1292987512007684</v>
      </c>
      <c r="V59" s="1559">
        <v>0.85328890799656065</v>
      </c>
      <c r="W59" s="1559">
        <v>0.69266770670826838</v>
      </c>
      <c r="X59" s="1559">
        <v>0.94292444283384669</v>
      </c>
      <c r="Y59" s="1559">
        <v>0.8366387241872828</v>
      </c>
      <c r="Z59" s="1559">
        <v>0.89941000312877128</v>
      </c>
      <c r="AA59" s="1549"/>
      <c r="AB59" s="1559">
        <v>0.93693808582541604</v>
      </c>
      <c r="AC59" s="1559">
        <v>0.73357651432780335</v>
      </c>
      <c r="AD59" s="1545">
        <v>20.33615714976127</v>
      </c>
      <c r="AE59" s="1677"/>
      <c r="AF59" s="1549"/>
      <c r="AG59" s="1559">
        <v>0.93693808582541604</v>
      </c>
      <c r="AH59" s="1559">
        <v>0.73357651432780335</v>
      </c>
      <c r="AI59" s="1559">
        <v>0.6965138290921884</v>
      </c>
      <c r="AJ59" s="1559">
        <v>0.9598240092491489</v>
      </c>
      <c r="AK59" s="1559">
        <v>0.76953951163237844</v>
      </c>
      <c r="AL59" s="1559">
        <v>0.83378349562868714</v>
      </c>
      <c r="AM59" s="1559">
        <v>1.0975889051466379</v>
      </c>
      <c r="AN59" s="1559">
        <v>1.425437451031601</v>
      </c>
      <c r="AO59" s="2106">
        <v>0.84754577726944114</v>
      </c>
      <c r="AP59" s="2106">
        <v>0.69810870025185479</v>
      </c>
      <c r="AQ59" s="2106">
        <v>0</v>
      </c>
      <c r="AR59" s="2106">
        <v>0</v>
      </c>
      <c r="AS59" s="2106">
        <v>0</v>
      </c>
      <c r="AT59" s="2104">
        <v>0</v>
      </c>
      <c r="AU59" s="2104">
        <v>0</v>
      </c>
      <c r="AV59" s="2104">
        <v>0.73</v>
      </c>
      <c r="AW59" s="1484"/>
      <c r="AY59" s="1484"/>
      <c r="AZ59" s="1484"/>
      <c r="BA59" s="1484"/>
    </row>
    <row r="60" spans="1:94" ht="12.75" customHeight="1" x14ac:dyDescent="0.2">
      <c r="A60" s="1551"/>
      <c r="B60" s="1546" t="s">
        <v>77</v>
      </c>
      <c r="C60" s="1545">
        <v>-14.969203199790185</v>
      </c>
      <c r="D60" s="1559"/>
      <c r="E60" s="1514"/>
      <c r="F60" s="1514">
        <v>8.3541282412932627E-2</v>
      </c>
      <c r="G60" s="1514">
        <v>-0.54534388314059645</v>
      </c>
      <c r="H60" s="1559">
        <v>-1.0165184243964422E-2</v>
      </c>
      <c r="I60" s="1559">
        <v>7.1088543319581088E-2</v>
      </c>
      <c r="J60" s="1559">
        <v>0.23323331441083447</v>
      </c>
      <c r="K60" s="1559">
        <v>0.33757835041289425</v>
      </c>
      <c r="L60" s="1559">
        <v>0.3788488493014423</v>
      </c>
      <c r="M60" s="1559">
        <v>0.11425180709893193</v>
      </c>
      <c r="N60" s="1559">
        <v>-0.23762197325623419</v>
      </c>
      <c r="O60" s="1559">
        <v>0.36030676957868346</v>
      </c>
      <c r="P60" s="1559">
        <v>0.23086220789685738</v>
      </c>
      <c r="Q60" s="1559">
        <v>0.32265172500629563</v>
      </c>
      <c r="R60" s="1559">
        <v>0.25293904865255923</v>
      </c>
      <c r="S60" s="1559">
        <v>5.7389694538722613E-2</v>
      </c>
      <c r="T60" s="1559">
        <v>1.4480162177816391E-4</v>
      </c>
      <c r="U60" s="1559">
        <v>-0.1292987512007685</v>
      </c>
      <c r="V60" s="1559">
        <v>0.14671109200343938</v>
      </c>
      <c r="W60" s="1559">
        <v>0.30733229329173167</v>
      </c>
      <c r="X60" s="1559">
        <v>5.7075557166153291E-2</v>
      </c>
      <c r="Y60" s="1559">
        <v>0.16336127581271723</v>
      </c>
      <c r="Z60" s="1559">
        <v>0.10058999687122872</v>
      </c>
      <c r="AA60" s="1549"/>
      <c r="AB60" s="1559">
        <v>5.3943760760058662E-2</v>
      </c>
      <c r="AC60" s="1559">
        <v>0.26146048893409563</v>
      </c>
      <c r="AD60" s="1545">
        <v>-20.751672817403698</v>
      </c>
      <c r="AE60" s="1677"/>
      <c r="AF60" s="1549"/>
      <c r="AG60" s="1559">
        <v>5.3943760760058662E-2</v>
      </c>
      <c r="AH60" s="1559">
        <v>0.26146048893409563</v>
      </c>
      <c r="AI60" s="1559">
        <v>0.30348617090781166</v>
      </c>
      <c r="AJ60" s="1559">
        <v>4.017599075085105E-2</v>
      </c>
      <c r="AK60" s="1559">
        <v>0.23046048836762162</v>
      </c>
      <c r="AL60" s="1559">
        <v>0.16323121757054518</v>
      </c>
      <c r="AM60" s="1559">
        <v>-9.758890514663783E-2</v>
      </c>
      <c r="AN60" s="1559">
        <v>-0.42543745103160097</v>
      </c>
      <c r="AO60" s="2106">
        <v>0.15245422273055884</v>
      </c>
      <c r="AP60" s="2106">
        <v>0.30189129974814521</v>
      </c>
      <c r="AQ60" s="2106" t="e">
        <v>#REF!</v>
      </c>
      <c r="AR60" s="2106" t="e">
        <v>#REF!</v>
      </c>
      <c r="AS60" s="2106" t="e">
        <v>#REF!</v>
      </c>
      <c r="AT60" s="2104" t="e">
        <v>#REF!</v>
      </c>
      <c r="AU60" s="2104" t="e">
        <v>#REF!</v>
      </c>
      <c r="AV60" s="2104">
        <v>0.27</v>
      </c>
    </row>
    <row r="61" spans="1:94" ht="12.75" customHeight="1" x14ac:dyDescent="0.2">
      <c r="A61" s="1551"/>
      <c r="B61" s="1546"/>
      <c r="C61" s="1560"/>
      <c r="D61" s="1559"/>
      <c r="E61" s="1514"/>
      <c r="F61" s="1514"/>
      <c r="G61" s="1514"/>
      <c r="H61" s="1559"/>
      <c r="I61" s="1559"/>
      <c r="J61" s="1559"/>
      <c r="K61" s="1559"/>
      <c r="L61" s="1559"/>
      <c r="M61" s="1559"/>
      <c r="N61" s="1559"/>
      <c r="O61" s="1559"/>
      <c r="P61" s="1559"/>
      <c r="Q61" s="1559"/>
      <c r="R61" s="1559"/>
      <c r="S61" s="1559"/>
      <c r="T61" s="1559"/>
      <c r="U61" s="1559"/>
      <c r="V61" s="1559"/>
      <c r="W61" s="1559"/>
      <c r="X61" s="1559"/>
      <c r="Y61" s="1559"/>
      <c r="Z61" s="1559"/>
      <c r="AA61" s="1549"/>
      <c r="AB61" s="1559"/>
      <c r="AC61" s="1559"/>
      <c r="AD61" s="1545"/>
      <c r="AE61" s="1677"/>
      <c r="AF61" s="1549"/>
      <c r="AG61" s="1650">
        <v>0</v>
      </c>
      <c r="AH61" s="1650">
        <v>0</v>
      </c>
      <c r="AI61" s="1650"/>
      <c r="AJ61" s="1650"/>
      <c r="AK61" s="1650"/>
      <c r="AL61" s="1650"/>
      <c r="AM61" s="1650"/>
      <c r="AN61" s="1650"/>
      <c r="AO61" s="2106"/>
      <c r="AP61" s="2106"/>
      <c r="AQ61" s="2106"/>
      <c r="AR61" s="2106"/>
      <c r="AS61" s="2106"/>
      <c r="AT61" s="2104"/>
      <c r="AU61" s="2104"/>
      <c r="AV61" s="2104"/>
    </row>
    <row r="62" spans="1:94" ht="12.75" customHeight="1" x14ac:dyDescent="0.2">
      <c r="A62" s="1561" t="s">
        <v>194</v>
      </c>
      <c r="B62" s="1546"/>
      <c r="C62" s="1549"/>
      <c r="D62" s="1549"/>
      <c r="E62" s="1497"/>
      <c r="F62" s="1497"/>
      <c r="G62" s="1497"/>
      <c r="H62" s="1549"/>
      <c r="I62" s="1549"/>
      <c r="J62" s="1549"/>
      <c r="K62" s="1549"/>
      <c r="L62" s="1528"/>
      <c r="M62" s="1549"/>
      <c r="N62" s="1549"/>
      <c r="O62" s="1549"/>
      <c r="P62" s="1549"/>
      <c r="Q62" s="1549"/>
      <c r="R62" s="1549"/>
      <c r="S62" s="1549"/>
      <c r="T62" s="1549"/>
      <c r="U62" s="1549"/>
      <c r="V62" s="1549"/>
      <c r="W62" s="1549"/>
      <c r="X62" s="1549"/>
      <c r="Y62" s="1549"/>
      <c r="Z62" s="1549"/>
      <c r="AA62" s="1549"/>
      <c r="AB62" s="1549"/>
      <c r="AC62" s="1549"/>
      <c r="AD62" s="1590"/>
      <c r="AE62" s="1590"/>
      <c r="AF62" s="1549"/>
      <c r="AG62" s="1549"/>
      <c r="AH62" s="1549"/>
      <c r="AI62" s="1549"/>
      <c r="AJ62" s="1549"/>
      <c r="AK62" s="1549"/>
      <c r="AL62" s="1549"/>
      <c r="AM62" s="1549"/>
      <c r="AN62" s="1549"/>
      <c r="AO62" s="1497"/>
      <c r="AP62" s="1497"/>
      <c r="AQ62" s="1497"/>
      <c r="AR62" s="1497"/>
      <c r="AS62" s="1497"/>
      <c r="AT62" s="1504"/>
      <c r="AU62" s="2104"/>
      <c r="AV62" s="2104"/>
    </row>
    <row r="63" spans="1:94" ht="12.75" customHeight="1" x14ac:dyDescent="0.2">
      <c r="C63" s="3195" t="s">
        <v>671</v>
      </c>
      <c r="D63" s="3196"/>
      <c r="E63" s="1496"/>
      <c r="F63" s="1711"/>
      <c r="G63" s="2111"/>
      <c r="H63" s="1716"/>
      <c r="I63" s="1716"/>
      <c r="J63" s="1717"/>
      <c r="K63" s="1716"/>
      <c r="L63" s="2505"/>
      <c r="M63" s="1716"/>
      <c r="N63" s="1717"/>
      <c r="O63" s="1716"/>
      <c r="P63" s="1716"/>
      <c r="Q63" s="1716"/>
      <c r="R63" s="1717"/>
      <c r="S63" s="1716"/>
      <c r="T63" s="1716"/>
      <c r="U63" s="1716"/>
      <c r="V63" s="1717"/>
      <c r="W63" s="1716"/>
      <c r="X63" s="1716"/>
      <c r="Y63" s="1716"/>
      <c r="Z63" s="1717"/>
      <c r="AA63" s="1589"/>
      <c r="AB63" s="988" t="s">
        <v>660</v>
      </c>
      <c r="AC63" s="988"/>
      <c r="AD63" s="988" t="s">
        <v>563</v>
      </c>
      <c r="AE63" s="989"/>
      <c r="AF63" s="1549"/>
      <c r="AG63" s="1571"/>
      <c r="AH63" s="1571"/>
      <c r="AI63" s="1571"/>
      <c r="AJ63" s="1571"/>
      <c r="AK63" s="1571"/>
      <c r="AL63" s="1571"/>
      <c r="AM63" s="1571"/>
      <c r="AN63" s="1571"/>
      <c r="AO63" s="2062"/>
      <c r="AP63" s="2062"/>
      <c r="AQ63" s="2062"/>
      <c r="AR63" s="2111"/>
      <c r="AS63" s="2112"/>
      <c r="AT63" s="2062"/>
      <c r="AU63" s="2104"/>
      <c r="AV63" s="2104"/>
      <c r="AW63" s="2065"/>
    </row>
    <row r="64" spans="1:94" ht="12.75" customHeight="1" x14ac:dyDescent="0.2">
      <c r="C64" s="3197" t="s">
        <v>38</v>
      </c>
      <c r="D64" s="3198"/>
      <c r="E64" s="1496"/>
      <c r="F64" s="907" t="s">
        <v>670</v>
      </c>
      <c r="G64" s="1948" t="s">
        <v>558</v>
      </c>
      <c r="H64" s="992" t="s">
        <v>559</v>
      </c>
      <c r="I64" s="992" t="s">
        <v>560</v>
      </c>
      <c r="J64" s="993" t="s">
        <v>561</v>
      </c>
      <c r="K64" s="992" t="s">
        <v>508</v>
      </c>
      <c r="L64" s="992" t="s">
        <v>507</v>
      </c>
      <c r="M64" s="992" t="s">
        <v>506</v>
      </c>
      <c r="N64" s="993" t="s">
        <v>505</v>
      </c>
      <c r="O64" s="992" t="s">
        <v>382</v>
      </c>
      <c r="P64" s="992" t="s">
        <v>383</v>
      </c>
      <c r="Q64" s="992" t="s">
        <v>384</v>
      </c>
      <c r="R64" s="993" t="s">
        <v>385</v>
      </c>
      <c r="S64" s="992" t="s">
        <v>368</v>
      </c>
      <c r="T64" s="992" t="s">
        <v>367</v>
      </c>
      <c r="U64" s="992" t="s">
        <v>366</v>
      </c>
      <c r="V64" s="993" t="s">
        <v>364</v>
      </c>
      <c r="W64" s="992" t="s">
        <v>348</v>
      </c>
      <c r="X64" s="992" t="s">
        <v>349</v>
      </c>
      <c r="Y64" s="992" t="s">
        <v>350</v>
      </c>
      <c r="Z64" s="993" t="s">
        <v>351</v>
      </c>
      <c r="AA64" s="1589"/>
      <c r="AB64" s="992" t="s">
        <v>558</v>
      </c>
      <c r="AC64" s="992" t="s">
        <v>508</v>
      </c>
      <c r="AD64" s="3194" t="s">
        <v>38</v>
      </c>
      <c r="AE64" s="3076"/>
      <c r="AF64" s="1549"/>
      <c r="AG64" s="1808" t="s">
        <v>661</v>
      </c>
      <c r="AH64" s="994" t="s">
        <v>538</v>
      </c>
      <c r="AI64" s="994" t="s">
        <v>502</v>
      </c>
      <c r="AJ64" s="994" t="s">
        <v>379</v>
      </c>
      <c r="AK64" s="994" t="s">
        <v>360</v>
      </c>
      <c r="AL64" s="994" t="s">
        <v>317</v>
      </c>
      <c r="AM64" s="1574" t="s">
        <v>275</v>
      </c>
      <c r="AN64" s="1574" t="s">
        <v>227</v>
      </c>
      <c r="AO64" s="2066" t="s">
        <v>123</v>
      </c>
      <c r="AP64" s="2066" t="s">
        <v>122</v>
      </c>
      <c r="AQ64" s="2066" t="s">
        <v>42</v>
      </c>
      <c r="AR64" s="2066" t="s">
        <v>39</v>
      </c>
      <c r="AS64" s="2067" t="s">
        <v>40</v>
      </c>
      <c r="AT64" s="2067" t="s">
        <v>142</v>
      </c>
      <c r="AU64" s="2104"/>
      <c r="AV64" s="2104"/>
      <c r="AW64" s="2065"/>
    </row>
    <row r="65" spans="1:94" ht="12.75" customHeight="1" x14ac:dyDescent="0.2">
      <c r="A65" s="1551"/>
      <c r="B65" s="946" t="s">
        <v>607</v>
      </c>
      <c r="C65" s="1804">
        <v>282</v>
      </c>
      <c r="D65" s="1631">
        <v>8.3580320094842911E-2</v>
      </c>
      <c r="E65" s="2874"/>
      <c r="F65" s="1159">
        <v>3656</v>
      </c>
      <c r="G65" s="2035">
        <v>2682</v>
      </c>
      <c r="H65" s="1269">
        <v>2919</v>
      </c>
      <c r="I65" s="1269">
        <v>4034</v>
      </c>
      <c r="J65" s="1245">
        <v>3374</v>
      </c>
      <c r="K65" s="1269">
        <v>3947</v>
      </c>
      <c r="L65" s="1269">
        <v>4327</v>
      </c>
      <c r="M65" s="1269">
        <v>3226</v>
      </c>
      <c r="N65" s="1245">
        <v>2745</v>
      </c>
      <c r="O65" s="1269">
        <v>3277</v>
      </c>
      <c r="P65" s="1269">
        <v>2948</v>
      </c>
      <c r="Q65" s="1269">
        <v>3585</v>
      </c>
      <c r="R65" s="1245">
        <v>3121</v>
      </c>
      <c r="S65" s="1657">
        <v>2853</v>
      </c>
      <c r="T65" s="1269">
        <v>2847</v>
      </c>
      <c r="U65" s="1269">
        <v>3109</v>
      </c>
      <c r="V65" s="1245">
        <v>2974</v>
      </c>
      <c r="W65" s="1657">
        <v>2848</v>
      </c>
      <c r="X65" s="1269">
        <v>2930</v>
      </c>
      <c r="Y65" s="1269">
        <v>7521</v>
      </c>
      <c r="Z65" s="1245">
        <v>8179</v>
      </c>
      <c r="AA65" s="1249"/>
      <c r="AB65" s="1205">
        <v>13009</v>
      </c>
      <c r="AC65" s="1205">
        <v>14245</v>
      </c>
      <c r="AD65" s="1668">
        <v>-1236</v>
      </c>
      <c r="AE65" s="1669">
        <v>-8.6767286767286761E-2</v>
      </c>
      <c r="AF65" s="1549"/>
      <c r="AG65" s="1940">
        <v>13009</v>
      </c>
      <c r="AH65" s="2898">
        <v>14245</v>
      </c>
      <c r="AI65" s="1940">
        <v>12931</v>
      </c>
      <c r="AJ65" s="1940">
        <v>11783</v>
      </c>
      <c r="AK65" s="1249">
        <v>11672</v>
      </c>
      <c r="AL65" s="1249">
        <v>8416</v>
      </c>
      <c r="AM65" s="1249">
        <v>7507</v>
      </c>
      <c r="AN65" s="1249">
        <v>1283</v>
      </c>
      <c r="AO65" s="2143">
        <v>17589</v>
      </c>
      <c r="AP65" s="2010">
        <v>11461</v>
      </c>
      <c r="AQ65" s="2010">
        <v>10891</v>
      </c>
      <c r="AR65" s="2003">
        <v>14557</v>
      </c>
      <c r="AS65" s="2115">
        <v>45773</v>
      </c>
      <c r="AT65" s="2095">
        <v>41570</v>
      </c>
      <c r="AU65" s="2104"/>
      <c r="AV65" s="2104"/>
      <c r="AW65" s="2065"/>
      <c r="CE65" s="1312">
        <v>1379</v>
      </c>
      <c r="CF65" s="2430">
        <v>0.46777476255088196</v>
      </c>
      <c r="CG65" s="2429">
        <v>-1097</v>
      </c>
      <c r="CH65" s="2430">
        <v>-0.38419444245603906</v>
      </c>
      <c r="CI65" s="2430"/>
      <c r="CJ65" s="1312">
        <v>10298</v>
      </c>
      <c r="CK65" s="2432">
        <v>2711</v>
      </c>
      <c r="CL65" s="1312"/>
      <c r="CM65" s="2432">
        <v>-1236</v>
      </c>
      <c r="CN65" s="2431">
        <v>-8.6767286767286761E-2</v>
      </c>
      <c r="CO65" s="1146">
        <v>0</v>
      </c>
      <c r="CP65" s="1146">
        <v>0</v>
      </c>
    </row>
    <row r="66" spans="1:94" ht="12.75" customHeight="1" x14ac:dyDescent="0.2">
      <c r="A66" s="1551"/>
      <c r="B66" s="946" t="s">
        <v>608</v>
      </c>
      <c r="C66" s="1533">
        <v>-3362</v>
      </c>
      <c r="D66" s="1536">
        <v>-0.38484432234432236</v>
      </c>
      <c r="E66" s="2874"/>
      <c r="F66" s="1159">
        <v>5374</v>
      </c>
      <c r="G66" s="2035">
        <v>284</v>
      </c>
      <c r="H66" s="1269">
        <v>3303</v>
      </c>
      <c r="I66" s="1269">
        <v>5210</v>
      </c>
      <c r="J66" s="1245">
        <v>8736</v>
      </c>
      <c r="K66" s="1269">
        <v>15989</v>
      </c>
      <c r="L66" s="1269">
        <v>17625</v>
      </c>
      <c r="M66" s="1269">
        <v>5586</v>
      </c>
      <c r="N66" s="1245">
        <v>1802</v>
      </c>
      <c r="O66" s="1269">
        <v>16108</v>
      </c>
      <c r="P66" s="1269">
        <v>7675</v>
      </c>
      <c r="Q66" s="1269">
        <v>8698</v>
      </c>
      <c r="R66" s="1245">
        <v>7608</v>
      </c>
      <c r="S66" s="1657">
        <v>6518</v>
      </c>
      <c r="T66" s="1269">
        <v>2820</v>
      </c>
      <c r="U66" s="1269">
        <v>1905</v>
      </c>
      <c r="V66" s="1245">
        <v>5914</v>
      </c>
      <c r="W66" s="1657">
        <v>9993</v>
      </c>
      <c r="X66" s="1269">
        <v>2435</v>
      </c>
      <c r="Y66" s="1269">
        <v>9010</v>
      </c>
      <c r="Z66" s="1245">
        <v>20059</v>
      </c>
      <c r="AA66" s="1249"/>
      <c r="AB66" s="1205">
        <v>17533</v>
      </c>
      <c r="AC66" s="1205">
        <v>41002</v>
      </c>
      <c r="AD66" s="1668">
        <v>-23469</v>
      </c>
      <c r="AE66" s="1536">
        <v>-0.57238671284327591</v>
      </c>
      <c r="AF66" s="1549"/>
      <c r="AG66" s="1665">
        <v>17533</v>
      </c>
      <c r="AH66" s="1658">
        <v>41002</v>
      </c>
      <c r="AI66" s="1665">
        <v>40089</v>
      </c>
      <c r="AJ66" s="1665">
        <v>17157</v>
      </c>
      <c r="AK66" s="1249">
        <v>27332</v>
      </c>
      <c r="AL66" s="1249">
        <v>16667</v>
      </c>
      <c r="AM66" s="1249">
        <v>5143</v>
      </c>
      <c r="AN66" s="1249">
        <v>1719</v>
      </c>
      <c r="AO66" s="2144">
        <v>34572</v>
      </c>
      <c r="AP66" s="2010">
        <v>35794</v>
      </c>
      <c r="AQ66" s="2010">
        <v>26736</v>
      </c>
      <c r="AR66" s="2003">
        <v>80789</v>
      </c>
      <c r="AS66" s="2117">
        <v>128763</v>
      </c>
      <c r="AT66" s="2084">
        <v>99263</v>
      </c>
      <c r="AU66" s="2104"/>
      <c r="AV66" s="2104"/>
      <c r="AW66" s="2065"/>
      <c r="CE66" s="1312">
        <v>9950</v>
      </c>
      <c r="CF66" s="2430">
        <v>1.2964169381107491</v>
      </c>
      <c r="CG66" s="2429">
        <v>-13312</v>
      </c>
      <c r="CH66" s="2430">
        <v>-1.6812612604550714</v>
      </c>
      <c r="CI66" s="2430"/>
      <c r="CJ66" s="1312">
        <v>25013</v>
      </c>
      <c r="CK66" s="2432">
        <v>-7480</v>
      </c>
      <c r="CL66" s="1312"/>
      <c r="CM66" s="2432">
        <v>-23469</v>
      </c>
      <c r="CN66" s="2431">
        <v>-0.57238671284327591</v>
      </c>
      <c r="CO66" s="1146">
        <v>0</v>
      </c>
      <c r="CP66" s="1146">
        <v>0</v>
      </c>
    </row>
    <row r="67" spans="1:94" ht="12.75" customHeight="1" x14ac:dyDescent="0.2">
      <c r="A67" s="1551"/>
      <c r="B67" s="946" t="s">
        <v>609</v>
      </c>
      <c r="C67" s="1533">
        <v>-31</v>
      </c>
      <c r="D67" s="1536">
        <v>-0.16145833333333334</v>
      </c>
      <c r="E67" s="2874"/>
      <c r="F67" s="1159">
        <v>161</v>
      </c>
      <c r="G67" s="2035">
        <v>256</v>
      </c>
      <c r="H67" s="1269">
        <v>62</v>
      </c>
      <c r="I67" s="1269">
        <v>155</v>
      </c>
      <c r="J67" s="1245">
        <v>192</v>
      </c>
      <c r="K67" s="1269">
        <v>127</v>
      </c>
      <c r="L67" s="1269">
        <v>142</v>
      </c>
      <c r="M67" s="1269">
        <v>388</v>
      </c>
      <c r="N67" s="1245">
        <v>951</v>
      </c>
      <c r="O67" s="1269">
        <v>900</v>
      </c>
      <c r="P67" s="1269">
        <v>1727</v>
      </c>
      <c r="Q67" s="1269">
        <v>3538</v>
      </c>
      <c r="R67" s="1245">
        <v>288</v>
      </c>
      <c r="S67" s="1657">
        <v>341</v>
      </c>
      <c r="T67" s="1269">
        <v>1145</v>
      </c>
      <c r="U67" s="1269">
        <v>343</v>
      </c>
      <c r="V67" s="1245">
        <v>349</v>
      </c>
      <c r="W67" s="1657">
        <v>403</v>
      </c>
      <c r="X67" s="1269">
        <v>831</v>
      </c>
      <c r="Y67" s="1269">
        <v>25922</v>
      </c>
      <c r="Z67" s="1245">
        <v>10615</v>
      </c>
      <c r="AA67" s="1249"/>
      <c r="AB67" s="1205">
        <v>665</v>
      </c>
      <c r="AC67" s="1205">
        <v>1608</v>
      </c>
      <c r="AD67" s="1688">
        <v>-943</v>
      </c>
      <c r="AE67" s="1536">
        <v>-0.58644278606965172</v>
      </c>
      <c r="AF67" s="1549"/>
      <c r="AG67" s="1665">
        <v>665</v>
      </c>
      <c r="AH67" s="1658">
        <v>1608</v>
      </c>
      <c r="AI67" s="1665">
        <v>6453</v>
      </c>
      <c r="AJ67" s="1665">
        <v>2178</v>
      </c>
      <c r="AK67" s="1249">
        <v>1966</v>
      </c>
      <c r="AL67" s="1249">
        <v>1692</v>
      </c>
      <c r="AM67" s="1249">
        <v>2152</v>
      </c>
      <c r="AN67" s="1249">
        <v>399</v>
      </c>
      <c r="AO67" s="2144">
        <v>12248</v>
      </c>
      <c r="AP67" s="2010">
        <v>11757</v>
      </c>
      <c r="AQ67" s="2010">
        <v>21373</v>
      </c>
      <c r="AR67" s="2003">
        <v>11914</v>
      </c>
      <c r="AS67" s="2125">
        <v>12713</v>
      </c>
      <c r="AT67" s="2084">
        <v>4636</v>
      </c>
      <c r="AU67" s="2104"/>
      <c r="AV67" s="2104"/>
      <c r="AW67" s="2065"/>
      <c r="CE67" s="1312">
        <v>-1585</v>
      </c>
      <c r="CF67" s="2430">
        <v>-0.91777649102489867</v>
      </c>
      <c r="CG67" s="2429">
        <v>1554</v>
      </c>
      <c r="CH67" s="2430">
        <v>0.7563181576915653</v>
      </c>
      <c r="CI67" s="2430"/>
      <c r="CJ67" s="1312">
        <v>1481</v>
      </c>
      <c r="CK67" s="2432">
        <v>-816</v>
      </c>
      <c r="CL67" s="1312"/>
      <c r="CM67" s="2432">
        <v>-943</v>
      </c>
      <c r="CN67" s="2431">
        <v>-0.58644278606965172</v>
      </c>
      <c r="CO67" s="1146">
        <v>0</v>
      </c>
      <c r="CP67" s="1146">
        <v>0</v>
      </c>
    </row>
    <row r="68" spans="1:94" ht="12.75" customHeight="1" x14ac:dyDescent="0.2">
      <c r="A68" s="1551"/>
      <c r="B68" s="946" t="s">
        <v>610</v>
      </c>
      <c r="C68" s="1533">
        <v>0</v>
      </c>
      <c r="D68" s="1536">
        <v>0</v>
      </c>
      <c r="E68" s="2874"/>
      <c r="F68" s="1159">
        <v>0</v>
      </c>
      <c r="G68" s="2035">
        <v>0</v>
      </c>
      <c r="H68" s="1269">
        <v>0</v>
      </c>
      <c r="I68" s="1269">
        <v>0</v>
      </c>
      <c r="J68" s="1245">
        <v>0</v>
      </c>
      <c r="K68" s="1269">
        <v>0</v>
      </c>
      <c r="L68" s="1269">
        <v>0</v>
      </c>
      <c r="M68" s="1269">
        <v>0</v>
      </c>
      <c r="N68" s="1245">
        <v>0</v>
      </c>
      <c r="O68" s="1269">
        <v>0</v>
      </c>
      <c r="P68" s="1269">
        <v>0</v>
      </c>
      <c r="Q68" s="1269">
        <v>0</v>
      </c>
      <c r="R68" s="1245">
        <v>0</v>
      </c>
      <c r="S68" s="1077">
        <v>0</v>
      </c>
      <c r="T68" s="1269">
        <v>0</v>
      </c>
      <c r="U68" s="1269">
        <v>0</v>
      </c>
      <c r="V68" s="1245">
        <v>0</v>
      </c>
      <c r="W68" s="1657">
        <v>0</v>
      </c>
      <c r="X68" s="1269">
        <v>0</v>
      </c>
      <c r="Y68" s="1269">
        <v>6498</v>
      </c>
      <c r="Z68" s="1245">
        <v>6041</v>
      </c>
      <c r="AA68" s="1249"/>
      <c r="AB68" s="1205">
        <v>0</v>
      </c>
      <c r="AC68" s="1205">
        <v>0</v>
      </c>
      <c r="AD68" s="1688">
        <v>0</v>
      </c>
      <c r="AE68" s="1536">
        <v>0</v>
      </c>
      <c r="AF68" s="1549"/>
      <c r="AG68" s="1775">
        <v>0</v>
      </c>
      <c r="AH68" s="1248">
        <v>0</v>
      </c>
      <c r="AI68" s="1249">
        <v>0</v>
      </c>
      <c r="AJ68" s="1249">
        <v>0</v>
      </c>
      <c r="AK68" s="1249">
        <v>0</v>
      </c>
      <c r="AL68" s="1249">
        <v>0</v>
      </c>
      <c r="AM68" s="1249">
        <v>0</v>
      </c>
      <c r="AN68" s="1249">
        <v>0</v>
      </c>
      <c r="AO68" s="2144">
        <v>28332</v>
      </c>
      <c r="AP68" s="2010">
        <v>23190</v>
      </c>
      <c r="AQ68" s="2010">
        <v>9476</v>
      </c>
      <c r="AR68" s="2003">
        <v>4419</v>
      </c>
      <c r="AS68" s="2117">
        <v>-524</v>
      </c>
      <c r="AT68" s="2084">
        <v>4647</v>
      </c>
      <c r="AU68" s="2104"/>
      <c r="AV68" s="2104"/>
      <c r="AW68" s="2065"/>
      <c r="CE68" s="1312">
        <v>0</v>
      </c>
      <c r="CF68" s="2430" t="e">
        <v>#DIV/0!</v>
      </c>
      <c r="CG68" s="2429">
        <v>0</v>
      </c>
      <c r="CH68" s="2430" t="e">
        <v>#DIV/0!</v>
      </c>
      <c r="CI68" s="2430"/>
      <c r="CJ68" s="1312">
        <v>0</v>
      </c>
      <c r="CK68" s="2432">
        <v>0</v>
      </c>
      <c r="CL68" s="1312"/>
      <c r="CM68" s="2432">
        <v>0</v>
      </c>
      <c r="CN68" s="2431" t="e">
        <v>#DIV/0!</v>
      </c>
      <c r="CO68" s="1146">
        <v>0</v>
      </c>
      <c r="CP68" s="1146" t="e">
        <v>#DIV/0!</v>
      </c>
    </row>
    <row r="69" spans="1:94" ht="12.75" customHeight="1" x14ac:dyDescent="0.2">
      <c r="A69" s="1551"/>
      <c r="B69" s="946" t="s">
        <v>611</v>
      </c>
      <c r="C69" s="1533">
        <v>-5</v>
      </c>
      <c r="D69" s="1536">
        <v>-0.14705882352941177</v>
      </c>
      <c r="E69" s="2874"/>
      <c r="F69" s="1159">
        <v>29</v>
      </c>
      <c r="G69" s="2035">
        <v>65</v>
      </c>
      <c r="H69" s="1269">
        <v>20</v>
      </c>
      <c r="I69" s="1269">
        <v>18</v>
      </c>
      <c r="J69" s="1245">
        <v>34</v>
      </c>
      <c r="K69" s="1269">
        <v>33</v>
      </c>
      <c r="L69" s="1269">
        <v>30</v>
      </c>
      <c r="M69" s="1269">
        <v>56</v>
      </c>
      <c r="N69" s="1245">
        <v>41</v>
      </c>
      <c r="O69" s="1269">
        <v>50</v>
      </c>
      <c r="P69" s="1269">
        <v>64</v>
      </c>
      <c r="Q69" s="1269">
        <v>45</v>
      </c>
      <c r="R69" s="1245">
        <v>43</v>
      </c>
      <c r="S69" s="1657">
        <v>99</v>
      </c>
      <c r="T69" s="1269">
        <v>39</v>
      </c>
      <c r="U69" s="1269">
        <v>43</v>
      </c>
      <c r="V69" s="1245">
        <v>71</v>
      </c>
      <c r="W69" s="1269">
        <v>144</v>
      </c>
      <c r="X69" s="1269">
        <v>-710</v>
      </c>
      <c r="Y69" s="1269">
        <v>-51</v>
      </c>
      <c r="Z69" s="1245">
        <v>9</v>
      </c>
      <c r="AA69" s="1249"/>
      <c r="AB69" s="1205">
        <v>137</v>
      </c>
      <c r="AC69" s="1205">
        <v>160</v>
      </c>
      <c r="AD69" s="1688">
        <v>-23</v>
      </c>
      <c r="AE69" s="1536">
        <v>-0.14374999999999999</v>
      </c>
      <c r="AF69" s="1549"/>
      <c r="AG69" s="1665">
        <v>137</v>
      </c>
      <c r="AH69" s="1248">
        <v>160</v>
      </c>
      <c r="AI69" s="1249">
        <v>202</v>
      </c>
      <c r="AJ69" s="1249">
        <v>252</v>
      </c>
      <c r="AK69" s="1249">
        <v>277</v>
      </c>
      <c r="AL69" s="1249">
        <v>1512</v>
      </c>
      <c r="AM69" s="1249">
        <v>847</v>
      </c>
      <c r="AN69" s="1249">
        <v>372</v>
      </c>
      <c r="AO69" s="2144">
        <v>25</v>
      </c>
      <c r="AP69" s="2010">
        <v>94</v>
      </c>
      <c r="AQ69" s="2010">
        <v>2226</v>
      </c>
      <c r="AR69" s="2003">
        <v>3339</v>
      </c>
      <c r="AS69" s="2117">
        <v>543</v>
      </c>
      <c r="AT69" s="2084">
        <v>236</v>
      </c>
      <c r="AU69" s="2104"/>
      <c r="AV69" s="2104"/>
      <c r="AW69" s="2065"/>
      <c r="CE69" s="1312">
        <v>-34</v>
      </c>
      <c r="CF69" s="2430">
        <v>-0.53125</v>
      </c>
      <c r="CG69" s="2429">
        <v>29</v>
      </c>
      <c r="CH69" s="2430">
        <v>0.3841911764705882</v>
      </c>
      <c r="CI69" s="2430"/>
      <c r="CJ69" s="1312">
        <v>127</v>
      </c>
      <c r="CK69" s="2432">
        <v>10</v>
      </c>
      <c r="CL69" s="1312"/>
      <c r="CM69" s="2432">
        <v>-23</v>
      </c>
      <c r="CN69" s="2431">
        <v>-0.14374999999999999</v>
      </c>
      <c r="CO69" s="1146">
        <v>0</v>
      </c>
      <c r="CP69" s="1146">
        <v>0</v>
      </c>
    </row>
    <row r="70" spans="1:94" ht="12.75" customHeight="1" x14ac:dyDescent="0.2">
      <c r="A70" s="1552"/>
      <c r="B70" s="946" t="s">
        <v>612</v>
      </c>
      <c r="C70" s="1533">
        <v>2</v>
      </c>
      <c r="D70" s="1538">
        <v>0.4</v>
      </c>
      <c r="E70" s="2875"/>
      <c r="F70" s="1159">
        <v>-3</v>
      </c>
      <c r="G70" s="2035">
        <v>-1</v>
      </c>
      <c r="H70" s="1304">
        <v>-8</v>
      </c>
      <c r="I70" s="1304">
        <v>36</v>
      </c>
      <c r="J70" s="1253">
        <v>-5</v>
      </c>
      <c r="K70" s="1304">
        <v>6</v>
      </c>
      <c r="L70" s="1304">
        <v>-7</v>
      </c>
      <c r="M70" s="1304">
        <v>13</v>
      </c>
      <c r="N70" s="1253">
        <v>-5</v>
      </c>
      <c r="O70" s="1304">
        <v>6</v>
      </c>
      <c r="P70" s="1304">
        <v>-4</v>
      </c>
      <c r="Q70" s="1304">
        <v>18</v>
      </c>
      <c r="R70" s="1253">
        <v>-2</v>
      </c>
      <c r="S70" s="1269">
        <v>-88</v>
      </c>
      <c r="T70" s="1304">
        <v>55</v>
      </c>
      <c r="U70" s="1304">
        <v>-195</v>
      </c>
      <c r="V70" s="1253">
        <v>-4</v>
      </c>
      <c r="W70" s="1657">
        <v>73</v>
      </c>
      <c r="X70" s="1304">
        <v>33</v>
      </c>
      <c r="Y70" s="1304">
        <v>10</v>
      </c>
      <c r="Z70" s="1253">
        <v>-157</v>
      </c>
      <c r="AA70" s="1249"/>
      <c r="AB70" s="1205">
        <v>22</v>
      </c>
      <c r="AC70" s="1205">
        <v>7</v>
      </c>
      <c r="AD70" s="1688">
        <v>15</v>
      </c>
      <c r="AE70" s="1536">
        <v>2.1428571428571428</v>
      </c>
      <c r="AF70" s="1551"/>
      <c r="AG70" s="1675">
        <v>22</v>
      </c>
      <c r="AH70" s="1248">
        <v>7</v>
      </c>
      <c r="AI70" s="1249">
        <v>18</v>
      </c>
      <c r="AJ70" s="1249">
        <v>-232</v>
      </c>
      <c r="AK70" s="1249">
        <v>361</v>
      </c>
      <c r="AL70" s="1249">
        <v>-149</v>
      </c>
      <c r="AM70" s="1249">
        <v>70</v>
      </c>
      <c r="AN70" s="1249">
        <v>56</v>
      </c>
      <c r="AO70" s="2145">
        <v>-89</v>
      </c>
      <c r="AP70" s="2010">
        <v>158</v>
      </c>
      <c r="AQ70" s="2010">
        <v>2224</v>
      </c>
      <c r="AR70" s="2003">
        <v>3314</v>
      </c>
      <c r="AS70" s="2119">
        <v>294</v>
      </c>
      <c r="AT70" s="2120">
        <v>118</v>
      </c>
      <c r="AU70" s="2104"/>
      <c r="AV70" s="2104"/>
      <c r="AW70" s="2065"/>
      <c r="CE70" s="1312">
        <v>-3</v>
      </c>
      <c r="CF70" s="2430">
        <v>0.75</v>
      </c>
      <c r="CG70" s="2429">
        <v>5</v>
      </c>
      <c r="CH70" s="2430">
        <v>-0.35</v>
      </c>
      <c r="CI70" s="2430"/>
      <c r="CJ70" s="1312">
        <v>1</v>
      </c>
      <c r="CK70" s="2432">
        <v>21</v>
      </c>
      <c r="CL70" s="1312"/>
      <c r="CM70" s="2432">
        <v>15</v>
      </c>
      <c r="CN70" s="2431">
        <v>2.1428571428571428</v>
      </c>
      <c r="CO70" s="1146">
        <v>0</v>
      </c>
      <c r="CP70" s="1146">
        <v>0</v>
      </c>
    </row>
    <row r="71" spans="1:94" ht="12.75" customHeight="1" x14ac:dyDescent="0.2">
      <c r="A71" s="1552"/>
      <c r="B71" s="946"/>
      <c r="C71" s="1534">
        <v>-3114</v>
      </c>
      <c r="D71" s="1538">
        <v>-0.25253426323899114</v>
      </c>
      <c r="E71" s="1536"/>
      <c r="F71" s="1174">
        <v>9217</v>
      </c>
      <c r="G71" s="2983">
        <v>3286</v>
      </c>
      <c r="H71" s="1281">
        <v>6296</v>
      </c>
      <c r="I71" s="1281">
        <v>9453</v>
      </c>
      <c r="J71" s="1782">
        <v>12331</v>
      </c>
      <c r="K71" s="1281">
        <v>20102</v>
      </c>
      <c r="L71" s="1276">
        <v>22117</v>
      </c>
      <c r="M71" s="1281">
        <v>9269</v>
      </c>
      <c r="N71" s="1782">
        <v>5534</v>
      </c>
      <c r="O71" s="1281">
        <v>20341</v>
      </c>
      <c r="P71" s="1281">
        <v>12410</v>
      </c>
      <c r="Q71" s="1281">
        <v>15884</v>
      </c>
      <c r="R71" s="1782">
        <v>11058</v>
      </c>
      <c r="S71" s="1281">
        <v>9723</v>
      </c>
      <c r="T71" s="1281">
        <v>6906</v>
      </c>
      <c r="U71" s="1281">
        <v>5205</v>
      </c>
      <c r="V71" s="1782">
        <v>9304</v>
      </c>
      <c r="W71" s="1695">
        <v>13461</v>
      </c>
      <c r="X71" s="1281">
        <v>5519</v>
      </c>
      <c r="Y71" s="1281">
        <v>48910</v>
      </c>
      <c r="Z71" s="1782">
        <v>44746</v>
      </c>
      <c r="AA71" s="1785"/>
      <c r="AB71" s="1281">
        <v>31366</v>
      </c>
      <c r="AC71" s="1281">
        <v>57022</v>
      </c>
      <c r="AD71" s="1786">
        <v>-25656</v>
      </c>
      <c r="AE71" s="1700">
        <v>-0.4499316053453053</v>
      </c>
      <c r="AG71" s="1813">
        <v>31366</v>
      </c>
      <c r="AH71" s="1782">
        <v>57022</v>
      </c>
      <c r="AI71" s="1469">
        <v>59693</v>
      </c>
      <c r="AJ71" s="1469">
        <v>31138</v>
      </c>
      <c r="AK71" s="1469">
        <v>41608</v>
      </c>
      <c r="AL71" s="1469">
        <v>28138</v>
      </c>
      <c r="AM71" s="1469">
        <v>15719</v>
      </c>
      <c r="AN71" s="1469">
        <v>3829</v>
      </c>
      <c r="AO71" s="2058">
        <v>92677</v>
      </c>
      <c r="AP71" s="2058">
        <v>82454</v>
      </c>
      <c r="AQ71" s="1970">
        <v>72926</v>
      </c>
      <c r="AR71" s="2127">
        <v>118332</v>
      </c>
      <c r="AS71" s="2127">
        <v>187562</v>
      </c>
      <c r="AT71" s="2127">
        <v>150470</v>
      </c>
      <c r="AU71" s="2104"/>
      <c r="AV71" s="2104"/>
    </row>
    <row r="72" spans="1:94" ht="12.75" customHeight="1" x14ac:dyDescent="0.2">
      <c r="A72" s="1552"/>
      <c r="B72" s="946"/>
      <c r="C72" s="1558"/>
      <c r="D72" s="1559"/>
      <c r="F72" s="1160"/>
      <c r="G72" s="1160"/>
      <c r="H72" s="1246"/>
      <c r="I72" s="1246"/>
      <c r="J72" s="1246"/>
      <c r="K72" s="1246"/>
      <c r="L72" s="1269"/>
      <c r="M72" s="1246"/>
      <c r="N72" s="1246"/>
      <c r="O72" s="1246"/>
      <c r="P72" s="1246"/>
      <c r="Q72" s="1246"/>
      <c r="R72" s="1246"/>
      <c r="S72" s="1246"/>
      <c r="T72" s="1246"/>
      <c r="U72" s="1246"/>
      <c r="V72" s="1246"/>
      <c r="W72" s="1703"/>
      <c r="X72" s="1246"/>
      <c r="Y72" s="1246"/>
      <c r="Z72" s="1246"/>
      <c r="AA72" s="2203"/>
      <c r="AB72" s="1246"/>
      <c r="AC72" s="1246"/>
      <c r="AD72" s="1688"/>
      <c r="AE72" s="1677"/>
      <c r="AH72" s="1246"/>
      <c r="AI72" s="1246"/>
      <c r="AJ72" s="1246"/>
      <c r="AK72" s="1246"/>
      <c r="AL72" s="1246"/>
      <c r="AM72" s="1246"/>
      <c r="AN72" s="1246"/>
      <c r="AO72" s="1160"/>
      <c r="AP72" s="1160"/>
      <c r="AQ72" s="1160"/>
      <c r="AR72" s="2130"/>
      <c r="AS72" s="2130"/>
      <c r="AT72" s="2130"/>
      <c r="AU72" s="2104"/>
      <c r="AV72" s="2104"/>
    </row>
    <row r="73" spans="1:94" x14ac:dyDescent="0.2">
      <c r="S73" s="1563"/>
      <c r="T73" s="1563"/>
      <c r="U73" s="1563"/>
      <c r="V73" s="1563"/>
      <c r="W73" s="1563"/>
      <c r="X73" s="1563"/>
      <c r="Y73" s="1563"/>
      <c r="Z73" s="1563"/>
      <c r="AA73" s="1563"/>
      <c r="AB73" s="1563"/>
      <c r="AC73" s="1563"/>
      <c r="AD73" s="1799"/>
      <c r="AE73" s="1710"/>
      <c r="AF73" s="1563"/>
      <c r="AG73" s="1563"/>
      <c r="AH73" s="1563"/>
      <c r="AI73" s="1563"/>
      <c r="AJ73" s="1563"/>
      <c r="AK73" s="1563"/>
      <c r="AL73" s="1563"/>
      <c r="AM73" s="1563"/>
      <c r="AN73" s="1563"/>
      <c r="AO73" s="2060"/>
      <c r="AP73" s="2060"/>
      <c r="AQ73" s="2060"/>
      <c r="AR73" s="2060"/>
      <c r="AS73" s="2060"/>
      <c r="AT73" s="2060"/>
      <c r="AU73" s="2060" t="e">
        <v>#REF!</v>
      </c>
      <c r="AV73" s="2060" t="e">
        <v>#REF!</v>
      </c>
      <c r="AW73" s="2060" t="e">
        <v>#REF!</v>
      </c>
    </row>
    <row r="74" spans="1:94" x14ac:dyDescent="0.2">
      <c r="A74" s="946" t="s">
        <v>357</v>
      </c>
      <c r="S74" s="1563"/>
      <c r="T74" s="1563"/>
      <c r="U74" s="1563"/>
      <c r="V74" s="1563"/>
      <c r="W74" s="1563"/>
      <c r="X74" s="1563"/>
      <c r="Y74" s="1563"/>
      <c r="Z74" s="1563"/>
      <c r="AA74" s="1563"/>
      <c r="AB74" s="1563"/>
      <c r="AC74" s="1563"/>
      <c r="AD74" s="1799"/>
      <c r="AE74" s="1710"/>
      <c r="AF74" s="1563"/>
      <c r="AG74" s="1563"/>
      <c r="AH74" s="1563"/>
      <c r="AI74" s="1563"/>
      <c r="AJ74" s="1563"/>
      <c r="AK74" s="1563"/>
      <c r="AL74" s="1563"/>
      <c r="AM74" s="1563"/>
      <c r="AN74" s="1563"/>
      <c r="AO74" s="2060"/>
      <c r="AP74" s="2060"/>
      <c r="AQ74" s="2060"/>
      <c r="AR74" s="2060"/>
      <c r="AS74" s="2132"/>
      <c r="AT74" s="2132"/>
    </row>
    <row r="75" spans="1:94" x14ac:dyDescent="0.2">
      <c r="A75" s="971" t="s">
        <v>28</v>
      </c>
      <c r="AB75" s="1523"/>
      <c r="AC75" s="1523"/>
      <c r="AR75" s="2106"/>
      <c r="AS75" s="2106"/>
    </row>
    <row r="76" spans="1:94" x14ac:dyDescent="0.2">
      <c r="A76" s="941"/>
      <c r="V76" s="1563"/>
      <c r="Z76" s="1563"/>
      <c r="AB76" s="1523"/>
      <c r="AC76" s="1523"/>
      <c r="AR76" s="2106"/>
      <c r="AS76" s="2106"/>
    </row>
    <row r="77" spans="1:94" x14ac:dyDescent="0.2">
      <c r="A77" s="946" t="s">
        <v>709</v>
      </c>
      <c r="AB77" s="1523"/>
      <c r="AC77" s="1523"/>
      <c r="AR77" s="2106"/>
      <c r="AS77" s="2106"/>
    </row>
    <row r="78" spans="1:94" x14ac:dyDescent="0.2">
      <c r="AB78" s="1523"/>
      <c r="AC78" s="1523"/>
      <c r="AR78" s="2133"/>
      <c r="AS78" s="2133"/>
    </row>
    <row r="79" spans="1:94" x14ac:dyDescent="0.2">
      <c r="AB79" s="1523"/>
      <c r="AC79" s="1523"/>
      <c r="AR79" s="2133"/>
      <c r="AS79" s="2133"/>
    </row>
    <row r="80" spans="1:94" x14ac:dyDescent="0.2">
      <c r="E80" s="1483"/>
      <c r="F80" s="1483"/>
      <c r="G80" s="1483"/>
      <c r="H80" s="1522"/>
      <c r="I80" s="1522"/>
      <c r="J80" s="1522"/>
      <c r="K80" s="1522"/>
      <c r="L80" s="1778"/>
      <c r="M80" s="1522"/>
      <c r="N80" s="1522"/>
      <c r="O80" s="1522"/>
      <c r="P80" s="1522"/>
      <c r="Q80" s="1522"/>
      <c r="R80" s="1522"/>
      <c r="S80" s="1522"/>
      <c r="T80" s="1522"/>
      <c r="U80" s="1522"/>
      <c r="V80" s="1522"/>
      <c r="W80" s="1522"/>
      <c r="X80" s="1522"/>
      <c r="Y80" s="1522"/>
      <c r="Z80" s="1522"/>
      <c r="AB80" s="1523"/>
      <c r="AC80" s="1523"/>
      <c r="AR80" s="1484"/>
      <c r="AS80" s="1484"/>
    </row>
    <row r="81" spans="5:45" x14ac:dyDescent="0.2">
      <c r="E81" s="1483"/>
      <c r="F81" s="1483"/>
      <c r="G81" s="1483"/>
      <c r="H81" s="1522"/>
      <c r="I81" s="1522"/>
      <c r="J81" s="1522"/>
      <c r="K81" s="1522"/>
      <c r="L81" s="1778"/>
      <c r="M81" s="1522"/>
      <c r="N81" s="1522"/>
      <c r="O81" s="1522"/>
      <c r="P81" s="1522"/>
      <c r="Q81" s="1522"/>
      <c r="R81" s="1522"/>
      <c r="S81" s="1522"/>
      <c r="T81" s="1522"/>
      <c r="U81" s="1522"/>
      <c r="V81" s="1522"/>
      <c r="W81" s="1522"/>
      <c r="X81" s="1522"/>
      <c r="Y81" s="1522"/>
      <c r="Z81" s="1522"/>
      <c r="AB81" s="1523"/>
      <c r="AC81" s="1523"/>
      <c r="AR81" s="1484"/>
      <c r="AS81" s="1484"/>
    </row>
    <row r="82" spans="5:45" x14ac:dyDescent="0.2">
      <c r="E82" s="1483"/>
      <c r="F82" s="1483"/>
      <c r="G82" s="1483"/>
      <c r="H82" s="1522"/>
      <c r="I82" s="1522"/>
      <c r="J82" s="1522"/>
      <c r="K82" s="1522"/>
      <c r="L82" s="1778"/>
      <c r="M82" s="1522"/>
      <c r="N82" s="1522"/>
      <c r="O82" s="1522"/>
      <c r="P82" s="1522"/>
      <c r="Q82" s="1522"/>
      <c r="R82" s="1522"/>
      <c r="S82" s="1522"/>
      <c r="T82" s="1522"/>
      <c r="U82" s="1522"/>
      <c r="V82" s="1800"/>
      <c r="W82" s="1522"/>
      <c r="X82" s="1522"/>
      <c r="Y82" s="1522"/>
      <c r="Z82" s="1522"/>
      <c r="AB82" s="1523"/>
      <c r="AC82" s="1523"/>
      <c r="AR82" s="1484"/>
      <c r="AS82" s="1484"/>
    </row>
    <row r="83" spans="5:45" x14ac:dyDescent="0.2">
      <c r="E83" s="1483"/>
      <c r="F83" s="1483"/>
      <c r="G83" s="1483"/>
      <c r="H83" s="1522"/>
      <c r="I83" s="1522"/>
      <c r="J83" s="1522"/>
      <c r="K83" s="1522"/>
      <c r="L83" s="1778"/>
      <c r="M83" s="1522"/>
      <c r="N83" s="1522"/>
      <c r="O83" s="1522"/>
      <c r="P83" s="1522"/>
      <c r="Q83" s="1522"/>
      <c r="R83" s="1522"/>
      <c r="S83" s="1522"/>
      <c r="T83" s="1522"/>
      <c r="U83" s="1522"/>
      <c r="V83" s="1522"/>
      <c r="W83" s="1522"/>
      <c r="X83" s="1522"/>
      <c r="Y83" s="1522"/>
      <c r="Z83" s="1522"/>
      <c r="AB83" s="1523"/>
      <c r="AC83" s="1523"/>
      <c r="AR83" s="1484"/>
      <c r="AS83" s="1484"/>
    </row>
    <row r="84" spans="5:45" x14ac:dyDescent="0.2">
      <c r="E84" s="1483"/>
      <c r="F84" s="1483"/>
      <c r="G84" s="1483"/>
      <c r="H84" s="1522"/>
      <c r="I84" s="1522"/>
      <c r="J84" s="1522"/>
      <c r="K84" s="1522"/>
      <c r="L84" s="1778"/>
      <c r="M84" s="1522"/>
      <c r="N84" s="1522"/>
      <c r="O84" s="1522"/>
      <c r="P84" s="1522"/>
      <c r="Q84" s="1522"/>
      <c r="R84" s="1522"/>
      <c r="S84" s="1522"/>
      <c r="T84" s="1522"/>
      <c r="U84" s="1522"/>
      <c r="V84" s="1522"/>
      <c r="W84" s="1522"/>
      <c r="X84" s="1522"/>
      <c r="Y84" s="1522"/>
      <c r="Z84" s="1522"/>
      <c r="AB84" s="1523"/>
      <c r="AC84" s="1523"/>
      <c r="AR84" s="1484"/>
      <c r="AS84" s="1484"/>
    </row>
    <row r="85" spans="5:45" x14ac:dyDescent="0.2">
      <c r="E85" s="1483"/>
      <c r="F85" s="1483"/>
      <c r="G85" s="1483"/>
      <c r="H85" s="1522"/>
      <c r="I85" s="1522"/>
      <c r="J85" s="1522"/>
      <c r="K85" s="1522"/>
      <c r="L85" s="1778"/>
      <c r="M85" s="1522"/>
      <c r="N85" s="1522"/>
      <c r="O85" s="1522"/>
      <c r="P85" s="1522"/>
      <c r="Q85" s="1522"/>
      <c r="R85" s="1522"/>
      <c r="S85" s="1522"/>
      <c r="T85" s="1522"/>
      <c r="U85" s="1522"/>
      <c r="V85" s="1522"/>
      <c r="W85" s="1522"/>
      <c r="X85" s="1522"/>
      <c r="Y85" s="1522"/>
      <c r="Z85" s="1522"/>
      <c r="AB85" s="1523"/>
      <c r="AC85" s="1523"/>
    </row>
  </sheetData>
  <mergeCells count="11">
    <mergeCell ref="C51:D51"/>
    <mergeCell ref="AD51:AE51"/>
    <mergeCell ref="C63:D63"/>
    <mergeCell ref="C64:D64"/>
    <mergeCell ref="AD64:AE64"/>
    <mergeCell ref="C50:D50"/>
    <mergeCell ref="C10:D10"/>
    <mergeCell ref="C11:D11"/>
    <mergeCell ref="AD11:AE11"/>
    <mergeCell ref="A34:B34"/>
    <mergeCell ref="A36:B36"/>
  </mergeCells>
  <conditionalFormatting sqref="A48:A49 A70:A72 A62 AM61:AS61 AQ40:AS41 AO58:AS60 A37:B38 AQ38:AS38">
    <cfRule type="cellIs" dxfId="115" priority="14" stopIfTrue="1" operator="equal">
      <formula>0</formula>
    </cfRule>
  </conditionalFormatting>
  <conditionalFormatting sqref="AM61">
    <cfRule type="cellIs" dxfId="114" priority="13" stopIfTrue="1" operator="equal">
      <formula>0</formula>
    </cfRule>
  </conditionalFormatting>
  <conditionalFormatting sqref="AL61">
    <cfRule type="cellIs" dxfId="113" priority="8" stopIfTrue="1" operator="equal">
      <formula>0</formula>
    </cfRule>
  </conditionalFormatting>
  <conditionalFormatting sqref="AK61">
    <cfRule type="cellIs" dxfId="112" priority="7" stopIfTrue="1" operator="equal">
      <formula>0</formula>
    </cfRule>
  </conditionalFormatting>
  <conditionalFormatting sqref="AJ61">
    <cfRule type="cellIs" dxfId="111" priority="6" stopIfTrue="1" operator="equal">
      <formula>0</formula>
    </cfRule>
  </conditionalFormatting>
  <conditionalFormatting sqref="AI61">
    <cfRule type="cellIs" dxfId="110" priority="5" stopIfTrue="1" operator="equal">
      <formula>0</formula>
    </cfRule>
  </conditionalFormatting>
  <conditionalFormatting sqref="AH61">
    <cfRule type="cellIs" dxfId="109" priority="3" stopIfTrue="1" operator="equal">
      <formula>0</formula>
    </cfRule>
  </conditionalFormatting>
  <conditionalFormatting sqref="AG61">
    <cfRule type="cellIs" dxfId="108" priority="2" stopIfTrue="1" operator="equal">
      <formula>0</formula>
    </cfRule>
  </conditionalFormatting>
  <conditionalFormatting sqref="B57">
    <cfRule type="cellIs" dxfId="107" priority="1" stopIfTrue="1" operator="equal">
      <formula>0</formula>
    </cfRule>
  </conditionalFormatting>
  <printOptions horizontalCentered="1" verticalCentered="1"/>
  <pageMargins left="0" right="0" top="0" bottom="0" header="0" footer="0"/>
  <pageSetup scale="63" orientation="landscape" r:id="rId1"/>
  <headerFooter alignWithMargins="0">
    <oddFooter>&amp;L&amp;F&amp;CPage 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CC103"/>
  <sheetViews>
    <sheetView tabSelected="1" zoomScale="90" zoomScaleNormal="90" workbookViewId="0">
      <selection activeCell="K33" sqref="K33"/>
    </sheetView>
  </sheetViews>
  <sheetFormatPr defaultColWidth="9.140625" defaultRowHeight="12.75" x14ac:dyDescent="0.2"/>
  <cols>
    <col min="1" max="1" width="2.7109375" style="1183" customWidth="1"/>
    <col min="2" max="2" width="52.85546875" style="1183" customWidth="1"/>
    <col min="3" max="3" width="11.7109375" style="1183" customWidth="1"/>
    <col min="4" max="4" width="10.28515625" style="1183" customWidth="1"/>
    <col min="5" max="5" width="1.5703125" style="1145" customWidth="1"/>
    <col min="6" max="6" width="12.28515625" style="897" customWidth="1"/>
    <col min="7" max="7" width="9.5703125" style="897" customWidth="1"/>
    <col min="8" max="9" width="9.5703125" style="1184" customWidth="1"/>
    <col min="10" max="10" width="11.5703125" style="1184" customWidth="1"/>
    <col min="11" max="12" width="9.5703125" style="941" customWidth="1"/>
    <col min="13" max="14" width="9.5703125" style="1184" customWidth="1"/>
    <col min="15" max="19" width="9.5703125" style="1184" hidden="1" customWidth="1"/>
    <col min="20" max="20" width="11.28515625" style="1184" hidden="1" customWidth="1"/>
    <col min="21" max="21" width="9.28515625" style="1184" hidden="1" customWidth="1"/>
    <col min="22" max="22" width="9.42578125" style="1184" hidden="1" customWidth="1"/>
    <col min="23" max="23" width="11.28515625" style="1184" hidden="1" customWidth="1"/>
    <col min="24" max="24" width="12" style="1184" hidden="1" customWidth="1"/>
    <col min="25" max="25" width="9.28515625" style="1184" hidden="1" customWidth="1"/>
    <col min="26" max="26" width="9.42578125" style="1184" hidden="1" customWidth="1"/>
    <col min="27" max="29" width="9.28515625" style="1184" hidden="1" customWidth="1"/>
    <col min="30" max="30" width="9.42578125" style="1184" hidden="1" customWidth="1"/>
    <col min="31" max="33" width="9.28515625" style="1184" hidden="1" customWidth="1"/>
    <col min="34" max="35" width="9.42578125" style="1184" hidden="1" customWidth="1"/>
    <col min="36" max="37" width="9.28515625" style="1184" hidden="1" customWidth="1"/>
    <col min="38" max="39" width="9.42578125" style="1184" hidden="1" customWidth="1"/>
    <col min="40" max="47" width="9.28515625" style="1184" hidden="1" customWidth="1"/>
    <col min="48" max="49" width="9.7109375" style="1184" hidden="1" customWidth="1"/>
    <col min="50" max="58" width="9.7109375" style="1183" hidden="1" customWidth="1"/>
    <col min="59" max="59" width="1.5703125" style="1183" customWidth="1"/>
    <col min="60" max="62" width="10" style="1183" hidden="1" customWidth="1"/>
    <col min="63" max="63" width="9.7109375" style="1183" hidden="1" customWidth="1"/>
    <col min="64" max="64" width="1.5703125" style="1183" hidden="1" customWidth="1"/>
    <col min="65" max="69" width="9.5703125" style="1183" customWidth="1"/>
    <col min="70" max="72" width="9.5703125" style="1183" hidden="1" customWidth="1"/>
    <col min="73" max="73" width="9.5703125" style="1144" hidden="1" customWidth="1"/>
    <col min="74" max="80" width="9.7109375" style="1144" hidden="1" customWidth="1"/>
    <col min="81" max="81" width="1.5703125" style="1144" customWidth="1"/>
    <col min="82" max="16384" width="9.140625" style="1180"/>
  </cols>
  <sheetData>
    <row r="1" spans="1:81" ht="9" customHeight="1" x14ac:dyDescent="0.2"/>
    <row r="3" spans="1:81" x14ac:dyDescent="0.2">
      <c r="BN3" s="1312"/>
      <c r="BO3" s="1312"/>
      <c r="BP3" s="1312"/>
      <c r="BQ3" s="1312"/>
      <c r="BR3" s="1312"/>
      <c r="BS3" s="1312"/>
    </row>
    <row r="4" spans="1:81" ht="19.5" customHeight="1" x14ac:dyDescent="0.2">
      <c r="BN4" s="1312"/>
      <c r="BO4" s="1312"/>
      <c r="BP4" s="1312"/>
      <c r="BQ4" s="1312"/>
      <c r="BR4" s="1312"/>
      <c r="BS4" s="1312"/>
    </row>
    <row r="5" spans="1:81" ht="6.75" customHeight="1" x14ac:dyDescent="0.2">
      <c r="A5" s="1184"/>
      <c r="B5" s="1184"/>
      <c r="C5" s="1184"/>
      <c r="D5" s="1184"/>
      <c r="AX5" s="1184"/>
      <c r="AY5" s="1184"/>
      <c r="AZ5" s="1184"/>
      <c r="BH5" s="1312"/>
    </row>
    <row r="6" spans="1:81" ht="18" customHeight="1" x14ac:dyDescent="0.2">
      <c r="A6" s="1185" t="s">
        <v>304</v>
      </c>
      <c r="B6" s="1184"/>
      <c r="C6" s="1184"/>
      <c r="D6" s="1184"/>
      <c r="F6" s="1330"/>
      <c r="G6" s="1330"/>
      <c r="I6" s="1215"/>
      <c r="K6" s="2849"/>
      <c r="L6" s="2849"/>
      <c r="O6" s="1889"/>
      <c r="P6" s="1889"/>
      <c r="S6" s="1214"/>
      <c r="T6" s="1214"/>
      <c r="U6" s="1214"/>
      <c r="V6" s="1214"/>
      <c r="W6" s="1214"/>
      <c r="X6" s="1214"/>
      <c r="Y6" s="1214"/>
      <c r="Z6" s="1214"/>
      <c r="AA6" s="1214"/>
      <c r="AB6" s="1214"/>
      <c r="AC6" s="1214"/>
      <c r="AD6" s="1214"/>
      <c r="AE6" s="1214"/>
      <c r="AF6" s="1214"/>
      <c r="AG6" s="1214"/>
      <c r="AH6" s="1214"/>
      <c r="AX6" s="1184"/>
      <c r="AY6" s="1184"/>
      <c r="AZ6" s="1184"/>
      <c r="BH6" s="1312"/>
    </row>
    <row r="7" spans="1:81" ht="18" customHeight="1" x14ac:dyDescent="0.2">
      <c r="A7" s="1186" t="s">
        <v>282</v>
      </c>
      <c r="B7" s="943"/>
      <c r="C7" s="943"/>
      <c r="D7" s="943"/>
      <c r="E7" s="899"/>
      <c r="F7" s="899"/>
      <c r="G7" s="899"/>
      <c r="H7" s="943"/>
      <c r="I7" s="943"/>
      <c r="J7" s="943"/>
      <c r="K7" s="943"/>
      <c r="L7" s="943"/>
      <c r="M7" s="943"/>
      <c r="N7" s="943"/>
      <c r="O7" s="943"/>
      <c r="P7" s="943"/>
      <c r="Q7" s="943"/>
      <c r="R7" s="943"/>
      <c r="S7" s="943"/>
      <c r="T7" s="943"/>
      <c r="U7" s="978"/>
      <c r="V7" s="978"/>
      <c r="W7" s="943"/>
      <c r="X7" s="943"/>
      <c r="Y7" s="978"/>
      <c r="Z7" s="978"/>
      <c r="AA7" s="943"/>
      <c r="AB7" s="943"/>
      <c r="AC7" s="943"/>
      <c r="AD7" s="943"/>
      <c r="AE7" s="943"/>
      <c r="AF7" s="943"/>
      <c r="AG7" s="943"/>
      <c r="AH7" s="943"/>
      <c r="AI7" s="943"/>
      <c r="AJ7" s="943"/>
      <c r="AK7" s="943"/>
      <c r="AL7" s="943"/>
      <c r="AM7" s="943"/>
      <c r="AN7" s="943"/>
      <c r="AO7" s="943"/>
      <c r="AP7" s="943"/>
      <c r="AQ7" s="943"/>
      <c r="AR7" s="943"/>
      <c r="AS7" s="943"/>
      <c r="AT7" s="943"/>
      <c r="AU7" s="943"/>
      <c r="AV7" s="943"/>
      <c r="AW7" s="943"/>
      <c r="AX7" s="1184"/>
      <c r="AY7" s="1184"/>
      <c r="AZ7" s="1184"/>
      <c r="BH7" s="1824"/>
    </row>
    <row r="8" spans="1:81" ht="15" x14ac:dyDescent="0.2">
      <c r="A8" s="944"/>
      <c r="B8" s="943"/>
      <c r="C8" s="943"/>
      <c r="D8" s="943"/>
      <c r="E8" s="899"/>
      <c r="F8" s="2312"/>
      <c r="G8" s="2312"/>
      <c r="H8" s="943"/>
      <c r="I8" s="943"/>
      <c r="J8" s="978"/>
      <c r="K8" s="1360"/>
      <c r="L8" s="1360"/>
      <c r="M8" s="943"/>
      <c r="N8" s="978"/>
      <c r="O8" s="943"/>
      <c r="P8" s="1360"/>
      <c r="Q8" s="943"/>
      <c r="R8" s="978"/>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943"/>
      <c r="AV8" s="943"/>
      <c r="AW8" s="943"/>
      <c r="AX8" s="941"/>
      <c r="AY8" s="941"/>
      <c r="AZ8" s="941"/>
      <c r="BA8" s="940"/>
      <c r="BB8" s="940"/>
      <c r="BC8" s="940"/>
      <c r="BD8" s="940"/>
      <c r="BE8" s="940"/>
      <c r="BF8" s="940"/>
      <c r="BG8" s="940"/>
      <c r="BH8" s="940"/>
      <c r="BI8" s="940"/>
      <c r="BJ8" s="940"/>
      <c r="BK8" s="940"/>
      <c r="BL8" s="940"/>
      <c r="BM8" s="940"/>
      <c r="BN8" s="940"/>
      <c r="BO8" s="940"/>
    </row>
    <row r="9" spans="1:81" ht="9.75" customHeight="1" x14ac:dyDescent="0.2">
      <c r="A9" s="941"/>
      <c r="B9" s="941"/>
      <c r="C9" s="941"/>
      <c r="D9" s="941"/>
      <c r="E9" s="897"/>
      <c r="H9" s="941"/>
      <c r="I9" s="941"/>
      <c r="J9" s="941"/>
      <c r="M9" s="941"/>
      <c r="N9" s="941"/>
      <c r="O9" s="941"/>
      <c r="P9" s="941"/>
      <c r="Q9" s="941"/>
      <c r="R9" s="941"/>
      <c r="S9" s="981"/>
      <c r="T9" s="981"/>
      <c r="U9" s="981"/>
      <c r="V9" s="941"/>
      <c r="W9" s="981"/>
      <c r="X9" s="981"/>
      <c r="Y9" s="981"/>
      <c r="Z9" s="941"/>
      <c r="AA9" s="981"/>
      <c r="AB9" s="981"/>
      <c r="AC9" s="981"/>
      <c r="AD9" s="941"/>
      <c r="AE9" s="981"/>
      <c r="AF9" s="981"/>
      <c r="AG9" s="981"/>
      <c r="AH9" s="941"/>
      <c r="AI9" s="981"/>
      <c r="AJ9" s="941"/>
      <c r="AK9" s="981"/>
      <c r="AL9" s="941"/>
      <c r="AM9" s="981"/>
      <c r="AN9" s="941"/>
      <c r="AO9" s="981"/>
      <c r="AP9" s="941"/>
      <c r="AQ9" s="981"/>
      <c r="AR9" s="941"/>
      <c r="AS9" s="981"/>
      <c r="AT9" s="941"/>
      <c r="AU9" s="981"/>
      <c r="AV9" s="941"/>
      <c r="AW9" s="941"/>
      <c r="AX9" s="941"/>
      <c r="AY9" s="941"/>
      <c r="AZ9" s="941"/>
      <c r="BA9" s="940"/>
      <c r="BB9" s="940"/>
      <c r="BC9" s="940"/>
      <c r="BD9" s="940"/>
      <c r="BE9" s="940"/>
      <c r="BF9" s="940"/>
      <c r="BG9" s="940"/>
      <c r="BH9" s="940"/>
      <c r="BI9" s="940"/>
      <c r="BJ9" s="972"/>
      <c r="BK9" s="972"/>
      <c r="BL9" s="940"/>
      <c r="BM9" s="940"/>
      <c r="BN9" s="940"/>
      <c r="BO9" s="940"/>
      <c r="BZ9" s="1145"/>
      <c r="CA9" s="1145"/>
      <c r="CB9" s="1145"/>
    </row>
    <row r="10" spans="1:81" x14ac:dyDescent="0.2">
      <c r="A10" s="945" t="s">
        <v>1</v>
      </c>
      <c r="B10" s="946"/>
      <c r="C10" s="3073" t="s">
        <v>671</v>
      </c>
      <c r="D10" s="3074"/>
      <c r="E10" s="901"/>
      <c r="F10" s="2958"/>
      <c r="G10" s="902"/>
      <c r="H10" s="982"/>
      <c r="I10" s="982"/>
      <c r="J10" s="983"/>
      <c r="K10" s="982"/>
      <c r="L10" s="982"/>
      <c r="M10" s="982"/>
      <c r="N10" s="983"/>
      <c r="O10" s="982"/>
      <c r="P10" s="982"/>
      <c r="Q10" s="982"/>
      <c r="R10" s="983"/>
      <c r="S10" s="982"/>
      <c r="T10" s="982"/>
      <c r="U10" s="982"/>
      <c r="V10" s="983"/>
      <c r="W10" s="982"/>
      <c r="X10" s="982"/>
      <c r="Y10" s="982"/>
      <c r="Z10" s="983"/>
      <c r="AA10" s="982"/>
      <c r="AB10" s="982"/>
      <c r="AC10" s="982"/>
      <c r="AD10" s="983"/>
      <c r="AE10" s="982"/>
      <c r="AF10" s="982"/>
      <c r="AG10" s="982"/>
      <c r="AH10" s="983"/>
      <c r="AI10" s="984"/>
      <c r="AJ10" s="982"/>
      <c r="AK10" s="982"/>
      <c r="AL10" s="983"/>
      <c r="AM10" s="984"/>
      <c r="AN10" s="982"/>
      <c r="AO10" s="982"/>
      <c r="AP10" s="983"/>
      <c r="AQ10" s="941"/>
      <c r="AR10" s="982"/>
      <c r="AS10" s="941"/>
      <c r="AT10" s="983"/>
      <c r="AU10" s="982"/>
      <c r="AV10" s="941"/>
      <c r="AW10" s="982"/>
      <c r="AX10" s="983"/>
      <c r="AY10" s="982"/>
      <c r="AZ10" s="982"/>
      <c r="BA10" s="982"/>
      <c r="BB10" s="982"/>
      <c r="BC10" s="985"/>
      <c r="BD10" s="983"/>
      <c r="BE10" s="983"/>
      <c r="BF10" s="983"/>
      <c r="BG10" s="986"/>
      <c r="BH10" s="987" t="s">
        <v>660</v>
      </c>
      <c r="BI10" s="988"/>
      <c r="BJ10" s="988" t="s">
        <v>563</v>
      </c>
      <c r="BK10" s="989"/>
      <c r="BL10" s="990"/>
      <c r="BM10" s="991"/>
      <c r="BN10" s="991"/>
      <c r="BO10" s="991"/>
      <c r="BP10" s="991"/>
      <c r="BQ10" s="991"/>
      <c r="BR10" s="991"/>
      <c r="BS10" s="991"/>
      <c r="BT10" s="991"/>
      <c r="BU10" s="1992"/>
      <c r="BV10" s="1992"/>
      <c r="BW10" s="1992"/>
      <c r="BX10" s="1990"/>
      <c r="BY10" s="1991"/>
      <c r="BZ10" s="1992"/>
      <c r="CA10" s="2418"/>
      <c r="CB10" s="2026"/>
      <c r="CC10" s="1150"/>
    </row>
    <row r="11" spans="1:81" ht="13.5" x14ac:dyDescent="0.2">
      <c r="A11" s="945" t="s">
        <v>2</v>
      </c>
      <c r="B11" s="946"/>
      <c r="C11" s="3075" t="s">
        <v>38</v>
      </c>
      <c r="D11" s="3077"/>
      <c r="E11" s="1801"/>
      <c r="F11" s="1993" t="s">
        <v>670</v>
      </c>
      <c r="G11" s="907" t="s">
        <v>558</v>
      </c>
      <c r="H11" s="992" t="s">
        <v>559</v>
      </c>
      <c r="I11" s="992" t="s">
        <v>560</v>
      </c>
      <c r="J11" s="993" t="s">
        <v>561</v>
      </c>
      <c r="K11" s="992" t="s">
        <v>508</v>
      </c>
      <c r="L11" s="992" t="s">
        <v>507</v>
      </c>
      <c r="M11" s="992" t="s">
        <v>506</v>
      </c>
      <c r="N11" s="993" t="s">
        <v>505</v>
      </c>
      <c r="O11" s="992" t="s">
        <v>382</v>
      </c>
      <c r="P11" s="992" t="s">
        <v>383</v>
      </c>
      <c r="Q11" s="992" t="s">
        <v>384</v>
      </c>
      <c r="R11" s="993" t="s">
        <v>385</v>
      </c>
      <c r="S11" s="992" t="s">
        <v>368</v>
      </c>
      <c r="T11" s="992" t="s">
        <v>367</v>
      </c>
      <c r="U11" s="992" t="s">
        <v>366</v>
      </c>
      <c r="V11" s="993" t="s">
        <v>364</v>
      </c>
      <c r="W11" s="992" t="s">
        <v>348</v>
      </c>
      <c r="X11" s="992" t="s">
        <v>349</v>
      </c>
      <c r="Y11" s="992" t="s">
        <v>350</v>
      </c>
      <c r="Z11" s="993" t="s">
        <v>351</v>
      </c>
      <c r="AA11" s="992" t="s">
        <v>315</v>
      </c>
      <c r="AB11" s="992" t="s">
        <v>314</v>
      </c>
      <c r="AC11" s="992" t="s">
        <v>313</v>
      </c>
      <c r="AD11" s="993" t="s">
        <v>311</v>
      </c>
      <c r="AE11" s="992" t="s">
        <v>270</v>
      </c>
      <c r="AF11" s="992" t="s">
        <v>271</v>
      </c>
      <c r="AG11" s="992" t="s">
        <v>272</v>
      </c>
      <c r="AH11" s="993" t="s">
        <v>273</v>
      </c>
      <c r="AI11" s="994" t="s">
        <v>223</v>
      </c>
      <c r="AJ11" s="992" t="s">
        <v>224</v>
      </c>
      <c r="AK11" s="992" t="s">
        <v>225</v>
      </c>
      <c r="AL11" s="993" t="s">
        <v>222</v>
      </c>
      <c r="AM11" s="994" t="s">
        <v>189</v>
      </c>
      <c r="AN11" s="992" t="s">
        <v>190</v>
      </c>
      <c r="AO11" s="992" t="s">
        <v>191</v>
      </c>
      <c r="AP11" s="993" t="s">
        <v>192</v>
      </c>
      <c r="AQ11" s="992" t="s">
        <v>121</v>
      </c>
      <c r="AR11" s="992" t="s">
        <v>120</v>
      </c>
      <c r="AS11" s="992" t="s">
        <v>119</v>
      </c>
      <c r="AT11" s="993" t="s">
        <v>118</v>
      </c>
      <c r="AU11" s="992" t="s">
        <v>81</v>
      </c>
      <c r="AV11" s="992" t="s">
        <v>82</v>
      </c>
      <c r="AW11" s="992" t="s">
        <v>83</v>
      </c>
      <c r="AX11" s="993" t="s">
        <v>29</v>
      </c>
      <c r="AY11" s="992" t="s">
        <v>30</v>
      </c>
      <c r="AZ11" s="992" t="s">
        <v>31</v>
      </c>
      <c r="BA11" s="992" t="s">
        <v>32</v>
      </c>
      <c r="BB11" s="992" t="s">
        <v>33</v>
      </c>
      <c r="BC11" s="995" t="s">
        <v>34</v>
      </c>
      <c r="BD11" s="993" t="s">
        <v>35</v>
      </c>
      <c r="BE11" s="993" t="s">
        <v>36</v>
      </c>
      <c r="BF11" s="993" t="s">
        <v>37</v>
      </c>
      <c r="BG11" s="996"/>
      <c r="BH11" s="992" t="s">
        <v>558</v>
      </c>
      <c r="BI11" s="992" t="s">
        <v>508</v>
      </c>
      <c r="BJ11" s="3071" t="s">
        <v>38</v>
      </c>
      <c r="BK11" s="3072"/>
      <c r="BL11" s="2914"/>
      <c r="BM11" s="994" t="s">
        <v>562</v>
      </c>
      <c r="BN11" s="994" t="s">
        <v>509</v>
      </c>
      <c r="BO11" s="994" t="s">
        <v>502</v>
      </c>
      <c r="BP11" s="994" t="s">
        <v>379</v>
      </c>
      <c r="BQ11" s="994" t="s">
        <v>360</v>
      </c>
      <c r="BR11" s="994" t="s">
        <v>317</v>
      </c>
      <c r="BS11" s="994" t="s">
        <v>275</v>
      </c>
      <c r="BT11" s="994" t="s">
        <v>227</v>
      </c>
      <c r="BU11" s="1948" t="s">
        <v>123</v>
      </c>
      <c r="BV11" s="1948" t="s">
        <v>122</v>
      </c>
      <c r="BW11" s="1948" t="s">
        <v>42</v>
      </c>
      <c r="BX11" s="1948" t="s">
        <v>39</v>
      </c>
      <c r="BY11" s="1993" t="s">
        <v>40</v>
      </c>
      <c r="BZ11" s="1993" t="s">
        <v>142</v>
      </c>
      <c r="CA11" s="1993" t="s">
        <v>143</v>
      </c>
      <c r="CB11" s="1948" t="s">
        <v>144</v>
      </c>
      <c r="CC11" s="1150"/>
    </row>
    <row r="12" spans="1:81" x14ac:dyDescent="0.2">
      <c r="A12" s="945"/>
      <c r="B12" s="946"/>
      <c r="C12" s="2417"/>
      <c r="D12" s="1821"/>
      <c r="E12" s="1801"/>
      <c r="F12" s="1997"/>
      <c r="G12" s="1151"/>
      <c r="H12" s="1224"/>
      <c r="I12" s="1224"/>
      <c r="J12" s="1225"/>
      <c r="K12" s="1224"/>
      <c r="L12" s="1224"/>
      <c r="M12" s="1224"/>
      <c r="N12" s="1225"/>
      <c r="O12" s="1224"/>
      <c r="P12" s="1224"/>
      <c r="Q12" s="1224"/>
      <c r="R12" s="1225"/>
      <c r="S12" s="1224"/>
      <c r="T12" s="1224"/>
      <c r="U12" s="1224"/>
      <c r="V12" s="1225"/>
      <c r="W12" s="1224"/>
      <c r="X12" s="1224"/>
      <c r="Y12" s="1224"/>
      <c r="Z12" s="1225"/>
      <c r="AA12" s="1224"/>
      <c r="AB12" s="1224"/>
      <c r="AC12" s="1224"/>
      <c r="AD12" s="1225"/>
      <c r="AE12" s="1224"/>
      <c r="AF12" s="1224"/>
      <c r="AG12" s="1224"/>
      <c r="AH12" s="1225"/>
      <c r="AI12" s="1226"/>
      <c r="AJ12" s="1224"/>
      <c r="AK12" s="1224"/>
      <c r="AL12" s="1225"/>
      <c r="AM12" s="1226"/>
      <c r="AN12" s="1224"/>
      <c r="AO12" s="1224"/>
      <c r="AP12" s="1225"/>
      <c r="AQ12" s="1226"/>
      <c r="AR12" s="1224"/>
      <c r="AS12" s="1224"/>
      <c r="AT12" s="1225"/>
      <c r="AU12" s="990"/>
      <c r="AV12" s="990"/>
      <c r="AW12" s="990"/>
      <c r="AX12" s="1227"/>
      <c r="AY12" s="990"/>
      <c r="AZ12" s="990"/>
      <c r="BA12" s="990"/>
      <c r="BB12" s="990"/>
      <c r="BC12" s="996"/>
      <c r="BD12" s="1227"/>
      <c r="BE12" s="1227"/>
      <c r="BF12" s="1227"/>
      <c r="BG12" s="996"/>
      <c r="BH12" s="1226"/>
      <c r="BI12" s="1224"/>
      <c r="BJ12" s="982"/>
      <c r="BK12" s="983"/>
      <c r="BL12" s="2914"/>
      <c r="BM12" s="1226"/>
      <c r="BN12" s="1226"/>
      <c r="BO12" s="1226"/>
      <c r="BP12" s="1226"/>
      <c r="BQ12" s="1228"/>
      <c r="BR12" s="1228"/>
      <c r="BS12" s="1226"/>
      <c r="BT12" s="1226"/>
      <c r="BU12" s="1997"/>
      <c r="BV12" s="2027" t="s">
        <v>241</v>
      </c>
      <c r="BW12" s="2027" t="s">
        <v>241</v>
      </c>
      <c r="BX12" s="2027" t="s">
        <v>241</v>
      </c>
      <c r="BY12" s="2028" t="s">
        <v>241</v>
      </c>
      <c r="BZ12" s="901"/>
      <c r="CA12" s="901"/>
      <c r="CB12" s="2161"/>
      <c r="CC12" s="1150"/>
    </row>
    <row r="13" spans="1:81" ht="12.75" customHeight="1" x14ac:dyDescent="0.2">
      <c r="A13" s="947" t="s">
        <v>59</v>
      </c>
      <c r="B13" s="948"/>
      <c r="C13" s="2438"/>
      <c r="D13" s="1059"/>
      <c r="E13" s="921"/>
      <c r="F13" s="921"/>
      <c r="G13" s="900"/>
      <c r="H13" s="946"/>
      <c r="I13" s="946"/>
      <c r="J13" s="1059"/>
      <c r="K13" s="946"/>
      <c r="L13" s="946"/>
      <c r="M13" s="946"/>
      <c r="N13" s="1059"/>
      <c r="O13" s="946"/>
      <c r="P13" s="946"/>
      <c r="Q13" s="946"/>
      <c r="R13" s="1059"/>
      <c r="S13" s="946"/>
      <c r="T13" s="946"/>
      <c r="U13" s="946"/>
      <c r="V13" s="1059"/>
      <c r="W13" s="946"/>
      <c r="X13" s="946"/>
      <c r="Y13" s="946"/>
      <c r="Z13" s="1059"/>
      <c r="AA13" s="946"/>
      <c r="AB13" s="946"/>
      <c r="AC13" s="946"/>
      <c r="AD13" s="1059"/>
      <c r="AE13" s="946"/>
      <c r="AF13" s="946"/>
      <c r="AG13" s="946"/>
      <c r="AH13" s="1059"/>
      <c r="AI13" s="946"/>
      <c r="AJ13" s="946"/>
      <c r="AK13" s="946"/>
      <c r="AL13" s="1059"/>
      <c r="AM13" s="946"/>
      <c r="AN13" s="946"/>
      <c r="AO13" s="946"/>
      <c r="AP13" s="1059"/>
      <c r="AQ13" s="946"/>
      <c r="AR13" s="946"/>
      <c r="AS13" s="946"/>
      <c r="AT13" s="1059"/>
      <c r="AU13" s="946"/>
      <c r="AV13" s="946"/>
      <c r="AW13" s="946"/>
      <c r="AX13" s="1059"/>
      <c r="AY13" s="2438"/>
      <c r="AZ13" s="946"/>
      <c r="BA13" s="946"/>
      <c r="BB13" s="941"/>
      <c r="BC13" s="986"/>
      <c r="BD13" s="950"/>
      <c r="BE13" s="950"/>
      <c r="BF13" s="950"/>
      <c r="BG13" s="1034"/>
      <c r="BH13" s="946"/>
      <c r="BI13" s="946"/>
      <c r="BJ13" s="946"/>
      <c r="BK13" s="1059"/>
      <c r="BL13" s="946"/>
      <c r="BM13" s="1034"/>
      <c r="BN13" s="1034"/>
      <c r="BO13" s="1034"/>
      <c r="BP13" s="1229"/>
      <c r="BQ13" s="1229"/>
      <c r="BR13" s="1229"/>
      <c r="BS13" s="1229"/>
      <c r="BT13" s="1229"/>
      <c r="BU13" s="1152"/>
      <c r="BV13" s="1152"/>
      <c r="BW13" s="1152"/>
      <c r="BX13" s="1999"/>
      <c r="BY13" s="1152"/>
      <c r="BZ13" s="2164"/>
      <c r="CA13" s="2164"/>
      <c r="CB13" s="2165"/>
      <c r="CC13" s="1150"/>
    </row>
    <row r="14" spans="1:81" ht="12.75" customHeight="1" x14ac:dyDescent="0.2">
      <c r="A14" s="946"/>
      <c r="B14" s="954" t="s">
        <v>84</v>
      </c>
      <c r="C14" s="957">
        <v>11085</v>
      </c>
      <c r="D14" s="1035">
        <v>0.24021063124363448</v>
      </c>
      <c r="E14" s="920"/>
      <c r="F14" s="2223">
        <v>57232</v>
      </c>
      <c r="G14" s="1155">
        <v>52997</v>
      </c>
      <c r="H14" s="1230">
        <v>53663.48</v>
      </c>
      <c r="I14" s="1230">
        <v>51613</v>
      </c>
      <c r="J14" s="1231">
        <v>46147</v>
      </c>
      <c r="K14" s="1230">
        <v>50535</v>
      </c>
      <c r="L14" s="1230">
        <v>47647</v>
      </c>
      <c r="M14" s="1230">
        <v>31458</v>
      </c>
      <c r="N14" s="1231">
        <v>36251</v>
      </c>
      <c r="O14" s="1230">
        <v>39429</v>
      </c>
      <c r="P14" s="1230">
        <v>32199</v>
      </c>
      <c r="Q14" s="1230">
        <v>28858</v>
      </c>
      <c r="R14" s="1231">
        <v>28875</v>
      </c>
      <c r="S14" s="1230">
        <v>25158</v>
      </c>
      <c r="T14" s="1230">
        <v>25267</v>
      </c>
      <c r="U14" s="1230">
        <v>25694</v>
      </c>
      <c r="V14" s="1231">
        <v>30535</v>
      </c>
      <c r="W14" s="1230">
        <v>32631</v>
      </c>
      <c r="X14" s="1230">
        <v>27990</v>
      </c>
      <c r="Y14" s="1230">
        <v>31234</v>
      </c>
      <c r="Z14" s="1231">
        <v>32117</v>
      </c>
      <c r="AA14" s="1230">
        <v>31474</v>
      </c>
      <c r="AB14" s="1230">
        <v>27430</v>
      </c>
      <c r="AC14" s="1230">
        <v>24056</v>
      </c>
      <c r="AD14" s="1231">
        <v>26384</v>
      </c>
      <c r="AE14" s="1230">
        <v>31741</v>
      </c>
      <c r="AF14" s="1230">
        <v>34481</v>
      </c>
      <c r="AG14" s="1230">
        <v>35280</v>
      </c>
      <c r="AH14" s="1231">
        <v>36123</v>
      </c>
      <c r="AI14" s="1230">
        <v>51747</v>
      </c>
      <c r="AJ14" s="1230">
        <v>43765</v>
      </c>
      <c r="AK14" s="1230">
        <v>46616</v>
      </c>
      <c r="AL14" s="1231">
        <v>53600</v>
      </c>
      <c r="AM14" s="1230">
        <v>71218</v>
      </c>
      <c r="AN14" s="1230">
        <v>67044</v>
      </c>
      <c r="AO14" s="1230">
        <v>43529</v>
      </c>
      <c r="AP14" s="1231">
        <v>46307</v>
      </c>
      <c r="AQ14" s="1230">
        <v>54086</v>
      </c>
      <c r="AR14" s="1230">
        <v>50900</v>
      </c>
      <c r="AS14" s="1230">
        <v>39596</v>
      </c>
      <c r="AT14" s="1231">
        <v>39676</v>
      </c>
      <c r="AU14" s="1230">
        <v>36739</v>
      </c>
      <c r="AV14" s="1230">
        <v>33072</v>
      </c>
      <c r="AW14" s="1230">
        <v>43016</v>
      </c>
      <c r="AX14" s="1231">
        <v>56801</v>
      </c>
      <c r="AY14" s="1209">
        <v>53686</v>
      </c>
      <c r="AZ14" s="1259">
        <v>60447</v>
      </c>
      <c r="BA14" s="1259">
        <v>56588</v>
      </c>
      <c r="BB14" s="1260">
        <v>74990</v>
      </c>
      <c r="BC14" s="1261">
        <v>74727</v>
      </c>
      <c r="BD14" s="1260">
        <v>67907</v>
      </c>
      <c r="BE14" s="1260">
        <v>54960</v>
      </c>
      <c r="BF14" s="1260">
        <v>70996</v>
      </c>
      <c r="BG14" s="1034"/>
      <c r="BH14" s="1007">
        <v>204420.48000000001</v>
      </c>
      <c r="BI14" s="1007">
        <v>165891</v>
      </c>
      <c r="BJ14" s="1006">
        <v>38529.48000000001</v>
      </c>
      <c r="BK14" s="1299">
        <v>0.23225780783767661</v>
      </c>
      <c r="BL14" s="1201"/>
      <c r="BM14" s="1261">
        <v>204420.48000000001</v>
      </c>
      <c r="BN14" s="1261">
        <v>165891</v>
      </c>
      <c r="BO14" s="1261">
        <v>129361</v>
      </c>
      <c r="BP14" s="2231">
        <v>106654</v>
      </c>
      <c r="BQ14" s="2527">
        <v>123972</v>
      </c>
      <c r="BR14" s="1846">
        <v>109344</v>
      </c>
      <c r="BS14" s="1367">
        <v>137625</v>
      </c>
      <c r="BT14" s="1367">
        <v>195728</v>
      </c>
      <c r="BU14" s="1317">
        <v>228098</v>
      </c>
      <c r="BV14" s="1317">
        <v>184258</v>
      </c>
      <c r="BW14" s="1317">
        <v>169628</v>
      </c>
      <c r="BX14" s="1317">
        <v>245711</v>
      </c>
      <c r="BY14" s="1317">
        <v>268590</v>
      </c>
      <c r="BZ14" s="2166">
        <v>223925</v>
      </c>
      <c r="CA14" s="2166">
        <v>178176</v>
      </c>
      <c r="CB14" s="2166">
        <v>175983</v>
      </c>
      <c r="CC14" s="1153"/>
    </row>
    <row r="15" spans="1:81" ht="12.75" customHeight="1" x14ac:dyDescent="0.2">
      <c r="A15" s="946"/>
      <c r="B15" s="954" t="s">
        <v>251</v>
      </c>
      <c r="C15" s="957">
        <v>6136</v>
      </c>
      <c r="D15" s="1035">
        <v>9.3270706978582391E-2</v>
      </c>
      <c r="E15" s="920"/>
      <c r="F15" s="2223">
        <v>71923</v>
      </c>
      <c r="G15" s="1155">
        <v>63494</v>
      </c>
      <c r="H15" s="1230">
        <v>61777</v>
      </c>
      <c r="I15" s="1230">
        <v>63927</v>
      </c>
      <c r="J15" s="1231">
        <v>65787</v>
      </c>
      <c r="K15" s="1230">
        <v>64923</v>
      </c>
      <c r="L15" s="1230">
        <v>60945</v>
      </c>
      <c r="M15" s="1230">
        <v>37482</v>
      </c>
      <c r="N15" s="1231">
        <v>38033</v>
      </c>
      <c r="O15" s="1230">
        <v>33065</v>
      </c>
      <c r="P15" s="1230">
        <v>34549</v>
      </c>
      <c r="Q15" s="1230">
        <v>33958</v>
      </c>
      <c r="R15" s="1231">
        <v>33247</v>
      </c>
      <c r="S15" s="1230">
        <v>34913</v>
      </c>
      <c r="T15" s="1230">
        <v>35040</v>
      </c>
      <c r="U15" s="1230">
        <v>34039</v>
      </c>
      <c r="V15" s="1231">
        <v>34367</v>
      </c>
      <c r="W15" s="1230"/>
      <c r="X15" s="1230"/>
      <c r="Y15" s="1230"/>
      <c r="Z15" s="1231"/>
      <c r="AA15" s="1230"/>
      <c r="AB15" s="1230"/>
      <c r="AC15" s="1230"/>
      <c r="AD15" s="1231"/>
      <c r="AE15" s="1230"/>
      <c r="AF15" s="1230"/>
      <c r="AG15" s="1230"/>
      <c r="AH15" s="1231"/>
      <c r="AI15" s="1230"/>
      <c r="AJ15" s="1230"/>
      <c r="AK15" s="1230"/>
      <c r="AL15" s="1231"/>
      <c r="AM15" s="1230"/>
      <c r="AN15" s="1230"/>
      <c r="AO15" s="1230"/>
      <c r="AP15" s="1231"/>
      <c r="AQ15" s="1230"/>
      <c r="AR15" s="1230"/>
      <c r="AS15" s="1230"/>
      <c r="AT15" s="1231"/>
      <c r="AU15" s="1230"/>
      <c r="AV15" s="1230"/>
      <c r="AW15" s="1230"/>
      <c r="AX15" s="1231"/>
      <c r="AY15" s="1209"/>
      <c r="AZ15" s="1259"/>
      <c r="BA15" s="1259"/>
      <c r="BB15" s="1007"/>
      <c r="BC15" s="1261"/>
      <c r="BD15" s="1260"/>
      <c r="BE15" s="1260"/>
      <c r="BF15" s="1260"/>
      <c r="BG15" s="1034"/>
      <c r="BH15" s="1007">
        <v>254985</v>
      </c>
      <c r="BI15" s="1007">
        <v>201383</v>
      </c>
      <c r="BJ15" s="1006">
        <v>53602</v>
      </c>
      <c r="BK15" s="1299">
        <v>0.26616943833392093</v>
      </c>
      <c r="BL15" s="1201"/>
      <c r="BM15" s="1261">
        <v>254985</v>
      </c>
      <c r="BN15" s="1261">
        <v>201383</v>
      </c>
      <c r="BO15" s="1261">
        <v>134819</v>
      </c>
      <c r="BP15" s="2231">
        <v>138359</v>
      </c>
      <c r="BQ15" s="2527">
        <v>125551</v>
      </c>
      <c r="BR15" s="1846">
        <v>113046</v>
      </c>
      <c r="BS15" s="1367">
        <v>91757</v>
      </c>
      <c r="BT15" s="1367"/>
      <c r="BU15" s="1317"/>
      <c r="BV15" s="1317"/>
      <c r="BW15" s="1317"/>
      <c r="BX15" s="1317"/>
      <c r="BY15" s="1317"/>
      <c r="BZ15" s="2166"/>
      <c r="CA15" s="2166"/>
      <c r="CB15" s="2166"/>
      <c r="CC15" s="1153"/>
    </row>
    <row r="16" spans="1:81" ht="12.75" customHeight="1" x14ac:dyDescent="0.2">
      <c r="A16" s="946"/>
      <c r="B16" s="954" t="s">
        <v>202</v>
      </c>
      <c r="C16" s="957">
        <v>-56</v>
      </c>
      <c r="D16" s="1035">
        <v>-8.7227414330218064E-2</v>
      </c>
      <c r="E16" s="920"/>
      <c r="F16" s="2223">
        <v>586</v>
      </c>
      <c r="G16" s="1155">
        <v>639</v>
      </c>
      <c r="H16" s="1230">
        <v>538.52</v>
      </c>
      <c r="I16" s="1230">
        <v>586</v>
      </c>
      <c r="J16" s="1231">
        <v>642</v>
      </c>
      <c r="K16" s="1230">
        <v>920</v>
      </c>
      <c r="L16" s="1230">
        <v>781</v>
      </c>
      <c r="M16" s="1230">
        <v>623</v>
      </c>
      <c r="N16" s="1231">
        <v>667</v>
      </c>
      <c r="O16" s="1230">
        <v>839</v>
      </c>
      <c r="P16" s="1230">
        <v>620</v>
      </c>
      <c r="Q16" s="1230">
        <v>874</v>
      </c>
      <c r="R16" s="1231">
        <v>598</v>
      </c>
      <c r="S16" s="1230">
        <v>363</v>
      </c>
      <c r="T16" s="1230">
        <v>349</v>
      </c>
      <c r="U16" s="1230">
        <v>461</v>
      </c>
      <c r="V16" s="1231">
        <v>381</v>
      </c>
      <c r="W16" s="1230">
        <v>448</v>
      </c>
      <c r="X16" s="1230">
        <v>277</v>
      </c>
      <c r="Y16" s="1230">
        <v>403</v>
      </c>
      <c r="Z16" s="1231">
        <v>239</v>
      </c>
      <c r="AA16" s="1230">
        <v>542</v>
      </c>
      <c r="AB16" s="1230">
        <v>289</v>
      </c>
      <c r="AC16" s="1230">
        <v>357</v>
      </c>
      <c r="AD16" s="1231">
        <v>458</v>
      </c>
      <c r="AE16" s="1230">
        <v>482</v>
      </c>
      <c r="AF16" s="1230">
        <v>570</v>
      </c>
      <c r="AG16" s="1230">
        <v>534</v>
      </c>
      <c r="AH16" s="1231">
        <v>644</v>
      </c>
      <c r="AI16" s="1230">
        <v>790</v>
      </c>
      <c r="AJ16" s="1230">
        <v>806</v>
      </c>
      <c r="AK16" s="1230">
        <v>796</v>
      </c>
      <c r="AL16" s="1231">
        <v>1183</v>
      </c>
      <c r="AM16" s="1230">
        <v>1486</v>
      </c>
      <c r="AN16" s="1230">
        <v>1555</v>
      </c>
      <c r="AO16" s="1230">
        <v>1010</v>
      </c>
      <c r="AP16" s="1231">
        <v>900</v>
      </c>
      <c r="AQ16" s="1230">
        <v>904</v>
      </c>
      <c r="AR16" s="1230">
        <v>833</v>
      </c>
      <c r="AS16" s="1230">
        <v>542</v>
      </c>
      <c r="AT16" s="1231">
        <v>509</v>
      </c>
      <c r="AU16" s="1230">
        <v>516</v>
      </c>
      <c r="AV16" s="1230">
        <v>460</v>
      </c>
      <c r="AW16" s="1230">
        <v>828</v>
      </c>
      <c r="AX16" s="1231">
        <v>1052</v>
      </c>
      <c r="AY16" s="1196">
        <v>777</v>
      </c>
      <c r="AZ16" s="1270">
        <v>719</v>
      </c>
      <c r="BA16" s="1270">
        <v>827</v>
      </c>
      <c r="BB16" s="1007">
        <v>1093</v>
      </c>
      <c r="BC16" s="1261">
        <v>1149</v>
      </c>
      <c r="BD16" s="1260">
        <v>924</v>
      </c>
      <c r="BE16" s="1260">
        <v>666</v>
      </c>
      <c r="BF16" s="1260">
        <v>1290</v>
      </c>
      <c r="BG16" s="1034"/>
      <c r="BH16" s="1007">
        <v>2405.52</v>
      </c>
      <c r="BI16" s="1007">
        <v>2991</v>
      </c>
      <c r="BJ16" s="1006">
        <v>-585.48</v>
      </c>
      <c r="BK16" s="1299">
        <v>-0.19574724172517552</v>
      </c>
      <c r="BL16" s="1201"/>
      <c r="BM16" s="1261">
        <v>2405.52</v>
      </c>
      <c r="BN16" s="1261">
        <v>2991</v>
      </c>
      <c r="BO16" s="1261">
        <v>2931</v>
      </c>
      <c r="BP16" s="2231">
        <v>1554</v>
      </c>
      <c r="BQ16" s="2527">
        <v>1367</v>
      </c>
      <c r="BR16" s="1846">
        <v>1646</v>
      </c>
      <c r="BS16" s="1367">
        <v>2230</v>
      </c>
      <c r="BT16" s="1367">
        <v>3575</v>
      </c>
      <c r="BU16" s="1317">
        <v>4951</v>
      </c>
      <c r="BV16" s="1317">
        <v>2788</v>
      </c>
      <c r="BW16" s="1317">
        <v>2856</v>
      </c>
      <c r="BX16" s="1317">
        <v>3416</v>
      </c>
      <c r="BY16" s="1317">
        <v>4029</v>
      </c>
      <c r="BZ16" s="2166">
        <v>1269</v>
      </c>
      <c r="CA16" s="2166">
        <v>0</v>
      </c>
      <c r="CB16" s="2166">
        <v>0</v>
      </c>
      <c r="CC16" s="1153"/>
    </row>
    <row r="17" spans="1:81" ht="12.75" customHeight="1" x14ac:dyDescent="0.2">
      <c r="A17" s="948"/>
      <c r="B17" s="946"/>
      <c r="C17" s="1189">
        <v>17165</v>
      </c>
      <c r="D17" s="1190">
        <v>0.15247477259806708</v>
      </c>
      <c r="E17" s="1035"/>
      <c r="F17" s="2959">
        <v>129741</v>
      </c>
      <c r="G17" s="1158">
        <v>117130</v>
      </c>
      <c r="H17" s="1238">
        <v>115979.00000000001</v>
      </c>
      <c r="I17" s="1238">
        <v>116126</v>
      </c>
      <c r="J17" s="1240">
        <v>112576</v>
      </c>
      <c r="K17" s="1238">
        <v>116378</v>
      </c>
      <c r="L17" s="1238">
        <v>109373</v>
      </c>
      <c r="M17" s="1238">
        <v>69563</v>
      </c>
      <c r="N17" s="1240">
        <v>74951</v>
      </c>
      <c r="O17" s="1238">
        <v>73333</v>
      </c>
      <c r="P17" s="1238">
        <v>67368</v>
      </c>
      <c r="Q17" s="1238">
        <v>63690</v>
      </c>
      <c r="R17" s="1240">
        <v>62720</v>
      </c>
      <c r="S17" s="1238">
        <v>60434</v>
      </c>
      <c r="T17" s="1238">
        <v>60656</v>
      </c>
      <c r="U17" s="1238">
        <v>60194</v>
      </c>
      <c r="V17" s="1240">
        <v>65283</v>
      </c>
      <c r="W17" s="1238">
        <v>33079</v>
      </c>
      <c r="X17" s="1238">
        <v>28267</v>
      </c>
      <c r="Y17" s="1238">
        <v>31637</v>
      </c>
      <c r="Z17" s="1239">
        <v>32356</v>
      </c>
      <c r="AA17" s="1825">
        <v>32016</v>
      </c>
      <c r="AB17" s="1238">
        <v>27719</v>
      </c>
      <c r="AC17" s="1238">
        <v>24413</v>
      </c>
      <c r="AD17" s="1240">
        <v>26842</v>
      </c>
      <c r="AE17" s="1238">
        <v>32223</v>
      </c>
      <c r="AF17" s="1238">
        <v>35051</v>
      </c>
      <c r="AG17" s="1238">
        <v>35814</v>
      </c>
      <c r="AH17" s="1240">
        <v>36767</v>
      </c>
      <c r="AI17" s="1238">
        <v>52537</v>
      </c>
      <c r="AJ17" s="1238">
        <v>44571</v>
      </c>
      <c r="AK17" s="1238">
        <v>47412</v>
      </c>
      <c r="AL17" s="1240">
        <v>54783</v>
      </c>
      <c r="AM17" s="1238">
        <v>72704</v>
      </c>
      <c r="AN17" s="1238">
        <v>68599</v>
      </c>
      <c r="AO17" s="1238">
        <v>44539</v>
      </c>
      <c r="AP17" s="1240">
        <v>47207</v>
      </c>
      <c r="AQ17" s="1238">
        <v>54990</v>
      </c>
      <c r="AR17" s="1238">
        <v>51733</v>
      </c>
      <c r="AS17" s="1238">
        <v>40138</v>
      </c>
      <c r="AT17" s="1240">
        <v>40185</v>
      </c>
      <c r="AU17" s="1238">
        <v>37255</v>
      </c>
      <c r="AV17" s="1238">
        <v>33532</v>
      </c>
      <c r="AW17" s="1238">
        <v>43844</v>
      </c>
      <c r="AX17" s="1240">
        <v>57853</v>
      </c>
      <c r="AY17" s="1384">
        <v>54463</v>
      </c>
      <c r="AZ17" s="1266">
        <v>61166</v>
      </c>
      <c r="BA17" s="1266">
        <v>57415</v>
      </c>
      <c r="BB17" s="1266">
        <v>76083</v>
      </c>
      <c r="BC17" s="1243">
        <v>75876</v>
      </c>
      <c r="BD17" s="1240">
        <v>68831</v>
      </c>
      <c r="BE17" s="1240">
        <v>55626</v>
      </c>
      <c r="BF17" s="1240">
        <v>72286</v>
      </c>
      <c r="BG17" s="1034"/>
      <c r="BH17" s="1826">
        <v>461811</v>
      </c>
      <c r="BI17" s="1826">
        <v>370265</v>
      </c>
      <c r="BJ17" s="1395">
        <v>91546</v>
      </c>
      <c r="BK17" s="1190">
        <v>0.24724454107193497</v>
      </c>
      <c r="BL17" s="1201"/>
      <c r="BM17" s="1267">
        <v>461811</v>
      </c>
      <c r="BN17" s="2419">
        <v>370265</v>
      </c>
      <c r="BO17" s="2419">
        <v>267111</v>
      </c>
      <c r="BP17" s="1942">
        <v>246567</v>
      </c>
      <c r="BQ17" s="1386">
        <v>250890</v>
      </c>
      <c r="BR17" s="1386">
        <v>224036</v>
      </c>
      <c r="BS17" s="1386">
        <v>231612</v>
      </c>
      <c r="BT17" s="1386">
        <v>199303</v>
      </c>
      <c r="BU17" s="2032">
        <v>233049</v>
      </c>
      <c r="BV17" s="2032">
        <v>187046</v>
      </c>
      <c r="BW17" s="2032">
        <v>172484</v>
      </c>
      <c r="BX17" s="2032">
        <v>249127</v>
      </c>
      <c r="BY17" s="2032">
        <v>272619</v>
      </c>
      <c r="BZ17" s="2167">
        <v>225194</v>
      </c>
      <c r="CA17" s="2167">
        <v>178176</v>
      </c>
      <c r="CB17" s="2167">
        <v>175983</v>
      </c>
      <c r="CC17" s="1153"/>
    </row>
    <row r="18" spans="1:81" ht="12.75" customHeight="1" x14ac:dyDescent="0.2">
      <c r="A18" s="947" t="s">
        <v>5</v>
      </c>
      <c r="B18" s="946"/>
      <c r="C18" s="957"/>
      <c r="D18" s="1035"/>
      <c r="E18" s="920"/>
      <c r="F18" s="2223"/>
      <c r="G18" s="1155"/>
      <c r="H18" s="1230"/>
      <c r="I18" s="1230"/>
      <c r="J18" s="1231"/>
      <c r="K18" s="1230"/>
      <c r="L18" s="1230"/>
      <c r="M18" s="1230"/>
      <c r="N18" s="1231"/>
      <c r="O18" s="1230"/>
      <c r="P18" s="1230"/>
      <c r="Q18" s="1230"/>
      <c r="R18" s="1231"/>
      <c r="S18" s="1230"/>
      <c r="T18" s="1230"/>
      <c r="U18" s="1230"/>
      <c r="V18" s="1231"/>
      <c r="W18" s="1230"/>
      <c r="X18" s="1230"/>
      <c r="Y18" s="1230"/>
      <c r="Z18" s="1231"/>
      <c r="AA18" s="1230"/>
      <c r="AB18" s="1230"/>
      <c r="AC18" s="1230"/>
      <c r="AD18" s="1231"/>
      <c r="AE18" s="1230"/>
      <c r="AF18" s="1230"/>
      <c r="AG18" s="1230"/>
      <c r="AH18" s="1231"/>
      <c r="AI18" s="1230"/>
      <c r="AJ18" s="1230"/>
      <c r="AK18" s="1230"/>
      <c r="AL18" s="1231"/>
      <c r="AM18" s="1230"/>
      <c r="AN18" s="1230"/>
      <c r="AO18" s="1230"/>
      <c r="AP18" s="1231"/>
      <c r="AQ18" s="1230"/>
      <c r="AR18" s="1230"/>
      <c r="AS18" s="1230"/>
      <c r="AT18" s="1231"/>
      <c r="AU18" s="1230"/>
      <c r="AV18" s="1230"/>
      <c r="AW18" s="1230"/>
      <c r="AX18" s="1231"/>
      <c r="AY18" s="1196"/>
      <c r="AZ18" s="1270"/>
      <c r="BA18" s="1270"/>
      <c r="BB18" s="1270"/>
      <c r="BC18" s="1237"/>
      <c r="BD18" s="1231"/>
      <c r="BE18" s="1231"/>
      <c r="BF18" s="1231"/>
      <c r="BG18" s="1034"/>
      <c r="BH18" s="1007"/>
      <c r="BI18" s="1007"/>
      <c r="BJ18" s="1006"/>
      <c r="BK18" s="1035"/>
      <c r="BL18" s="1201"/>
      <c r="BM18" s="2549"/>
      <c r="BN18" s="1261"/>
      <c r="BO18" s="1261"/>
      <c r="BP18" s="1412"/>
      <c r="BQ18" s="1412"/>
      <c r="BR18" s="1434"/>
      <c r="BS18" s="1434"/>
      <c r="BT18" s="1434"/>
      <c r="BU18" s="1331"/>
      <c r="BV18" s="1331"/>
      <c r="BW18" s="1331"/>
      <c r="BX18" s="1317"/>
      <c r="BY18" s="1317"/>
      <c r="BZ18" s="2166"/>
      <c r="CA18" s="2166"/>
      <c r="CB18" s="2166"/>
      <c r="CC18" s="1153"/>
    </row>
    <row r="19" spans="1:81" ht="12.75" hidden="1" customHeight="1" x14ac:dyDescent="0.2">
      <c r="A19" s="947"/>
      <c r="B19" s="946" t="s">
        <v>292</v>
      </c>
      <c r="C19" s="957">
        <v>6155</v>
      </c>
      <c r="D19" s="1035">
        <v>0.12608312677960545</v>
      </c>
      <c r="E19" s="920"/>
      <c r="F19" s="2223">
        <v>54972</v>
      </c>
      <c r="G19" s="1155">
        <v>47685</v>
      </c>
      <c r="H19" s="1230">
        <v>49026</v>
      </c>
      <c r="I19" s="1230">
        <v>50474</v>
      </c>
      <c r="J19" s="1231">
        <v>48817</v>
      </c>
      <c r="K19" s="1230">
        <v>51643</v>
      </c>
      <c r="L19" s="1230">
        <v>47667</v>
      </c>
      <c r="M19" s="1230">
        <v>29340</v>
      </c>
      <c r="N19" s="1231">
        <v>30002</v>
      </c>
      <c r="O19" s="1230">
        <v>32667</v>
      </c>
      <c r="P19" s="1230">
        <v>26640</v>
      </c>
      <c r="Q19" s="1230">
        <v>25627</v>
      </c>
      <c r="R19" s="1231">
        <v>26730</v>
      </c>
      <c r="S19" s="1230">
        <v>24634</v>
      </c>
      <c r="T19" s="1230">
        <v>23840</v>
      </c>
      <c r="U19" s="1230">
        <v>23786</v>
      </c>
      <c r="V19" s="1231">
        <v>27753</v>
      </c>
      <c r="W19" s="1230">
        <v>16633</v>
      </c>
      <c r="X19" s="1230">
        <v>13690</v>
      </c>
      <c r="Y19" s="1230">
        <v>15480</v>
      </c>
      <c r="Z19" s="1231">
        <v>16487</v>
      </c>
      <c r="AA19" s="1230">
        <v>15508</v>
      </c>
      <c r="AB19" s="1230">
        <v>13476</v>
      </c>
      <c r="AC19" s="1230">
        <v>12048</v>
      </c>
      <c r="AD19" s="1231">
        <v>12789</v>
      </c>
      <c r="AE19" s="1230">
        <v>15948</v>
      </c>
      <c r="AF19" s="1230">
        <v>16167</v>
      </c>
      <c r="AG19" s="1230">
        <v>17541</v>
      </c>
      <c r="AH19" s="1231">
        <v>17968</v>
      </c>
      <c r="AI19" s="1230">
        <v>24803</v>
      </c>
      <c r="AJ19" s="1230">
        <v>21369</v>
      </c>
      <c r="AK19" s="1230">
        <v>22217</v>
      </c>
      <c r="AL19" s="1231">
        <v>27227</v>
      </c>
      <c r="AM19" s="1230">
        <v>33880</v>
      </c>
      <c r="AN19" s="1230">
        <v>33144</v>
      </c>
      <c r="AO19" s="1230">
        <v>20664</v>
      </c>
      <c r="AP19" s="1231"/>
      <c r="AQ19" s="1230"/>
      <c r="AR19" s="1230"/>
      <c r="AS19" s="1230"/>
      <c r="AT19" s="1231"/>
      <c r="AU19" s="1230"/>
      <c r="AV19" s="1230"/>
      <c r="AW19" s="1230"/>
      <c r="AX19" s="1231"/>
      <c r="AY19" s="1196"/>
      <c r="AZ19" s="1270"/>
      <c r="BA19" s="1270"/>
      <c r="BB19" s="1270"/>
      <c r="BC19" s="1237"/>
      <c r="BD19" s="1231"/>
      <c r="BE19" s="1231"/>
      <c r="BF19" s="1231"/>
      <c r="BG19" s="1034"/>
      <c r="BH19" s="1007">
        <v>196002</v>
      </c>
      <c r="BI19" s="1007">
        <v>158652</v>
      </c>
      <c r="BJ19" s="1006">
        <v>37350</v>
      </c>
      <c r="BK19" s="1035">
        <v>0.23542092126162922</v>
      </c>
      <c r="BL19" s="1201"/>
      <c r="BM19" s="1261">
        <v>196002</v>
      </c>
      <c r="BN19" s="1261">
        <v>158652</v>
      </c>
      <c r="BO19" s="1261">
        <v>111664</v>
      </c>
      <c r="BP19" s="2231">
        <v>100013</v>
      </c>
      <c r="BQ19" s="2527">
        <v>106463</v>
      </c>
      <c r="BR19" s="1846">
        <v>92340</v>
      </c>
      <c r="BS19" s="1367">
        <v>101161</v>
      </c>
      <c r="BT19" s="1367">
        <v>95616</v>
      </c>
      <c r="BU19" s="1317">
        <v>110021</v>
      </c>
      <c r="BV19" s="1317">
        <v>83777</v>
      </c>
      <c r="BW19" s="1317">
        <v>74307</v>
      </c>
      <c r="BX19" s="1317">
        <v>111803</v>
      </c>
      <c r="BY19" s="1317"/>
      <c r="BZ19" s="2166"/>
      <c r="CA19" s="2166"/>
      <c r="CB19" s="2166"/>
      <c r="CC19" s="1153"/>
    </row>
    <row r="20" spans="1:81" ht="12.75" hidden="1" customHeight="1" x14ac:dyDescent="0.2">
      <c r="A20" s="947"/>
      <c r="B20" s="946" t="s">
        <v>293</v>
      </c>
      <c r="C20" s="1191">
        <v>1365</v>
      </c>
      <c r="D20" s="1192">
        <v>2.9803493449781659</v>
      </c>
      <c r="E20" s="920"/>
      <c r="F20" s="2240">
        <v>1823</v>
      </c>
      <c r="G20" s="1161">
        <v>2026</v>
      </c>
      <c r="H20" s="1250">
        <v>1241</v>
      </c>
      <c r="I20" s="1250">
        <v>1046</v>
      </c>
      <c r="J20" s="1251">
        <v>458</v>
      </c>
      <c r="K20" s="1250">
        <v>1939</v>
      </c>
      <c r="L20" s="1250">
        <v>1313</v>
      </c>
      <c r="M20" s="1250">
        <v>911</v>
      </c>
      <c r="N20" s="1251">
        <v>870</v>
      </c>
      <c r="O20" s="1250">
        <v>933</v>
      </c>
      <c r="P20" s="1250">
        <v>432</v>
      </c>
      <c r="Q20" s="1250">
        <v>803</v>
      </c>
      <c r="R20" s="1251">
        <v>540</v>
      </c>
      <c r="S20" s="1250">
        <v>440</v>
      </c>
      <c r="T20" s="1250">
        <v>503</v>
      </c>
      <c r="U20" s="1250">
        <v>476</v>
      </c>
      <c r="V20" s="1251">
        <v>421</v>
      </c>
      <c r="W20" s="1252">
        <v>-266</v>
      </c>
      <c r="X20" s="1250">
        <v>290</v>
      </c>
      <c r="Y20" s="1250">
        <v>229</v>
      </c>
      <c r="Z20" s="1251">
        <v>270</v>
      </c>
      <c r="AA20" s="1250">
        <v>1250</v>
      </c>
      <c r="AB20" s="1250">
        <v>598</v>
      </c>
      <c r="AC20" s="1250">
        <v>557</v>
      </c>
      <c r="AD20" s="1251">
        <v>295</v>
      </c>
      <c r="AE20" s="1250">
        <v>1365</v>
      </c>
      <c r="AF20" s="1250">
        <v>2014</v>
      </c>
      <c r="AG20" s="1250">
        <v>2256</v>
      </c>
      <c r="AH20" s="1251">
        <v>1064</v>
      </c>
      <c r="AI20" s="1250">
        <v>1048</v>
      </c>
      <c r="AJ20" s="1250">
        <v>1175</v>
      </c>
      <c r="AK20" s="1250">
        <v>1559</v>
      </c>
      <c r="AL20" s="1251">
        <v>999</v>
      </c>
      <c r="AM20" s="1250">
        <v>1641</v>
      </c>
      <c r="AN20" s="1250">
        <v>2757</v>
      </c>
      <c r="AO20" s="1250">
        <v>897</v>
      </c>
      <c r="AP20" s="1231"/>
      <c r="AQ20" s="1230"/>
      <c r="AR20" s="1230"/>
      <c r="AS20" s="1230"/>
      <c r="AT20" s="1231"/>
      <c r="AU20" s="1230"/>
      <c r="AV20" s="1230"/>
      <c r="AW20" s="1230"/>
      <c r="AX20" s="1231"/>
      <c r="AY20" s="1196"/>
      <c r="AZ20" s="1270"/>
      <c r="BA20" s="1270"/>
      <c r="BB20" s="1270"/>
      <c r="BC20" s="1237"/>
      <c r="BD20" s="1231"/>
      <c r="BE20" s="1231"/>
      <c r="BF20" s="1231"/>
      <c r="BG20" s="1034"/>
      <c r="BH20" s="1308">
        <v>4771</v>
      </c>
      <c r="BI20" s="1308">
        <v>5033</v>
      </c>
      <c r="BJ20" s="1303">
        <v>-262</v>
      </c>
      <c r="BK20" s="1192">
        <v>-5.2056427577985294E-2</v>
      </c>
      <c r="BL20" s="1201"/>
      <c r="BM20" s="2523">
        <v>4771</v>
      </c>
      <c r="BN20" s="2523">
        <v>5033</v>
      </c>
      <c r="BO20" s="2523">
        <v>2708</v>
      </c>
      <c r="BP20" s="2524">
        <v>1840</v>
      </c>
      <c r="BQ20" s="2524">
        <v>1757</v>
      </c>
      <c r="BR20" s="1827">
        <v>4320</v>
      </c>
      <c r="BS20" s="1380">
        <v>7942</v>
      </c>
      <c r="BT20" s="1380">
        <v>4781</v>
      </c>
      <c r="BU20" s="2029">
        <v>6243</v>
      </c>
      <c r="BV20" s="2029">
        <v>4813</v>
      </c>
      <c r="BW20" s="2029">
        <v>76</v>
      </c>
      <c r="BX20" s="2029">
        <v>3837</v>
      </c>
      <c r="BY20" s="1317"/>
      <c r="BZ20" s="2166"/>
      <c r="CA20" s="2166"/>
      <c r="CB20" s="2166"/>
      <c r="CC20" s="1153"/>
    </row>
    <row r="21" spans="1:81" ht="12.75" hidden="1" customHeight="1" x14ac:dyDescent="0.2">
      <c r="A21" s="948"/>
      <c r="B21" s="1201" t="s">
        <v>636</v>
      </c>
      <c r="C21" s="957">
        <v>7520</v>
      </c>
      <c r="D21" s="1035">
        <v>0.1526128868594622</v>
      </c>
      <c r="E21" s="920"/>
      <c r="F21" s="2223">
        <v>56795</v>
      </c>
      <c r="G21" s="1155">
        <v>49711</v>
      </c>
      <c r="H21" s="1230">
        <v>50267</v>
      </c>
      <c r="I21" s="1230">
        <v>51520</v>
      </c>
      <c r="J21" s="1258">
        <v>49275</v>
      </c>
      <c r="K21" s="1230">
        <v>53582</v>
      </c>
      <c r="L21" s="1230">
        <v>48980</v>
      </c>
      <c r="M21" s="1230">
        <v>30251</v>
      </c>
      <c r="N21" s="1258">
        <v>30872</v>
      </c>
      <c r="O21" s="1230">
        <v>33600</v>
      </c>
      <c r="P21" s="1230">
        <v>27072</v>
      </c>
      <c r="Q21" s="1230">
        <v>26430</v>
      </c>
      <c r="R21" s="1258">
        <v>27270</v>
      </c>
      <c r="S21" s="1230">
        <v>25074</v>
      </c>
      <c r="T21" s="1230">
        <v>24343</v>
      </c>
      <c r="U21" s="1230">
        <v>24262</v>
      </c>
      <c r="V21" s="1258">
        <v>28174</v>
      </c>
      <c r="W21" s="1230">
        <v>16367</v>
      </c>
      <c r="X21" s="1230">
        <v>13980</v>
      </c>
      <c r="Y21" s="1230">
        <v>15709</v>
      </c>
      <c r="Z21" s="1258">
        <v>16757</v>
      </c>
      <c r="AA21" s="1230">
        <v>16758</v>
      </c>
      <c r="AB21" s="1230">
        <v>14074</v>
      </c>
      <c r="AC21" s="1230">
        <v>12605</v>
      </c>
      <c r="AD21" s="1231">
        <v>13084</v>
      </c>
      <c r="AE21" s="1230">
        <v>17313</v>
      </c>
      <c r="AF21" s="1230">
        <v>18181</v>
      </c>
      <c r="AG21" s="1230">
        <v>19797</v>
      </c>
      <c r="AH21" s="1231">
        <v>19032</v>
      </c>
      <c r="AI21" s="1230">
        <v>25851</v>
      </c>
      <c r="AJ21" s="1230">
        <v>22544</v>
      </c>
      <c r="AK21" s="1230">
        <v>23776</v>
      </c>
      <c r="AL21" s="1231">
        <v>28226</v>
      </c>
      <c r="AM21" s="1230">
        <v>35521</v>
      </c>
      <c r="AN21" s="1230">
        <v>35901</v>
      </c>
      <c r="AO21" s="1230">
        <v>21561</v>
      </c>
      <c r="AP21" s="1231">
        <v>23281</v>
      </c>
      <c r="AQ21" s="1230">
        <v>26203</v>
      </c>
      <c r="AR21" s="1230">
        <v>24376</v>
      </c>
      <c r="AS21" s="1230">
        <v>19368</v>
      </c>
      <c r="AT21" s="1231">
        <v>18643</v>
      </c>
      <c r="AU21" s="1230">
        <v>13122</v>
      </c>
      <c r="AV21" s="1230">
        <v>14195</v>
      </c>
      <c r="AW21" s="1230">
        <v>20116</v>
      </c>
      <c r="AX21" s="1231">
        <v>26950</v>
      </c>
      <c r="AY21" s="1196">
        <v>24166</v>
      </c>
      <c r="AZ21" s="1270">
        <v>28443</v>
      </c>
      <c r="BA21" s="1270">
        <v>25351</v>
      </c>
      <c r="BB21" s="1270">
        <v>37680</v>
      </c>
      <c r="BC21" s="1237">
        <v>36567</v>
      </c>
      <c r="BD21" s="1231">
        <v>31848</v>
      </c>
      <c r="BE21" s="1231">
        <v>24885</v>
      </c>
      <c r="BF21" s="1231">
        <v>33368</v>
      </c>
      <c r="BG21" s="1034"/>
      <c r="BH21" s="1007">
        <v>200773</v>
      </c>
      <c r="BI21" s="1007">
        <v>163685</v>
      </c>
      <c r="BJ21" s="1006">
        <v>37088</v>
      </c>
      <c r="BK21" s="1035">
        <v>0.22658154381892048</v>
      </c>
      <c r="BL21" s="1201"/>
      <c r="BM21" s="1261">
        <v>200773</v>
      </c>
      <c r="BN21" s="1261">
        <v>163685</v>
      </c>
      <c r="BO21" s="1261">
        <v>114372</v>
      </c>
      <c r="BP21" s="1209">
        <v>101853</v>
      </c>
      <c r="BQ21" s="1367">
        <v>108220</v>
      </c>
      <c r="BR21" s="1367">
        <v>96660</v>
      </c>
      <c r="BS21" s="1367">
        <v>109103</v>
      </c>
      <c r="BT21" s="1367">
        <v>100397</v>
      </c>
      <c r="BU21" s="1317">
        <v>116264</v>
      </c>
      <c r="BV21" s="1317">
        <v>88590</v>
      </c>
      <c r="BW21" s="1317">
        <v>74383</v>
      </c>
      <c r="BX21" s="1317">
        <v>115640</v>
      </c>
      <c r="BY21" s="1317">
        <v>126668</v>
      </c>
      <c r="BZ21" s="2166">
        <v>105283</v>
      </c>
      <c r="CA21" s="2166">
        <v>84396</v>
      </c>
      <c r="CB21" s="2166">
        <v>82758</v>
      </c>
      <c r="CC21" s="1153"/>
    </row>
    <row r="22" spans="1:81" ht="12.75" hidden="1" customHeight="1" x14ac:dyDescent="0.2">
      <c r="A22" s="948"/>
      <c r="B22" s="954" t="s">
        <v>64</v>
      </c>
      <c r="C22" s="957">
        <v>634</v>
      </c>
      <c r="D22" s="1035">
        <v>4.1508445724761034E-2</v>
      </c>
      <c r="E22" s="920"/>
      <c r="F22" s="2223">
        <v>15908</v>
      </c>
      <c r="G22" s="1155">
        <v>16835</v>
      </c>
      <c r="H22" s="1230">
        <v>15805</v>
      </c>
      <c r="I22" s="1230">
        <v>15000</v>
      </c>
      <c r="J22" s="1231">
        <v>15274</v>
      </c>
      <c r="K22" s="1230">
        <v>15337</v>
      </c>
      <c r="L22" s="1230">
        <v>13641</v>
      </c>
      <c r="M22" s="1230">
        <v>9377</v>
      </c>
      <c r="N22" s="1231">
        <v>9174</v>
      </c>
      <c r="O22" s="1230">
        <v>8622</v>
      </c>
      <c r="P22" s="1230">
        <v>8102</v>
      </c>
      <c r="Q22" s="1230">
        <v>7776</v>
      </c>
      <c r="R22" s="1231">
        <v>8546</v>
      </c>
      <c r="S22" s="1230">
        <v>9166</v>
      </c>
      <c r="T22" s="1230">
        <v>8715</v>
      </c>
      <c r="U22" s="1230">
        <v>8761</v>
      </c>
      <c r="V22" s="1231">
        <v>8464</v>
      </c>
      <c r="W22" s="1230">
        <v>3473</v>
      </c>
      <c r="X22" s="1230">
        <v>2565</v>
      </c>
      <c r="Y22" s="1230">
        <v>2887</v>
      </c>
      <c r="Z22" s="1231">
        <v>3263</v>
      </c>
      <c r="AA22" s="1230">
        <v>3987</v>
      </c>
      <c r="AB22" s="1230">
        <v>2854</v>
      </c>
      <c r="AC22" s="1230">
        <v>2644</v>
      </c>
      <c r="AD22" s="1231">
        <v>3775</v>
      </c>
      <c r="AE22" s="1230">
        <v>3521</v>
      </c>
      <c r="AF22" s="1230">
        <v>3216</v>
      </c>
      <c r="AG22" s="1230">
        <v>3404</v>
      </c>
      <c r="AH22" s="1231">
        <v>3704</v>
      </c>
      <c r="AI22" s="1230">
        <v>4557</v>
      </c>
      <c r="AJ22" s="1230">
        <v>3437</v>
      </c>
      <c r="AK22" s="1230">
        <v>3327</v>
      </c>
      <c r="AL22" s="1231">
        <v>3938</v>
      </c>
      <c r="AM22" s="1230">
        <v>5565</v>
      </c>
      <c r="AN22" s="1230">
        <v>3601</v>
      </c>
      <c r="AO22" s="1230">
        <v>4817</v>
      </c>
      <c r="AP22" s="1231">
        <v>3882</v>
      </c>
      <c r="AQ22" s="1230">
        <v>5573</v>
      </c>
      <c r="AR22" s="1230">
        <v>4015</v>
      </c>
      <c r="AS22" s="1230">
        <v>4360</v>
      </c>
      <c r="AT22" s="1231">
        <v>4246</v>
      </c>
      <c r="AU22" s="1230">
        <v>4505</v>
      </c>
      <c r="AV22" s="1230">
        <v>3057</v>
      </c>
      <c r="AW22" s="1230">
        <v>3477</v>
      </c>
      <c r="AX22" s="1231">
        <v>3781</v>
      </c>
      <c r="AY22" s="1196">
        <v>4683</v>
      </c>
      <c r="AZ22" s="1270">
        <v>3272</v>
      </c>
      <c r="BA22" s="1270">
        <v>3510</v>
      </c>
      <c r="BB22" s="1270">
        <v>4049</v>
      </c>
      <c r="BC22" s="1237">
        <v>4303</v>
      </c>
      <c r="BD22" s="1231">
        <v>3039</v>
      </c>
      <c r="BE22" s="1231">
        <v>2854</v>
      </c>
      <c r="BF22" s="1231">
        <v>3430</v>
      </c>
      <c r="BG22" s="1034"/>
      <c r="BH22" s="1007">
        <v>62914</v>
      </c>
      <c r="BI22" s="1007">
        <v>47529</v>
      </c>
      <c r="BJ22" s="1006">
        <v>15385</v>
      </c>
      <c r="BK22" s="1035">
        <v>0.32369711123734984</v>
      </c>
      <c r="BL22" s="1201"/>
      <c r="BM22" s="1261">
        <v>62914</v>
      </c>
      <c r="BN22" s="1261">
        <v>47529</v>
      </c>
      <c r="BO22" s="1261">
        <v>33046</v>
      </c>
      <c r="BP22" s="2231">
        <v>35106</v>
      </c>
      <c r="BQ22" s="2527">
        <v>30761</v>
      </c>
      <c r="BR22" s="1846">
        <v>27916</v>
      </c>
      <c r="BS22" s="1367">
        <v>23580</v>
      </c>
      <c r="BT22" s="1367">
        <v>15259</v>
      </c>
      <c r="BU22" s="1317">
        <v>17865</v>
      </c>
      <c r="BV22" s="1317">
        <v>18194</v>
      </c>
      <c r="BW22" s="1317">
        <v>14820</v>
      </c>
      <c r="BX22" s="1317">
        <v>15514</v>
      </c>
      <c r="BY22" s="1317">
        <v>13626</v>
      </c>
      <c r="BZ22" s="2166">
        <v>13053</v>
      </c>
      <c r="CA22" s="2166">
        <v>11158</v>
      </c>
      <c r="CB22" s="2166">
        <v>10157</v>
      </c>
      <c r="CC22" s="1153"/>
    </row>
    <row r="23" spans="1:81" ht="12.75" customHeight="1" x14ac:dyDescent="0.2">
      <c r="A23" s="948"/>
      <c r="B23" s="1201" t="s">
        <v>715</v>
      </c>
      <c r="C23" s="957">
        <v>8154</v>
      </c>
      <c r="D23" s="1035">
        <v>0.12632263861562534</v>
      </c>
      <c r="E23" s="920"/>
      <c r="F23" s="2223">
        <v>72703</v>
      </c>
      <c r="G23" s="1155">
        <v>66546</v>
      </c>
      <c r="H23" s="1230">
        <v>66072</v>
      </c>
      <c r="I23" s="1230">
        <v>66520</v>
      </c>
      <c r="J23" s="1231">
        <v>64549</v>
      </c>
      <c r="K23" s="1155">
        <v>68919</v>
      </c>
      <c r="L23" s="1230">
        <v>62621</v>
      </c>
      <c r="M23" s="1230">
        <v>39628</v>
      </c>
      <c r="N23" s="1231">
        <v>40046</v>
      </c>
      <c r="O23" s="1230"/>
      <c r="P23" s="1230"/>
      <c r="Q23" s="1230"/>
      <c r="R23" s="1231"/>
      <c r="S23" s="1230"/>
      <c r="T23" s="1230"/>
      <c r="U23" s="1230"/>
      <c r="V23" s="1231"/>
      <c r="W23" s="1230"/>
      <c r="X23" s="1230"/>
      <c r="Y23" s="1230"/>
      <c r="Z23" s="1231"/>
      <c r="AA23" s="1230"/>
      <c r="AB23" s="1230"/>
      <c r="AC23" s="1230"/>
      <c r="AD23" s="1231"/>
      <c r="AE23" s="1230"/>
      <c r="AF23" s="1230"/>
      <c r="AG23" s="1230"/>
      <c r="AH23" s="1231"/>
      <c r="AI23" s="1230"/>
      <c r="AJ23" s="1230"/>
      <c r="AK23" s="1230"/>
      <c r="AL23" s="1231"/>
      <c r="AM23" s="1230"/>
      <c r="AN23" s="1230"/>
      <c r="AO23" s="1230"/>
      <c r="AP23" s="1231"/>
      <c r="AQ23" s="1230"/>
      <c r="AR23" s="1230"/>
      <c r="AS23" s="1230"/>
      <c r="AT23" s="1231"/>
      <c r="AU23" s="1230"/>
      <c r="AV23" s="1230"/>
      <c r="AW23" s="1230"/>
      <c r="AX23" s="1231"/>
      <c r="AY23" s="1196"/>
      <c r="AZ23" s="1270"/>
      <c r="BA23" s="1270"/>
      <c r="BB23" s="1270"/>
      <c r="BC23" s="1237"/>
      <c r="BD23" s="1231"/>
      <c r="BE23" s="1231"/>
      <c r="BF23" s="1231"/>
      <c r="BG23" s="1034"/>
      <c r="BH23" s="1007"/>
      <c r="BI23" s="1007"/>
      <c r="BJ23" s="1006"/>
      <c r="BK23" s="1035"/>
      <c r="BL23" s="1201"/>
      <c r="BM23" s="1261">
        <v>263687</v>
      </c>
      <c r="BN23" s="1261">
        <v>211214</v>
      </c>
      <c r="BO23" s="1261">
        <v>147418</v>
      </c>
      <c r="BP23" s="1261">
        <v>136959</v>
      </c>
      <c r="BQ23" s="2527">
        <v>138981</v>
      </c>
      <c r="BR23" s="1846"/>
      <c r="BS23" s="1367"/>
      <c r="BT23" s="1367"/>
      <c r="BU23" s="1317"/>
      <c r="BV23" s="1317"/>
      <c r="BW23" s="1317"/>
      <c r="BX23" s="1317"/>
      <c r="BY23" s="1317"/>
      <c r="BZ23" s="2166"/>
      <c r="CA23" s="2166"/>
      <c r="CB23" s="2166"/>
      <c r="CC23" s="1153"/>
    </row>
    <row r="24" spans="1:81" ht="12.75" customHeight="1" x14ac:dyDescent="0.2">
      <c r="A24" s="948"/>
      <c r="B24" s="954" t="s">
        <v>65</v>
      </c>
      <c r="C24" s="957">
        <v>2022</v>
      </c>
      <c r="D24" s="1035">
        <v>0.41493946234352552</v>
      </c>
      <c r="E24" s="920"/>
      <c r="F24" s="2223">
        <v>6895</v>
      </c>
      <c r="G24" s="1155">
        <v>5760</v>
      </c>
      <c r="H24" s="1230">
        <v>5839</v>
      </c>
      <c r="I24" s="1230">
        <v>4942</v>
      </c>
      <c r="J24" s="1231">
        <v>4873</v>
      </c>
      <c r="K24" s="1230">
        <v>5441</v>
      </c>
      <c r="L24" s="1230">
        <v>5382</v>
      </c>
      <c r="M24" s="1230">
        <v>3805</v>
      </c>
      <c r="N24" s="1231">
        <v>5579</v>
      </c>
      <c r="O24" s="1230">
        <v>5990</v>
      </c>
      <c r="P24" s="1230">
        <v>5059</v>
      </c>
      <c r="Q24" s="1230">
        <v>4414</v>
      </c>
      <c r="R24" s="1231">
        <v>4606</v>
      </c>
      <c r="S24" s="1230">
        <v>4625</v>
      </c>
      <c r="T24" s="1230">
        <v>4260</v>
      </c>
      <c r="U24" s="1230">
        <v>3856</v>
      </c>
      <c r="V24" s="1231">
        <v>3643</v>
      </c>
      <c r="W24" s="1230">
        <v>3137</v>
      </c>
      <c r="X24" s="1230">
        <v>3426</v>
      </c>
      <c r="Y24" s="1230">
        <v>2857</v>
      </c>
      <c r="Z24" s="1231">
        <v>3080</v>
      </c>
      <c r="AA24" s="1230">
        <v>3794</v>
      </c>
      <c r="AB24" s="1230">
        <v>3423</v>
      </c>
      <c r="AC24" s="1230">
        <v>3657</v>
      </c>
      <c r="AD24" s="1231">
        <v>3089</v>
      </c>
      <c r="AE24" s="1230">
        <v>1242</v>
      </c>
      <c r="AF24" s="1230">
        <v>1421</v>
      </c>
      <c r="AG24" s="1230">
        <v>1222</v>
      </c>
      <c r="AH24" s="1231">
        <v>1552</v>
      </c>
      <c r="AI24" s="1230">
        <v>1546</v>
      </c>
      <c r="AJ24" s="1230">
        <v>1859</v>
      </c>
      <c r="AK24" s="1230">
        <v>1709</v>
      </c>
      <c r="AL24" s="1231">
        <v>2183</v>
      </c>
      <c r="AM24" s="1230">
        <v>2253</v>
      </c>
      <c r="AN24" s="1230">
        <v>2017</v>
      </c>
      <c r="AO24" s="1230">
        <v>1577</v>
      </c>
      <c r="AP24" s="1231">
        <v>2224</v>
      </c>
      <c r="AQ24" s="1230">
        <v>2320</v>
      </c>
      <c r="AR24" s="1230">
        <v>1910</v>
      </c>
      <c r="AS24" s="1230">
        <v>2120</v>
      </c>
      <c r="AT24" s="1231">
        <v>2156</v>
      </c>
      <c r="AU24" s="1230">
        <v>1697</v>
      </c>
      <c r="AV24" s="1230">
        <v>1856</v>
      </c>
      <c r="AW24" s="1230">
        <v>1606</v>
      </c>
      <c r="AX24" s="1231">
        <v>1849</v>
      </c>
      <c r="AY24" s="1196">
        <v>1694</v>
      </c>
      <c r="AZ24" s="1270">
        <v>2331</v>
      </c>
      <c r="BA24" s="1270">
        <v>2158</v>
      </c>
      <c r="BB24" s="1270">
        <v>2399</v>
      </c>
      <c r="BC24" s="1237">
        <v>2477</v>
      </c>
      <c r="BD24" s="1231">
        <v>2338</v>
      </c>
      <c r="BE24" s="1231">
        <v>2276</v>
      </c>
      <c r="BF24" s="1231">
        <v>3066</v>
      </c>
      <c r="BG24" s="1034"/>
      <c r="BH24" s="1007">
        <v>21414</v>
      </c>
      <c r="BI24" s="1007">
        <v>20207</v>
      </c>
      <c r="BJ24" s="1006">
        <v>1207</v>
      </c>
      <c r="BK24" s="1035">
        <v>5.9731776117187114E-2</v>
      </c>
      <c r="BL24" s="1201"/>
      <c r="BM24" s="1261">
        <v>21414</v>
      </c>
      <c r="BN24" s="1261">
        <v>20207</v>
      </c>
      <c r="BO24" s="1261">
        <v>20069</v>
      </c>
      <c r="BP24" s="2231">
        <v>16384</v>
      </c>
      <c r="BQ24" s="2527">
        <v>16705</v>
      </c>
      <c r="BR24" s="1846">
        <v>17845</v>
      </c>
      <c r="BS24" s="1367">
        <v>9794</v>
      </c>
      <c r="BT24" s="1367">
        <v>7297</v>
      </c>
      <c r="BU24" s="1317">
        <v>8071</v>
      </c>
      <c r="BV24" s="1317">
        <v>8506</v>
      </c>
      <c r="BW24" s="1317">
        <v>7008</v>
      </c>
      <c r="BX24" s="1317">
        <v>8582</v>
      </c>
      <c r="BY24" s="1317">
        <v>10157</v>
      </c>
      <c r="BZ24" s="2166">
        <v>9013</v>
      </c>
      <c r="CA24" s="2166">
        <v>8802</v>
      </c>
      <c r="CB24" s="2166">
        <v>1308</v>
      </c>
      <c r="CC24" s="1153"/>
    </row>
    <row r="25" spans="1:81" ht="12.75" customHeight="1" x14ac:dyDescent="0.2">
      <c r="A25" s="948"/>
      <c r="B25" s="954" t="s">
        <v>66</v>
      </c>
      <c r="C25" s="957">
        <v>-1815</v>
      </c>
      <c r="D25" s="1035">
        <v>-0.63130434782608691</v>
      </c>
      <c r="E25" s="920"/>
      <c r="F25" s="2223">
        <v>1060</v>
      </c>
      <c r="G25" s="1155">
        <v>3365</v>
      </c>
      <c r="H25" s="1230">
        <v>3000</v>
      </c>
      <c r="I25" s="1230">
        <v>3198</v>
      </c>
      <c r="J25" s="1231">
        <v>2875</v>
      </c>
      <c r="K25" s="1230">
        <v>3349</v>
      </c>
      <c r="L25" s="1230">
        <v>3624</v>
      </c>
      <c r="M25" s="1230">
        <v>2519</v>
      </c>
      <c r="N25" s="1231">
        <v>2747</v>
      </c>
      <c r="O25" s="1230">
        <v>2785</v>
      </c>
      <c r="P25" s="1230">
        <v>2621</v>
      </c>
      <c r="Q25" s="1230">
        <v>2541</v>
      </c>
      <c r="R25" s="1231">
        <v>2663</v>
      </c>
      <c r="S25" s="1230">
        <v>2659</v>
      </c>
      <c r="T25" s="1230">
        <v>2474</v>
      </c>
      <c r="U25" s="1230">
        <v>2187</v>
      </c>
      <c r="V25" s="1231">
        <v>2270</v>
      </c>
      <c r="W25" s="1230">
        <v>1207</v>
      </c>
      <c r="X25" s="1230">
        <v>1403</v>
      </c>
      <c r="Y25" s="1230">
        <v>1500</v>
      </c>
      <c r="Z25" s="1231">
        <v>1490</v>
      </c>
      <c r="AA25" s="1230">
        <v>1306</v>
      </c>
      <c r="AB25" s="1230">
        <v>1398</v>
      </c>
      <c r="AC25" s="1230">
        <v>1381</v>
      </c>
      <c r="AD25" s="1231">
        <v>1444</v>
      </c>
      <c r="AE25" s="1230">
        <v>1386</v>
      </c>
      <c r="AF25" s="1230">
        <v>1292</v>
      </c>
      <c r="AG25" s="1230">
        <v>1834</v>
      </c>
      <c r="AH25" s="1231">
        <v>1891</v>
      </c>
      <c r="AI25" s="1230">
        <v>1822</v>
      </c>
      <c r="AJ25" s="1230">
        <v>1838</v>
      </c>
      <c r="AK25" s="1230">
        <v>1881</v>
      </c>
      <c r="AL25" s="1231">
        <v>1852</v>
      </c>
      <c r="AM25" s="1230">
        <v>2030</v>
      </c>
      <c r="AN25" s="1230">
        <v>1993</v>
      </c>
      <c r="AO25" s="1230">
        <v>2068</v>
      </c>
      <c r="AP25" s="1231">
        <v>1948</v>
      </c>
      <c r="AQ25" s="1230">
        <v>2016</v>
      </c>
      <c r="AR25" s="1230">
        <v>2074</v>
      </c>
      <c r="AS25" s="1230">
        <v>2075</v>
      </c>
      <c r="AT25" s="1231">
        <v>1951</v>
      </c>
      <c r="AU25" s="1230">
        <v>1822</v>
      </c>
      <c r="AV25" s="1230">
        <v>1632</v>
      </c>
      <c r="AW25" s="1230">
        <v>1702</v>
      </c>
      <c r="AX25" s="1231">
        <v>1632</v>
      </c>
      <c r="AY25" s="1196">
        <v>1630</v>
      </c>
      <c r="AZ25" s="1270">
        <v>1605</v>
      </c>
      <c r="BA25" s="1270">
        <v>1605</v>
      </c>
      <c r="BB25" s="1270">
        <v>1535</v>
      </c>
      <c r="BC25" s="1237">
        <v>1555</v>
      </c>
      <c r="BD25" s="1231">
        <v>1528</v>
      </c>
      <c r="BE25" s="1231">
        <v>1534</v>
      </c>
      <c r="BF25" s="1231">
        <v>1536</v>
      </c>
      <c r="BG25" s="1034"/>
      <c r="BH25" s="1007">
        <v>12438</v>
      </c>
      <c r="BI25" s="1007">
        <v>12239</v>
      </c>
      <c r="BJ25" s="1006">
        <v>199</v>
      </c>
      <c r="BK25" s="1035">
        <v>1.6259498325026555E-2</v>
      </c>
      <c r="BL25" s="1201"/>
      <c r="BM25" s="1261">
        <v>12438</v>
      </c>
      <c r="BN25" s="1261">
        <v>12239</v>
      </c>
      <c r="BO25" s="1261">
        <v>10610</v>
      </c>
      <c r="BP25" s="2231">
        <v>9590</v>
      </c>
      <c r="BQ25" s="2527">
        <v>11338</v>
      </c>
      <c r="BR25" s="1846">
        <v>9329</v>
      </c>
      <c r="BS25" s="1367">
        <v>9141</v>
      </c>
      <c r="BT25" s="1367">
        <v>7393</v>
      </c>
      <c r="BU25" s="1317">
        <v>8039</v>
      </c>
      <c r="BV25" s="1317">
        <v>8116</v>
      </c>
      <c r="BW25" s="1317">
        <v>6788</v>
      </c>
      <c r="BX25" s="1317">
        <v>6375</v>
      </c>
      <c r="BY25" s="1317">
        <v>6153</v>
      </c>
      <c r="BZ25" s="2166">
        <v>5464</v>
      </c>
      <c r="CA25" s="2166">
        <v>4653</v>
      </c>
      <c r="CB25" s="2166">
        <v>4742</v>
      </c>
      <c r="CC25" s="1153"/>
    </row>
    <row r="26" spans="1:81" ht="12.75" customHeight="1" x14ac:dyDescent="0.2">
      <c r="A26" s="948"/>
      <c r="B26" s="954" t="s">
        <v>67</v>
      </c>
      <c r="C26" s="957">
        <v>342</v>
      </c>
      <c r="D26" s="1035">
        <v>7.1057552462081855E-2</v>
      </c>
      <c r="E26" s="920"/>
      <c r="F26" s="2223">
        <v>5155</v>
      </c>
      <c r="G26" s="1155">
        <v>5624</v>
      </c>
      <c r="H26" s="1230">
        <v>5063</v>
      </c>
      <c r="I26" s="1230">
        <v>5343</v>
      </c>
      <c r="J26" s="1231">
        <v>4813</v>
      </c>
      <c r="K26" s="1230">
        <v>4754</v>
      </c>
      <c r="L26" s="1230">
        <v>4178</v>
      </c>
      <c r="M26" s="1230">
        <v>3640</v>
      </c>
      <c r="N26" s="1231">
        <v>2539</v>
      </c>
      <c r="O26" s="1230">
        <v>2658</v>
      </c>
      <c r="P26" s="1230">
        <v>2899</v>
      </c>
      <c r="Q26" s="1230">
        <v>3131</v>
      </c>
      <c r="R26" s="1231">
        <v>2502</v>
      </c>
      <c r="S26" s="1230">
        <v>3304</v>
      </c>
      <c r="T26" s="1230">
        <v>3392</v>
      </c>
      <c r="U26" s="1230">
        <v>3106</v>
      </c>
      <c r="V26" s="1231">
        <v>3445</v>
      </c>
      <c r="W26" s="1230">
        <v>1272</v>
      </c>
      <c r="X26" s="1230">
        <v>1346</v>
      </c>
      <c r="Y26" s="1230">
        <v>1220</v>
      </c>
      <c r="Z26" s="1231">
        <v>1042</v>
      </c>
      <c r="AA26" s="1230">
        <v>1406</v>
      </c>
      <c r="AB26" s="1230">
        <v>1406</v>
      </c>
      <c r="AC26" s="1230">
        <v>1339</v>
      </c>
      <c r="AD26" s="1231">
        <v>1354</v>
      </c>
      <c r="AE26" s="1230">
        <v>1437</v>
      </c>
      <c r="AF26" s="1230">
        <v>1332</v>
      </c>
      <c r="AG26" s="1230">
        <v>1485</v>
      </c>
      <c r="AH26" s="1231">
        <v>1367</v>
      </c>
      <c r="AI26" s="1230">
        <v>1477</v>
      </c>
      <c r="AJ26" s="1230">
        <v>1288</v>
      </c>
      <c r="AK26" s="1230">
        <v>1390</v>
      </c>
      <c r="AL26" s="1231">
        <v>1277</v>
      </c>
      <c r="AM26" s="1230">
        <v>1256</v>
      </c>
      <c r="AN26" s="1230">
        <v>1264</v>
      </c>
      <c r="AO26" s="1230">
        <v>1329</v>
      </c>
      <c r="AP26" s="1231">
        <v>1325</v>
      </c>
      <c r="AQ26" s="1230">
        <v>1426</v>
      </c>
      <c r="AR26" s="1230">
        <v>1660</v>
      </c>
      <c r="AS26" s="1230">
        <v>1494</v>
      </c>
      <c r="AT26" s="1231">
        <v>1536</v>
      </c>
      <c r="AU26" s="1230">
        <v>1630</v>
      </c>
      <c r="AV26" s="1230">
        <v>1590</v>
      </c>
      <c r="AW26" s="1230">
        <v>1556</v>
      </c>
      <c r="AX26" s="1231">
        <v>1639</v>
      </c>
      <c r="AY26" s="1196">
        <v>1596</v>
      </c>
      <c r="AZ26" s="1270">
        <v>1544</v>
      </c>
      <c r="BA26" s="1270">
        <v>1573</v>
      </c>
      <c r="BB26" s="1270">
        <v>1670</v>
      </c>
      <c r="BC26" s="1237">
        <v>1639</v>
      </c>
      <c r="BD26" s="1231">
        <v>1526</v>
      </c>
      <c r="BE26" s="1231">
        <v>1571</v>
      </c>
      <c r="BF26" s="1231">
        <v>1602</v>
      </c>
      <c r="BG26" s="1034"/>
      <c r="BH26" s="1007">
        <v>20843</v>
      </c>
      <c r="BI26" s="1007">
        <v>15111</v>
      </c>
      <c r="BJ26" s="1006">
        <v>5732</v>
      </c>
      <c r="BK26" s="1035">
        <v>0.3793263185758719</v>
      </c>
      <c r="BL26" s="1201"/>
      <c r="BM26" s="1261">
        <v>20843</v>
      </c>
      <c r="BN26" s="1261">
        <v>15111</v>
      </c>
      <c r="BO26" s="1261">
        <v>11190</v>
      </c>
      <c r="BP26" s="2231">
        <v>13247</v>
      </c>
      <c r="BQ26" s="2527">
        <v>12120</v>
      </c>
      <c r="BR26" s="1846">
        <v>12187</v>
      </c>
      <c r="BS26" s="1367">
        <v>11390</v>
      </c>
      <c r="BT26" s="1367">
        <v>5432</v>
      </c>
      <c r="BU26" s="1317">
        <v>5174</v>
      </c>
      <c r="BV26" s="1317">
        <v>6116</v>
      </c>
      <c r="BW26" s="1317">
        <v>6415</v>
      </c>
      <c r="BX26" s="1317">
        <v>6383</v>
      </c>
      <c r="BY26" s="1317">
        <v>6338</v>
      </c>
      <c r="BZ26" s="2166">
        <v>6066</v>
      </c>
      <c r="CA26" s="2166">
        <v>5819</v>
      </c>
      <c r="CB26" s="2166">
        <v>5491</v>
      </c>
      <c r="CC26" s="1153"/>
    </row>
    <row r="27" spans="1:81" ht="12.75" customHeight="1" x14ac:dyDescent="0.2">
      <c r="A27" s="948"/>
      <c r="B27" s="954" t="s">
        <v>62</v>
      </c>
      <c r="C27" s="957">
        <v>-52</v>
      </c>
      <c r="D27" s="1035">
        <v>-3.4805890227576977E-2</v>
      </c>
      <c r="E27" s="920"/>
      <c r="F27" s="2223">
        <v>1442</v>
      </c>
      <c r="G27" s="1155">
        <v>887</v>
      </c>
      <c r="H27" s="1230">
        <v>847</v>
      </c>
      <c r="I27" s="1230">
        <v>1365</v>
      </c>
      <c r="J27" s="1231">
        <v>1494</v>
      </c>
      <c r="K27" s="1230">
        <v>1368</v>
      </c>
      <c r="L27" s="1230">
        <v>1093</v>
      </c>
      <c r="M27" s="1230">
        <v>184</v>
      </c>
      <c r="N27" s="1231">
        <v>96</v>
      </c>
      <c r="O27" s="1230">
        <v>59</v>
      </c>
      <c r="P27" s="1205">
        <v>-37</v>
      </c>
      <c r="Q27" s="1230">
        <v>63</v>
      </c>
      <c r="R27" s="1231">
        <v>50</v>
      </c>
      <c r="S27" s="1230">
        <v>98</v>
      </c>
      <c r="T27" s="1230">
        <v>23</v>
      </c>
      <c r="U27" s="1230">
        <v>53</v>
      </c>
      <c r="V27" s="1231">
        <v>67</v>
      </c>
      <c r="W27" s="1230">
        <v>26</v>
      </c>
      <c r="X27" s="1230">
        <v>28</v>
      </c>
      <c r="Y27" s="1230">
        <v>44</v>
      </c>
      <c r="Z27" s="1231">
        <v>34</v>
      </c>
      <c r="AA27" s="1230">
        <v>25</v>
      </c>
      <c r="AB27" s="1230">
        <v>38</v>
      </c>
      <c r="AC27" s="1230">
        <v>41</v>
      </c>
      <c r="AD27" s="1231">
        <v>47</v>
      </c>
      <c r="AE27" s="1230">
        <v>39</v>
      </c>
      <c r="AF27" s="1230">
        <v>47</v>
      </c>
      <c r="AG27" s="1230">
        <v>54</v>
      </c>
      <c r="AH27" s="1231">
        <v>56</v>
      </c>
      <c r="AI27" s="1230">
        <v>56</v>
      </c>
      <c r="AJ27" s="1230">
        <v>56</v>
      </c>
      <c r="AK27" s="1230">
        <v>80</v>
      </c>
      <c r="AL27" s="1231">
        <v>102</v>
      </c>
      <c r="AM27" s="1230">
        <v>90</v>
      </c>
      <c r="AN27" s="1230">
        <v>97</v>
      </c>
      <c r="AO27" s="1230">
        <v>63</v>
      </c>
      <c r="AP27" s="1231">
        <v>58</v>
      </c>
      <c r="AQ27" s="1230">
        <v>44</v>
      </c>
      <c r="AR27" s="1230">
        <v>51</v>
      </c>
      <c r="AS27" s="1230">
        <v>104</v>
      </c>
      <c r="AT27" s="1231">
        <v>243</v>
      </c>
      <c r="AU27" s="1230">
        <v>671</v>
      </c>
      <c r="AV27" s="1230">
        <v>1758</v>
      </c>
      <c r="AW27" s="1230">
        <v>2459</v>
      </c>
      <c r="AX27" s="1231">
        <v>2915</v>
      </c>
      <c r="AY27" s="1196">
        <v>4124</v>
      </c>
      <c r="AZ27" s="1270">
        <v>5305</v>
      </c>
      <c r="BA27" s="1270">
        <v>5435</v>
      </c>
      <c r="BB27" s="1270">
        <v>5060</v>
      </c>
      <c r="BC27" s="1237">
        <v>4659</v>
      </c>
      <c r="BD27" s="1231">
        <v>4412</v>
      </c>
      <c r="BE27" s="1231">
        <v>4434</v>
      </c>
      <c r="BF27" s="1231">
        <v>4246</v>
      </c>
      <c r="BG27" s="1034"/>
      <c r="BH27" s="1007">
        <v>4593</v>
      </c>
      <c r="BI27" s="1007">
        <v>2741</v>
      </c>
      <c r="BJ27" s="1006">
        <v>1852</v>
      </c>
      <c r="BK27" s="1035">
        <v>0.67566581539584092</v>
      </c>
      <c r="BL27" s="1201"/>
      <c r="BM27" s="1261">
        <v>4593</v>
      </c>
      <c r="BN27" s="1261">
        <v>2741</v>
      </c>
      <c r="BO27" s="1261">
        <v>135</v>
      </c>
      <c r="BP27" s="2231">
        <v>241</v>
      </c>
      <c r="BQ27" s="2527">
        <v>539</v>
      </c>
      <c r="BR27" s="1846">
        <v>502</v>
      </c>
      <c r="BS27" s="1367">
        <v>296</v>
      </c>
      <c r="BT27" s="1367">
        <v>294</v>
      </c>
      <c r="BU27" s="1317">
        <v>308</v>
      </c>
      <c r="BV27" s="1317">
        <v>442</v>
      </c>
      <c r="BW27" s="1317">
        <v>7803</v>
      </c>
      <c r="BX27" s="1317">
        <v>19924</v>
      </c>
      <c r="BY27" s="1317">
        <v>17751</v>
      </c>
      <c r="BZ27" s="2166">
        <v>7194</v>
      </c>
      <c r="CA27" s="2166">
        <v>3711</v>
      </c>
      <c r="CB27" s="2166">
        <v>0</v>
      </c>
      <c r="CC27" s="1153"/>
    </row>
    <row r="28" spans="1:81" ht="12.75" customHeight="1" x14ac:dyDescent="0.2">
      <c r="A28" s="948"/>
      <c r="B28" s="954" t="s">
        <v>90</v>
      </c>
      <c r="C28" s="957">
        <v>349</v>
      </c>
      <c r="D28" s="1035">
        <v>4.2053259428846849E-2</v>
      </c>
      <c r="E28" s="920"/>
      <c r="F28" s="2223">
        <v>8648</v>
      </c>
      <c r="G28" s="1155">
        <v>9752</v>
      </c>
      <c r="H28" s="1230">
        <v>8753</v>
      </c>
      <c r="I28" s="1230">
        <v>6743</v>
      </c>
      <c r="J28" s="1231">
        <v>8299</v>
      </c>
      <c r="K28" s="1230">
        <v>8314</v>
      </c>
      <c r="L28" s="1230">
        <v>6884</v>
      </c>
      <c r="M28" s="1230">
        <v>4864</v>
      </c>
      <c r="N28" s="1231">
        <v>5509</v>
      </c>
      <c r="O28" s="1230">
        <v>4909</v>
      </c>
      <c r="P28" s="1230">
        <v>6400</v>
      </c>
      <c r="Q28" s="1230">
        <v>4995</v>
      </c>
      <c r="R28" s="1231">
        <v>4635</v>
      </c>
      <c r="S28" s="1230">
        <v>5499</v>
      </c>
      <c r="T28" s="1230">
        <v>5345</v>
      </c>
      <c r="U28" s="1230">
        <v>4854</v>
      </c>
      <c r="V28" s="1231">
        <v>5083</v>
      </c>
      <c r="W28" s="1230">
        <v>2841</v>
      </c>
      <c r="X28" s="1230">
        <v>2049</v>
      </c>
      <c r="Y28" s="1230">
        <v>2797</v>
      </c>
      <c r="Z28" s="1231">
        <v>3041</v>
      </c>
      <c r="AA28" s="1230">
        <v>1877</v>
      </c>
      <c r="AB28" s="1230">
        <v>3310</v>
      </c>
      <c r="AC28" s="1230">
        <v>2824</v>
      </c>
      <c r="AD28" s="1231">
        <v>2668</v>
      </c>
      <c r="AE28" s="1230">
        <v>3243</v>
      </c>
      <c r="AF28" s="1230">
        <v>3197</v>
      </c>
      <c r="AG28" s="1230">
        <v>3536</v>
      </c>
      <c r="AH28" s="1231">
        <v>4472</v>
      </c>
      <c r="AI28" s="1230">
        <v>3668</v>
      </c>
      <c r="AJ28" s="1230">
        <v>3720</v>
      </c>
      <c r="AK28" s="1230">
        <v>2632</v>
      </c>
      <c r="AL28" s="1231">
        <v>3319</v>
      </c>
      <c r="AM28" s="1230">
        <v>4728</v>
      </c>
      <c r="AN28" s="1230">
        <v>4268</v>
      </c>
      <c r="AO28" s="1230">
        <v>4186</v>
      </c>
      <c r="AP28" s="1231">
        <v>3730</v>
      </c>
      <c r="AQ28" s="1230">
        <v>6030</v>
      </c>
      <c r="AR28" s="1230">
        <v>4108</v>
      </c>
      <c r="AS28" s="1230">
        <v>2461</v>
      </c>
      <c r="AT28" s="1231">
        <v>3886</v>
      </c>
      <c r="AU28" s="1230">
        <v>2268</v>
      </c>
      <c r="AV28" s="1230">
        <v>7826</v>
      </c>
      <c r="AW28" s="1230">
        <v>3206</v>
      </c>
      <c r="AX28" s="1231">
        <v>3942</v>
      </c>
      <c r="AY28" s="1196">
        <v>3477</v>
      </c>
      <c r="AZ28" s="1270">
        <v>3587</v>
      </c>
      <c r="BA28" s="1270">
        <v>2594</v>
      </c>
      <c r="BB28" s="1270">
        <v>2953</v>
      </c>
      <c r="BC28" s="1237">
        <v>2341</v>
      </c>
      <c r="BD28" s="1231">
        <v>3444</v>
      </c>
      <c r="BE28" s="1231">
        <v>1855</v>
      </c>
      <c r="BF28" s="1231">
        <v>6038</v>
      </c>
      <c r="BG28" s="1034"/>
      <c r="BH28" s="1007">
        <v>33547</v>
      </c>
      <c r="BI28" s="1007">
        <v>25571</v>
      </c>
      <c r="BJ28" s="1006">
        <v>7976</v>
      </c>
      <c r="BK28" s="1035">
        <v>0.31191584216495249</v>
      </c>
      <c r="BL28" s="1201"/>
      <c r="BM28" s="1261">
        <v>33547</v>
      </c>
      <c r="BN28" s="1261">
        <v>25571</v>
      </c>
      <c r="BO28" s="1261">
        <v>20939</v>
      </c>
      <c r="BP28" s="2231">
        <v>20781</v>
      </c>
      <c r="BQ28" s="2527">
        <v>23336</v>
      </c>
      <c r="BR28" s="1846">
        <v>22041</v>
      </c>
      <c r="BS28" s="1367">
        <v>24911</v>
      </c>
      <c r="BT28" s="1367">
        <v>13339</v>
      </c>
      <c r="BU28" s="1317">
        <v>16912</v>
      </c>
      <c r="BV28" s="1317">
        <v>16485</v>
      </c>
      <c r="BW28" s="1317">
        <v>17242</v>
      </c>
      <c r="BX28" s="1317">
        <v>12611</v>
      </c>
      <c r="BY28" s="1317">
        <v>13678</v>
      </c>
      <c r="BZ28" s="2166">
        <v>12162</v>
      </c>
      <c r="CA28" s="2166">
        <v>5080</v>
      </c>
      <c r="CB28" s="2166">
        <v>9626</v>
      </c>
      <c r="CC28" s="1153"/>
    </row>
    <row r="29" spans="1:81" ht="12.75" customHeight="1" x14ac:dyDescent="0.2">
      <c r="A29" s="948"/>
      <c r="B29" s="954" t="s">
        <v>69</v>
      </c>
      <c r="C29" s="957">
        <v>132</v>
      </c>
      <c r="D29" s="1035">
        <v>3.1044214487300093E-2</v>
      </c>
      <c r="E29" s="1166"/>
      <c r="F29" s="2223">
        <v>4384</v>
      </c>
      <c r="G29" s="1155">
        <v>4000</v>
      </c>
      <c r="H29" s="1230">
        <v>3910</v>
      </c>
      <c r="I29" s="1230">
        <v>4063</v>
      </c>
      <c r="J29" s="1231">
        <v>4252</v>
      </c>
      <c r="K29" s="1230">
        <v>4262</v>
      </c>
      <c r="L29" s="1230">
        <v>4217</v>
      </c>
      <c r="M29" s="1230">
        <v>2358</v>
      </c>
      <c r="N29" s="1231">
        <v>2315</v>
      </c>
      <c r="O29" s="1230">
        <v>2204</v>
      </c>
      <c r="P29" s="1230">
        <v>2240</v>
      </c>
      <c r="Q29" s="1230">
        <v>2264</v>
      </c>
      <c r="R29" s="1231">
        <v>2394</v>
      </c>
      <c r="S29" s="1230">
        <v>2525</v>
      </c>
      <c r="T29" s="1230">
        <v>2662</v>
      </c>
      <c r="U29" s="1230">
        <v>2597</v>
      </c>
      <c r="V29" s="1231">
        <v>2480</v>
      </c>
      <c r="W29" s="1230">
        <v>574</v>
      </c>
      <c r="X29" s="1230">
        <v>603</v>
      </c>
      <c r="Y29" s="1230">
        <v>616</v>
      </c>
      <c r="Z29" s="1231">
        <v>602</v>
      </c>
      <c r="AA29" s="1230">
        <v>483</v>
      </c>
      <c r="AB29" s="1230">
        <v>408</v>
      </c>
      <c r="AC29" s="1230">
        <v>380</v>
      </c>
      <c r="AD29" s="1231">
        <v>368</v>
      </c>
      <c r="AE29" s="1230">
        <v>1940</v>
      </c>
      <c r="AF29" s="1230">
        <v>1080</v>
      </c>
      <c r="AG29" s="1230">
        <v>499</v>
      </c>
      <c r="AH29" s="1231">
        <v>497</v>
      </c>
      <c r="AI29" s="1230">
        <v>500</v>
      </c>
      <c r="AJ29" s="1230">
        <v>513</v>
      </c>
      <c r="AK29" s="1230">
        <v>554</v>
      </c>
      <c r="AL29" s="1231">
        <v>641</v>
      </c>
      <c r="AM29" s="1230">
        <v>632</v>
      </c>
      <c r="AN29" s="1230">
        <v>596</v>
      </c>
      <c r="AO29" s="1230">
        <v>575</v>
      </c>
      <c r="AP29" s="1231">
        <v>619</v>
      </c>
      <c r="AQ29" s="1230">
        <v>649</v>
      </c>
      <c r="AR29" s="1230">
        <v>637</v>
      </c>
      <c r="AS29" s="1230">
        <v>618</v>
      </c>
      <c r="AT29" s="1231">
        <v>602</v>
      </c>
      <c r="AU29" s="1230">
        <v>655</v>
      </c>
      <c r="AV29" s="1230">
        <v>463</v>
      </c>
      <c r="AW29" s="1230">
        <v>411</v>
      </c>
      <c r="AX29" s="1231">
        <v>409</v>
      </c>
      <c r="AY29" s="1196">
        <v>436</v>
      </c>
      <c r="AZ29" s="1270">
        <v>495</v>
      </c>
      <c r="BA29" s="1270">
        <v>472</v>
      </c>
      <c r="BB29" s="1270">
        <v>430</v>
      </c>
      <c r="BC29" s="1237">
        <v>438</v>
      </c>
      <c r="BD29" s="1231">
        <v>380</v>
      </c>
      <c r="BE29" s="1231">
        <v>420</v>
      </c>
      <c r="BF29" s="1231">
        <v>410</v>
      </c>
      <c r="BG29" s="1034"/>
      <c r="BH29" s="1007">
        <v>16225</v>
      </c>
      <c r="BI29" s="1007">
        <v>13152</v>
      </c>
      <c r="BJ29" s="1006">
        <v>3073</v>
      </c>
      <c r="BK29" s="1035">
        <v>0.23365267639902676</v>
      </c>
      <c r="BL29" s="1201"/>
      <c r="BM29" s="1261">
        <v>16225</v>
      </c>
      <c r="BN29" s="1261">
        <v>13152</v>
      </c>
      <c r="BO29" s="1261">
        <v>9102</v>
      </c>
      <c r="BP29" s="2231">
        <v>10264</v>
      </c>
      <c r="BQ29" s="2527">
        <v>11091</v>
      </c>
      <c r="BR29" s="1846">
        <v>10146</v>
      </c>
      <c r="BS29" s="1367">
        <v>10735</v>
      </c>
      <c r="BT29" s="1367">
        <v>2208</v>
      </c>
      <c r="BU29" s="1317">
        <v>2422</v>
      </c>
      <c r="BV29" s="1317">
        <v>2506</v>
      </c>
      <c r="BW29" s="1317">
        <v>1938</v>
      </c>
      <c r="BX29" s="1317">
        <v>1833</v>
      </c>
      <c r="BY29" s="1317">
        <v>1648</v>
      </c>
      <c r="BZ29" s="2166">
        <v>1439</v>
      </c>
      <c r="CA29" s="2166">
        <v>1087</v>
      </c>
      <c r="CB29" s="2166">
        <v>1295</v>
      </c>
      <c r="CC29" s="1153"/>
    </row>
    <row r="30" spans="1:81" ht="12.75" customHeight="1" x14ac:dyDescent="0.2">
      <c r="A30" s="948"/>
      <c r="B30" s="1528" t="s">
        <v>684</v>
      </c>
      <c r="C30" s="957">
        <v>1380</v>
      </c>
      <c r="D30" s="1035" t="s">
        <v>41</v>
      </c>
      <c r="E30" s="1166"/>
      <c r="F30" s="2223">
        <v>1380</v>
      </c>
      <c r="G30" s="915">
        <v>0</v>
      </c>
      <c r="H30" s="1007">
        <v>0</v>
      </c>
      <c r="I30" s="1007">
        <v>0</v>
      </c>
      <c r="J30" s="1260">
        <v>0</v>
      </c>
      <c r="K30" s="915">
        <v>0</v>
      </c>
      <c r="L30" s="1007">
        <v>0</v>
      </c>
      <c r="M30" s="1007">
        <v>0</v>
      </c>
      <c r="N30" s="1260">
        <v>0</v>
      </c>
      <c r="O30" s="1230"/>
      <c r="P30" s="1230"/>
      <c r="Q30" s="1230"/>
      <c r="R30" s="1231"/>
      <c r="S30" s="1230"/>
      <c r="T30" s="1230"/>
      <c r="U30" s="1230"/>
      <c r="V30" s="1231"/>
      <c r="W30" s="1230"/>
      <c r="X30" s="1230"/>
      <c r="Y30" s="1230"/>
      <c r="Z30" s="1231"/>
      <c r="AA30" s="1230"/>
      <c r="AB30" s="1230"/>
      <c r="AC30" s="1230"/>
      <c r="AD30" s="1231"/>
      <c r="AE30" s="1230"/>
      <c r="AF30" s="1230"/>
      <c r="AG30" s="1230"/>
      <c r="AH30" s="1231"/>
      <c r="AI30" s="1230"/>
      <c r="AJ30" s="1230"/>
      <c r="AK30" s="1230"/>
      <c r="AL30" s="1231"/>
      <c r="AM30" s="1230"/>
      <c r="AN30" s="1230"/>
      <c r="AO30" s="1230"/>
      <c r="AP30" s="1231"/>
      <c r="AQ30" s="1230"/>
      <c r="AR30" s="1230"/>
      <c r="AS30" s="1230"/>
      <c r="AT30" s="1231"/>
      <c r="AU30" s="1230"/>
      <c r="AV30" s="1230"/>
      <c r="AW30" s="1230"/>
      <c r="AX30" s="1231"/>
      <c r="AY30" s="1196"/>
      <c r="AZ30" s="1270"/>
      <c r="BA30" s="1270"/>
      <c r="BB30" s="1270"/>
      <c r="BC30" s="1237"/>
      <c r="BD30" s="1231"/>
      <c r="BE30" s="1231"/>
      <c r="BF30" s="1231"/>
      <c r="BG30" s="1034"/>
      <c r="BH30" s="1007"/>
      <c r="BI30" s="1007"/>
      <c r="BJ30" s="1006"/>
      <c r="BK30" s="1035"/>
      <c r="BL30" s="1201"/>
      <c r="BM30" s="1261">
        <v>0</v>
      </c>
      <c r="BN30" s="1261">
        <v>0</v>
      </c>
      <c r="BO30" s="1261">
        <v>0</v>
      </c>
      <c r="BP30" s="2231">
        <v>0</v>
      </c>
      <c r="BQ30" s="2527">
        <v>0</v>
      </c>
      <c r="BR30" s="1846"/>
      <c r="BS30" s="1367"/>
      <c r="BT30" s="1367"/>
      <c r="BU30" s="1317"/>
      <c r="BV30" s="1317"/>
      <c r="BW30" s="1317"/>
      <c r="BX30" s="1317"/>
      <c r="BY30" s="1317"/>
      <c r="BZ30" s="2166"/>
      <c r="CA30" s="2166"/>
      <c r="CB30" s="2166"/>
      <c r="CC30" s="1153"/>
    </row>
    <row r="31" spans="1:81" ht="12.75" customHeight="1" x14ac:dyDescent="0.2">
      <c r="A31" s="946"/>
      <c r="B31" s="954" t="s">
        <v>70</v>
      </c>
      <c r="C31" s="957">
        <v>1199</v>
      </c>
      <c r="D31" s="1035">
        <v>0.3182059447983015</v>
      </c>
      <c r="E31" s="920"/>
      <c r="F31" s="2223">
        <v>4967</v>
      </c>
      <c r="G31" s="1155">
        <v>2760</v>
      </c>
      <c r="H31" s="1230">
        <v>4482</v>
      </c>
      <c r="I31" s="1230">
        <v>3896</v>
      </c>
      <c r="J31" s="1231">
        <v>3768</v>
      </c>
      <c r="K31" s="1230">
        <v>2918</v>
      </c>
      <c r="L31" s="1230">
        <v>1385</v>
      </c>
      <c r="M31" s="1230">
        <v>1191</v>
      </c>
      <c r="N31" s="1231">
        <v>1279</v>
      </c>
      <c r="O31" s="1230">
        <v>2504</v>
      </c>
      <c r="P31" s="1230">
        <v>1972</v>
      </c>
      <c r="Q31" s="1230">
        <v>942</v>
      </c>
      <c r="R31" s="1231">
        <v>1167</v>
      </c>
      <c r="S31" s="1230">
        <v>1296</v>
      </c>
      <c r="T31" s="1230">
        <v>1632</v>
      </c>
      <c r="U31" s="1230">
        <v>1998</v>
      </c>
      <c r="V31" s="1231">
        <v>1985</v>
      </c>
      <c r="W31" s="1230">
        <v>919</v>
      </c>
      <c r="X31" s="1230">
        <v>859</v>
      </c>
      <c r="Y31" s="1230">
        <v>902</v>
      </c>
      <c r="Z31" s="1231">
        <v>1042</v>
      </c>
      <c r="AA31" s="1230">
        <v>1285</v>
      </c>
      <c r="AB31" s="1230">
        <v>1059</v>
      </c>
      <c r="AC31" s="1230">
        <v>1506</v>
      </c>
      <c r="AD31" s="1231">
        <v>1337</v>
      </c>
      <c r="AE31" s="1230">
        <v>1312</v>
      </c>
      <c r="AF31" s="1230">
        <v>1374</v>
      </c>
      <c r="AG31" s="1230">
        <v>1981</v>
      </c>
      <c r="AH31" s="1231">
        <v>1980</v>
      </c>
      <c r="AI31" s="1230">
        <v>2274</v>
      </c>
      <c r="AJ31" s="1230">
        <v>1989</v>
      </c>
      <c r="AK31" s="1230">
        <v>1978</v>
      </c>
      <c r="AL31" s="1231">
        <v>1979</v>
      </c>
      <c r="AM31" s="1230">
        <v>2125</v>
      </c>
      <c r="AN31" s="1230">
        <v>2275</v>
      </c>
      <c r="AO31" s="1230">
        <v>2425</v>
      </c>
      <c r="AP31" s="1231">
        <v>2433</v>
      </c>
      <c r="AQ31" s="1230">
        <v>2574</v>
      </c>
      <c r="AR31" s="1230">
        <v>3216</v>
      </c>
      <c r="AS31" s="1230">
        <v>2613</v>
      </c>
      <c r="AT31" s="1231">
        <v>1905</v>
      </c>
      <c r="AU31" s="1230">
        <v>2597</v>
      </c>
      <c r="AV31" s="1230">
        <v>2312</v>
      </c>
      <c r="AW31" s="1230">
        <v>1378</v>
      </c>
      <c r="AX31" s="1231">
        <v>1566</v>
      </c>
      <c r="AY31" s="1196">
        <v>1897</v>
      </c>
      <c r="AZ31" s="1270">
        <v>1550</v>
      </c>
      <c r="BA31" s="1270">
        <v>1341</v>
      </c>
      <c r="BB31" s="1270">
        <v>1372</v>
      </c>
      <c r="BC31" s="1237">
        <v>1370</v>
      </c>
      <c r="BD31" s="1231">
        <v>1663</v>
      </c>
      <c r="BE31" s="1231">
        <v>1517</v>
      </c>
      <c r="BF31" s="1231">
        <v>1521</v>
      </c>
      <c r="BG31" s="1034"/>
      <c r="BH31" s="1007">
        <v>14906</v>
      </c>
      <c r="BI31" s="1007">
        <v>6773</v>
      </c>
      <c r="BJ31" s="1006">
        <v>8133</v>
      </c>
      <c r="BK31" s="1035">
        <v>1.2007972833308727</v>
      </c>
      <c r="BL31" s="1201"/>
      <c r="BM31" s="1261">
        <v>14906</v>
      </c>
      <c r="BN31" s="1261">
        <v>6773</v>
      </c>
      <c r="BO31" s="1261">
        <v>6585</v>
      </c>
      <c r="BP31" s="2231">
        <v>6911</v>
      </c>
      <c r="BQ31" s="2527">
        <v>8217</v>
      </c>
      <c r="BR31" s="1846">
        <v>10080</v>
      </c>
      <c r="BS31" s="1367">
        <v>9593</v>
      </c>
      <c r="BT31" s="1367">
        <v>8220</v>
      </c>
      <c r="BU31" s="1317">
        <v>9258</v>
      </c>
      <c r="BV31" s="1317">
        <v>10308</v>
      </c>
      <c r="BW31" s="1317">
        <v>7853</v>
      </c>
      <c r="BX31" s="1317">
        <v>6160</v>
      </c>
      <c r="BY31" s="1317">
        <v>6071</v>
      </c>
      <c r="BZ31" s="2166">
        <v>4302</v>
      </c>
      <c r="CA31" s="2166">
        <v>2798</v>
      </c>
      <c r="CB31" s="2166">
        <v>3261</v>
      </c>
      <c r="CC31" s="1153"/>
    </row>
    <row r="32" spans="1:81" ht="12.75" customHeight="1" x14ac:dyDescent="0.2">
      <c r="A32" s="946"/>
      <c r="B32" s="946" t="s">
        <v>164</v>
      </c>
      <c r="C32" s="957">
        <v>0</v>
      </c>
      <c r="D32" s="1035">
        <v>0</v>
      </c>
      <c r="E32" s="920"/>
      <c r="F32" s="2965">
        <v>0</v>
      </c>
      <c r="G32" s="915">
        <v>0</v>
      </c>
      <c r="H32" s="1007">
        <v>0</v>
      </c>
      <c r="I32" s="1007">
        <v>0</v>
      </c>
      <c r="J32" s="1260">
        <v>0</v>
      </c>
      <c r="K32" s="1007">
        <v>939</v>
      </c>
      <c r="L32" s="1007">
        <v>0</v>
      </c>
      <c r="M32" s="1007">
        <v>2000</v>
      </c>
      <c r="N32" s="1260">
        <v>0</v>
      </c>
      <c r="O32" s="1007">
        <v>0</v>
      </c>
      <c r="P32" s="1007">
        <v>0</v>
      </c>
      <c r="Q32" s="1007">
        <v>0</v>
      </c>
      <c r="R32" s="1260">
        <v>0</v>
      </c>
      <c r="S32" s="1007">
        <v>165</v>
      </c>
      <c r="T32" s="1007">
        <v>0</v>
      </c>
      <c r="U32" s="1007">
        <v>0</v>
      </c>
      <c r="V32" s="1260">
        <v>0</v>
      </c>
      <c r="W32" s="1007">
        <v>0</v>
      </c>
      <c r="X32" s="1007">
        <v>0</v>
      </c>
      <c r="Y32" s="1007">
        <v>0</v>
      </c>
      <c r="Z32" s="1260">
        <v>0</v>
      </c>
      <c r="AA32" s="1007">
        <v>0</v>
      </c>
      <c r="AB32" s="1007">
        <v>0</v>
      </c>
      <c r="AC32" s="1007">
        <v>0</v>
      </c>
      <c r="AD32" s="1260">
        <v>0</v>
      </c>
      <c r="AE32" s="1007">
        <v>0</v>
      </c>
      <c r="AF32" s="1007">
        <v>0</v>
      </c>
      <c r="AG32" s="1007">
        <v>13567</v>
      </c>
      <c r="AH32" s="1260">
        <v>0</v>
      </c>
      <c r="AI32" s="1007">
        <v>900</v>
      </c>
      <c r="AJ32" s="1007">
        <v>0</v>
      </c>
      <c r="AK32" s="1007">
        <v>0</v>
      </c>
      <c r="AL32" s="1260">
        <v>0</v>
      </c>
      <c r="AM32" s="1007">
        <v>0</v>
      </c>
      <c r="AN32" s="1007">
        <v>0</v>
      </c>
      <c r="AO32" s="1007">
        <v>0</v>
      </c>
      <c r="AP32" s="1260">
        <v>0</v>
      </c>
      <c r="AQ32" s="1007">
        <v>0</v>
      </c>
      <c r="AR32" s="1007">
        <v>0</v>
      </c>
      <c r="AS32" s="1007">
        <v>0</v>
      </c>
      <c r="AT32" s="1260">
        <v>0</v>
      </c>
      <c r="AU32" s="1007">
        <v>0</v>
      </c>
      <c r="AV32" s="1007">
        <v>5347</v>
      </c>
      <c r="AW32" s="1007">
        <v>0</v>
      </c>
      <c r="AX32" s="1035">
        <v>0</v>
      </c>
      <c r="AY32" s="1209">
        <v>54200</v>
      </c>
      <c r="AZ32" s="1007">
        <v>0</v>
      </c>
      <c r="BA32" s="1007">
        <v>0</v>
      </c>
      <c r="BB32" s="1260">
        <v>0</v>
      </c>
      <c r="BC32" s="1261">
        <v>0</v>
      </c>
      <c r="BD32" s="1260">
        <v>0</v>
      </c>
      <c r="BE32" s="1260">
        <v>0</v>
      </c>
      <c r="BF32" s="1260">
        <v>0</v>
      </c>
      <c r="BG32" s="1034"/>
      <c r="BH32" s="1007">
        <v>0</v>
      </c>
      <c r="BI32" s="1007">
        <v>2939</v>
      </c>
      <c r="BJ32" s="1006">
        <v>-2939</v>
      </c>
      <c r="BK32" s="1035">
        <v>-1</v>
      </c>
      <c r="BL32" s="1201"/>
      <c r="BM32" s="1261">
        <v>0</v>
      </c>
      <c r="BN32" s="1261">
        <v>2939</v>
      </c>
      <c r="BO32" s="1261">
        <v>0</v>
      </c>
      <c r="BP32" s="2231">
        <v>165</v>
      </c>
      <c r="BQ32" s="2527">
        <v>783</v>
      </c>
      <c r="BR32" s="1846">
        <v>0</v>
      </c>
      <c r="BS32" s="1367">
        <v>15485</v>
      </c>
      <c r="BT32" s="1389">
        <v>900</v>
      </c>
      <c r="BU32" s="2033">
        <v>0</v>
      </c>
      <c r="BV32" s="2033">
        <v>0</v>
      </c>
      <c r="BW32" s="1317">
        <v>180</v>
      </c>
      <c r="BX32" s="2033">
        <v>700</v>
      </c>
      <c r="BY32" s="2033">
        <v>0</v>
      </c>
      <c r="BZ32" s="2166">
        <v>0</v>
      </c>
      <c r="CA32" s="2166">
        <v>0</v>
      </c>
      <c r="CB32" s="2166">
        <v>0</v>
      </c>
      <c r="CC32" s="1153"/>
    </row>
    <row r="33" spans="1:81" ht="12.75" customHeight="1" x14ac:dyDescent="0.2">
      <c r="A33" s="946"/>
      <c r="B33" s="1201" t="s">
        <v>621</v>
      </c>
      <c r="C33" s="957">
        <v>0</v>
      </c>
      <c r="D33" s="1035">
        <v>0</v>
      </c>
      <c r="E33" s="920"/>
      <c r="F33" s="2965">
        <v>0</v>
      </c>
      <c r="G33" s="915">
        <v>0</v>
      </c>
      <c r="H33" s="1007">
        <v>0</v>
      </c>
      <c r="I33" s="1007">
        <v>0</v>
      </c>
      <c r="J33" s="1260">
        <v>0</v>
      </c>
      <c r="K33" s="1007">
        <v>4058</v>
      </c>
      <c r="L33" s="1007"/>
      <c r="M33" s="1007"/>
      <c r="N33" s="1260"/>
      <c r="O33" s="1007"/>
      <c r="P33" s="1007"/>
      <c r="Q33" s="1007"/>
      <c r="R33" s="1260"/>
      <c r="S33" s="1007"/>
      <c r="T33" s="1007"/>
      <c r="U33" s="1007"/>
      <c r="V33" s="1260"/>
      <c r="W33" s="1007"/>
      <c r="X33" s="1007"/>
      <c r="Y33" s="1007"/>
      <c r="Z33" s="1260"/>
      <c r="AA33" s="1007"/>
      <c r="AB33" s="1007"/>
      <c r="AC33" s="1007"/>
      <c r="AD33" s="1260"/>
      <c r="AE33" s="1007"/>
      <c r="AF33" s="1007"/>
      <c r="AG33" s="1007"/>
      <c r="AH33" s="1260"/>
      <c r="AI33" s="1007"/>
      <c r="AJ33" s="1007"/>
      <c r="AK33" s="1007"/>
      <c r="AL33" s="1260"/>
      <c r="AM33" s="1007"/>
      <c r="AN33" s="1007"/>
      <c r="AO33" s="1007"/>
      <c r="AP33" s="1260"/>
      <c r="AQ33" s="1007"/>
      <c r="AR33" s="1007"/>
      <c r="AS33" s="1007"/>
      <c r="AT33" s="1260"/>
      <c r="AU33" s="1007"/>
      <c r="AV33" s="1007"/>
      <c r="AW33" s="1007"/>
      <c r="AX33" s="1035"/>
      <c r="AY33" s="1007"/>
      <c r="AZ33" s="1007"/>
      <c r="BA33" s="1007"/>
      <c r="BB33" s="1007"/>
      <c r="BC33" s="1261"/>
      <c r="BD33" s="1260"/>
      <c r="BE33" s="1260"/>
      <c r="BF33" s="1260"/>
      <c r="BG33" s="1034"/>
      <c r="BH33" s="1007">
        <v>0</v>
      </c>
      <c r="BI33" s="1007">
        <v>4058</v>
      </c>
      <c r="BJ33" s="1006">
        <v>-4058</v>
      </c>
      <c r="BK33" s="1035">
        <v>0</v>
      </c>
      <c r="BL33" s="1201"/>
      <c r="BM33" s="1261">
        <v>0</v>
      </c>
      <c r="BN33" s="1261">
        <v>4058</v>
      </c>
      <c r="BO33" s="1261">
        <v>0</v>
      </c>
      <c r="BP33" s="2231">
        <v>0</v>
      </c>
      <c r="BQ33" s="2527">
        <v>0</v>
      </c>
      <c r="BR33" s="1846">
        <v>0</v>
      </c>
      <c r="BS33" s="1367"/>
      <c r="BT33" s="1389"/>
      <c r="BU33" s="2033"/>
      <c r="BV33" s="2033"/>
      <c r="BW33" s="1317"/>
      <c r="BX33" s="2033"/>
      <c r="BY33" s="2033"/>
      <c r="BZ33" s="2166"/>
      <c r="CA33" s="2166"/>
      <c r="CB33" s="2166"/>
      <c r="CC33" s="1153"/>
    </row>
    <row r="34" spans="1:81" ht="12.75" customHeight="1" x14ac:dyDescent="0.2">
      <c r="A34" s="946"/>
      <c r="B34" s="946" t="s">
        <v>185</v>
      </c>
      <c r="C34" s="957">
        <v>335</v>
      </c>
      <c r="D34" s="1035">
        <v>0</v>
      </c>
      <c r="E34" s="920"/>
      <c r="F34" s="2015">
        <v>335</v>
      </c>
      <c r="G34" s="915">
        <v>918</v>
      </c>
      <c r="H34" s="1007">
        <v>170</v>
      </c>
      <c r="I34" s="1007">
        <v>0</v>
      </c>
      <c r="J34" s="1260">
        <v>0</v>
      </c>
      <c r="K34" s="1007">
        <v>184</v>
      </c>
      <c r="L34" s="1007">
        <v>0</v>
      </c>
      <c r="M34" s="1007">
        <v>4364</v>
      </c>
      <c r="N34" s="1260">
        <v>2184</v>
      </c>
      <c r="O34" s="1007">
        <v>0</v>
      </c>
      <c r="P34" s="1007">
        <v>0</v>
      </c>
      <c r="Q34" s="1007">
        <v>0</v>
      </c>
      <c r="R34" s="1260">
        <v>0</v>
      </c>
      <c r="S34" s="1007">
        <v>0</v>
      </c>
      <c r="T34" s="1007">
        <v>0</v>
      </c>
      <c r="U34" s="1007">
        <v>0</v>
      </c>
      <c r="V34" s="1260">
        <v>0</v>
      </c>
      <c r="W34" s="1007"/>
      <c r="X34" s="1007"/>
      <c r="Y34" s="1007"/>
      <c r="Z34" s="1260"/>
      <c r="AA34" s="1007"/>
      <c r="AB34" s="1007"/>
      <c r="AC34" s="1007">
        <v>0</v>
      </c>
      <c r="AD34" s="1260">
        <v>0</v>
      </c>
      <c r="AE34" s="1007">
        <v>0</v>
      </c>
      <c r="AF34" s="1007">
        <v>0</v>
      </c>
      <c r="AG34" s="1007">
        <v>0</v>
      </c>
      <c r="AH34" s="1260">
        <v>0</v>
      </c>
      <c r="AI34" s="1007">
        <v>0</v>
      </c>
      <c r="AJ34" s="1007">
        <v>0</v>
      </c>
      <c r="AK34" s="1007">
        <v>0</v>
      </c>
      <c r="AL34" s="1260">
        <v>0</v>
      </c>
      <c r="AM34" s="1007">
        <v>0</v>
      </c>
      <c r="AN34" s="1007">
        <v>0</v>
      </c>
      <c r="AO34" s="1007">
        <v>0</v>
      </c>
      <c r="AP34" s="1260">
        <v>0</v>
      </c>
      <c r="AQ34" s="1007"/>
      <c r="AR34" s="1007"/>
      <c r="AS34" s="1007"/>
      <c r="AT34" s="1260"/>
      <c r="AU34" s="1007"/>
      <c r="AV34" s="1007"/>
      <c r="AW34" s="1007"/>
      <c r="AX34" s="1035"/>
      <c r="AY34" s="1007"/>
      <c r="AZ34" s="1007"/>
      <c r="BA34" s="1007"/>
      <c r="BB34" s="1007"/>
      <c r="BC34" s="1261"/>
      <c r="BD34" s="1260"/>
      <c r="BE34" s="1260"/>
      <c r="BF34" s="1260"/>
      <c r="BG34" s="1034"/>
      <c r="BH34" s="1007">
        <v>1088</v>
      </c>
      <c r="BI34" s="1007">
        <v>6732</v>
      </c>
      <c r="BJ34" s="1006">
        <v>-5644</v>
      </c>
      <c r="BK34" s="1035">
        <v>-0.83838383838383834</v>
      </c>
      <c r="BL34" s="1201"/>
      <c r="BM34" s="1261">
        <v>1088</v>
      </c>
      <c r="BN34" s="1261">
        <v>6732</v>
      </c>
      <c r="BO34" s="1261">
        <v>0</v>
      </c>
      <c r="BP34" s="2231">
        <v>0</v>
      </c>
      <c r="BQ34" s="2527">
        <v>0</v>
      </c>
      <c r="BR34" s="1846">
        <v>0</v>
      </c>
      <c r="BS34" s="1389">
        <v>1331</v>
      </c>
      <c r="BT34" s="1389">
        <v>0</v>
      </c>
      <c r="BU34" s="2033">
        <v>0</v>
      </c>
      <c r="BV34" s="2033">
        <v>0</v>
      </c>
      <c r="BW34" s="2033">
        <v>0</v>
      </c>
      <c r="BX34" s="2033">
        <v>0</v>
      </c>
      <c r="BY34" s="2033"/>
      <c r="BZ34" s="2166"/>
      <c r="CA34" s="2166"/>
      <c r="CB34" s="2166"/>
      <c r="CC34" s="1153"/>
    </row>
    <row r="35" spans="1:81" ht="12.75" customHeight="1" x14ac:dyDescent="0.2">
      <c r="A35" s="948"/>
      <c r="B35" s="940"/>
      <c r="C35" s="1189">
        <v>12046</v>
      </c>
      <c r="D35" s="1190">
        <v>0.12690285810604385</v>
      </c>
      <c r="E35" s="920"/>
      <c r="F35" s="2959">
        <v>106969</v>
      </c>
      <c r="G35" s="1158">
        <v>99612</v>
      </c>
      <c r="H35" s="1238">
        <v>98136</v>
      </c>
      <c r="I35" s="1238">
        <v>96070</v>
      </c>
      <c r="J35" s="1239">
        <v>94923</v>
      </c>
      <c r="K35" s="1158">
        <v>104506</v>
      </c>
      <c r="L35" s="1238">
        <v>89384</v>
      </c>
      <c r="M35" s="1238">
        <v>64553</v>
      </c>
      <c r="N35" s="1239">
        <v>62294</v>
      </c>
      <c r="O35" s="1238">
        <v>63331</v>
      </c>
      <c r="P35" s="1238">
        <v>56328</v>
      </c>
      <c r="Q35" s="1238">
        <v>52556</v>
      </c>
      <c r="R35" s="1239">
        <v>53833</v>
      </c>
      <c r="S35" s="1238">
        <v>54411</v>
      </c>
      <c r="T35" s="1238">
        <v>52846</v>
      </c>
      <c r="U35" s="1238">
        <v>51674</v>
      </c>
      <c r="V35" s="1239">
        <v>55611</v>
      </c>
      <c r="W35" s="1238">
        <v>29816</v>
      </c>
      <c r="X35" s="1238">
        <v>26259</v>
      </c>
      <c r="Y35" s="1238">
        <v>28532</v>
      </c>
      <c r="Z35" s="1239">
        <v>30351</v>
      </c>
      <c r="AA35" s="1238">
        <v>30921</v>
      </c>
      <c r="AB35" s="1238">
        <v>27970</v>
      </c>
      <c r="AC35" s="1238">
        <v>26377</v>
      </c>
      <c r="AD35" s="1240">
        <v>27166</v>
      </c>
      <c r="AE35" s="1238">
        <v>31433</v>
      </c>
      <c r="AF35" s="1238">
        <v>31140</v>
      </c>
      <c r="AG35" s="1238">
        <v>47379</v>
      </c>
      <c r="AH35" s="1240">
        <v>34551</v>
      </c>
      <c r="AI35" s="1238">
        <v>42651</v>
      </c>
      <c r="AJ35" s="1238">
        <v>37244</v>
      </c>
      <c r="AK35" s="1238">
        <v>37327</v>
      </c>
      <c r="AL35" s="1240">
        <v>43517</v>
      </c>
      <c r="AM35" s="1238">
        <v>54200</v>
      </c>
      <c r="AN35" s="1238">
        <v>52012</v>
      </c>
      <c r="AO35" s="1238">
        <v>38601</v>
      </c>
      <c r="AP35" s="1240">
        <v>39500</v>
      </c>
      <c r="AQ35" s="1238">
        <v>46835</v>
      </c>
      <c r="AR35" s="1238">
        <v>42047</v>
      </c>
      <c r="AS35" s="1238">
        <v>35213</v>
      </c>
      <c r="AT35" s="1240">
        <v>35168</v>
      </c>
      <c r="AU35" s="1238">
        <v>28967</v>
      </c>
      <c r="AV35" s="1238">
        <v>40216</v>
      </c>
      <c r="AW35" s="1238">
        <v>35911</v>
      </c>
      <c r="AX35" s="1240">
        <v>44683</v>
      </c>
      <c r="AY35" s="1384">
        <v>98603</v>
      </c>
      <c r="AZ35" s="1266">
        <v>48132</v>
      </c>
      <c r="BA35" s="1266">
        <v>44039</v>
      </c>
      <c r="BB35" s="1266">
        <v>57148</v>
      </c>
      <c r="BC35" s="1243">
        <v>55349</v>
      </c>
      <c r="BD35" s="1240">
        <v>50178</v>
      </c>
      <c r="BE35" s="1240">
        <v>41346</v>
      </c>
      <c r="BF35" s="1240">
        <v>55217</v>
      </c>
      <c r="BG35" s="1034"/>
      <c r="BH35" s="1826">
        <v>388741</v>
      </c>
      <c r="BI35" s="1826">
        <v>320737</v>
      </c>
      <c r="BJ35" s="1385">
        <v>68004</v>
      </c>
      <c r="BK35" s="1829">
        <v>0.21202418180627741</v>
      </c>
      <c r="BL35" s="2438"/>
      <c r="BM35" s="1267">
        <v>388741</v>
      </c>
      <c r="BN35" s="2419">
        <v>320737</v>
      </c>
      <c r="BO35" s="2419">
        <v>226048</v>
      </c>
      <c r="BP35" s="1942">
        <v>214542</v>
      </c>
      <c r="BQ35" s="1243">
        <v>223110</v>
      </c>
      <c r="BR35" s="1243">
        <v>206706</v>
      </c>
      <c r="BS35" s="1240">
        <v>225359</v>
      </c>
      <c r="BT35" s="1240">
        <v>160739</v>
      </c>
      <c r="BU35" s="1951">
        <v>184313</v>
      </c>
      <c r="BV35" s="1956">
        <v>159263</v>
      </c>
      <c r="BW35" s="2032">
        <v>149777</v>
      </c>
      <c r="BX35" s="2032">
        <v>247922</v>
      </c>
      <c r="BY35" s="2032">
        <v>202090</v>
      </c>
      <c r="BZ35" s="2167">
        <v>163976</v>
      </c>
      <c r="CA35" s="2167">
        <v>127504</v>
      </c>
      <c r="CB35" s="2167">
        <v>118638</v>
      </c>
      <c r="CC35" s="1153"/>
    </row>
    <row r="36" spans="1:81" s="2304" customFormat="1" ht="24.75" customHeight="1" thickBot="1" x14ac:dyDescent="0.25">
      <c r="A36" s="3199" t="s">
        <v>214</v>
      </c>
      <c r="B36" s="3200"/>
      <c r="C36" s="957">
        <v>5119</v>
      </c>
      <c r="D36" s="1035">
        <v>0.28997904038973543</v>
      </c>
      <c r="E36" s="920"/>
      <c r="F36" s="2010">
        <v>22772</v>
      </c>
      <c r="G36" s="1169">
        <v>17518</v>
      </c>
      <c r="H36" s="1269">
        <v>17843.000000000015</v>
      </c>
      <c r="I36" s="1269">
        <v>20056</v>
      </c>
      <c r="J36" s="1231">
        <v>17653</v>
      </c>
      <c r="K36" s="1269">
        <v>11872</v>
      </c>
      <c r="L36" s="1269">
        <v>19989</v>
      </c>
      <c r="M36" s="1269">
        <v>5010</v>
      </c>
      <c r="N36" s="1231">
        <v>12657</v>
      </c>
      <c r="O36" s="1269">
        <v>10002</v>
      </c>
      <c r="P36" s="1269">
        <v>11040</v>
      </c>
      <c r="Q36" s="1269">
        <v>11134</v>
      </c>
      <c r="R36" s="1231">
        <v>8887</v>
      </c>
      <c r="S36" s="1269">
        <v>6023</v>
      </c>
      <c r="T36" s="1269">
        <v>7810</v>
      </c>
      <c r="U36" s="1269">
        <v>8520</v>
      </c>
      <c r="V36" s="1231">
        <v>9672</v>
      </c>
      <c r="W36" s="1270">
        <v>3263</v>
      </c>
      <c r="X36" s="1269">
        <v>2008</v>
      </c>
      <c r="Y36" s="1269">
        <v>3105</v>
      </c>
      <c r="Z36" s="1231">
        <v>2005</v>
      </c>
      <c r="AA36" s="1270">
        <v>1095</v>
      </c>
      <c r="AB36" s="1269">
        <v>-251</v>
      </c>
      <c r="AC36" s="1269">
        <v>-1964</v>
      </c>
      <c r="AD36" s="1780">
        <v>-324</v>
      </c>
      <c r="AE36" s="1195">
        <v>790</v>
      </c>
      <c r="AF36" s="1276">
        <v>3911</v>
      </c>
      <c r="AG36" s="1276">
        <v>-11565</v>
      </c>
      <c r="AH36" s="1277">
        <v>2216</v>
      </c>
      <c r="AI36" s="1195">
        <v>9886</v>
      </c>
      <c r="AJ36" s="1276">
        <v>7327</v>
      </c>
      <c r="AK36" s="1266">
        <v>10085</v>
      </c>
      <c r="AL36" s="1240">
        <v>11266</v>
      </c>
      <c r="AM36" s="1381">
        <v>18504</v>
      </c>
      <c r="AN36" s="1381">
        <v>16587</v>
      </c>
      <c r="AO36" s="1270">
        <v>5938</v>
      </c>
      <c r="AP36" s="1382">
        <v>7707</v>
      </c>
      <c r="AQ36" s="1270">
        <v>8155</v>
      </c>
      <c r="AR36" s="1381">
        <v>9686</v>
      </c>
      <c r="AS36" s="1270">
        <v>4925</v>
      </c>
      <c r="AT36" s="1382">
        <v>5017</v>
      </c>
      <c r="AU36" s="1381">
        <v>8288</v>
      </c>
      <c r="AV36" s="1381">
        <v>-6684</v>
      </c>
      <c r="AW36" s="1381">
        <v>7933</v>
      </c>
      <c r="AX36" s="1382">
        <v>13170</v>
      </c>
      <c r="AY36" s="1456">
        <v>-44140</v>
      </c>
      <c r="AZ36" s="1240">
        <v>13034</v>
      </c>
      <c r="BA36" s="1240">
        <v>13376</v>
      </c>
      <c r="BB36" s="1266">
        <v>18935</v>
      </c>
      <c r="BC36" s="1266">
        <v>20527</v>
      </c>
      <c r="BD36" s="1266">
        <v>18653</v>
      </c>
      <c r="BE36" s="1266">
        <v>14280</v>
      </c>
      <c r="BF36" s="1266">
        <v>17069</v>
      </c>
      <c r="BG36" s="1034"/>
      <c r="BH36" s="1189">
        <v>73070</v>
      </c>
      <c r="BI36" s="1006">
        <v>49528</v>
      </c>
      <c r="BJ36" s="1743">
        <v>23542</v>
      </c>
      <c r="BK36" s="1829">
        <v>0.47532708770796317</v>
      </c>
      <c r="BL36" s="2438"/>
      <c r="BM36" s="1267">
        <v>73070</v>
      </c>
      <c r="BN36" s="1033">
        <v>49528</v>
      </c>
      <c r="BO36" s="1033">
        <v>41063</v>
      </c>
      <c r="BP36" s="2525">
        <v>32025</v>
      </c>
      <c r="BQ36" s="1268">
        <v>27780</v>
      </c>
      <c r="BR36" s="1268">
        <v>17330</v>
      </c>
      <c r="BS36" s="1268">
        <v>6253</v>
      </c>
      <c r="BT36" s="1268">
        <v>38564</v>
      </c>
      <c r="BU36" s="2012">
        <v>48736</v>
      </c>
      <c r="BV36" s="2036">
        <v>27783</v>
      </c>
      <c r="BW36" s="2032">
        <v>22707</v>
      </c>
      <c r="BX36" s="1958">
        <v>1205</v>
      </c>
      <c r="BY36" s="1958">
        <v>70529</v>
      </c>
      <c r="BZ36" s="2024">
        <v>61218</v>
      </c>
      <c r="CA36" s="2024">
        <v>50672</v>
      </c>
      <c r="CB36" s="2168">
        <v>57345</v>
      </c>
      <c r="CC36" s="1153"/>
    </row>
    <row r="37" spans="1:81" s="2304" customFormat="1" ht="15" customHeight="1" thickTop="1" x14ac:dyDescent="0.2">
      <c r="A37" s="2993"/>
      <c r="B37" s="2526" t="s">
        <v>332</v>
      </c>
      <c r="C37" s="1189">
        <v>666</v>
      </c>
      <c r="D37" s="1190">
        <v>0.19898416492381238</v>
      </c>
      <c r="E37" s="920"/>
      <c r="F37" s="1319">
        <v>4013</v>
      </c>
      <c r="G37" s="1325">
        <v>4419</v>
      </c>
      <c r="H37" s="1407">
        <v>3030</v>
      </c>
      <c r="I37" s="1407">
        <v>3671</v>
      </c>
      <c r="J37" s="1399">
        <v>3347</v>
      </c>
      <c r="K37" s="1407">
        <v>3230</v>
      </c>
      <c r="L37" s="1407">
        <v>3667</v>
      </c>
      <c r="M37" s="1407">
        <v>4091</v>
      </c>
      <c r="N37" s="1399">
        <v>4541</v>
      </c>
      <c r="O37" s="1407">
        <v>4279</v>
      </c>
      <c r="P37" s="1407">
        <v>4694</v>
      </c>
      <c r="Q37" s="1407">
        <v>4240</v>
      </c>
      <c r="R37" s="1399">
        <v>3583</v>
      </c>
      <c r="S37" s="1406">
        <v>5750</v>
      </c>
      <c r="T37" s="1407">
        <v>5214</v>
      </c>
      <c r="U37" s="1407">
        <v>5771</v>
      </c>
      <c r="V37" s="1399">
        <v>5119</v>
      </c>
      <c r="W37" s="1406">
        <v>4542</v>
      </c>
      <c r="X37" s="1407">
        <v>3794</v>
      </c>
      <c r="Y37" s="1407">
        <v>4870</v>
      </c>
      <c r="Z37" s="1399">
        <v>4277</v>
      </c>
      <c r="AA37" s="1406">
        <v>4275</v>
      </c>
      <c r="AB37" s="1406">
        <v>4407</v>
      </c>
      <c r="AC37" s="1407">
        <v>3182</v>
      </c>
      <c r="AD37" s="1424">
        <v>4808</v>
      </c>
      <c r="AE37" s="1407">
        <v>8342</v>
      </c>
      <c r="AF37" s="1407">
        <v>8506</v>
      </c>
      <c r="AG37" s="1407">
        <v>9222</v>
      </c>
      <c r="AH37" s="1424">
        <v>9425</v>
      </c>
      <c r="AI37" s="1407">
        <v>10587</v>
      </c>
      <c r="AJ37" s="1407">
        <v>8276</v>
      </c>
      <c r="AK37" s="1406">
        <v>8150</v>
      </c>
      <c r="AL37" s="1399">
        <v>8724</v>
      </c>
      <c r="AM37" s="1406"/>
      <c r="AN37" s="1406"/>
      <c r="AO37" s="1406"/>
      <c r="AP37" s="1399"/>
      <c r="AQ37" s="1406"/>
      <c r="AR37" s="1406"/>
      <c r="AS37" s="1406"/>
      <c r="AT37" s="1399"/>
      <c r="AU37" s="1425"/>
      <c r="AV37" s="1425"/>
      <c r="AW37" s="1425"/>
      <c r="AX37" s="1414"/>
      <c r="AY37" s="1831"/>
      <c r="AZ37" s="1411"/>
      <c r="BA37" s="1411"/>
      <c r="BB37" s="1410"/>
      <c r="BC37" s="1410"/>
      <c r="BD37" s="1410"/>
      <c r="BE37" s="1410"/>
      <c r="BF37" s="1410"/>
      <c r="BG37" s="1830"/>
      <c r="BH37" s="1816">
        <v>14467</v>
      </c>
      <c r="BI37" s="1816">
        <v>15529</v>
      </c>
      <c r="BJ37" s="1743">
        <v>-1062</v>
      </c>
      <c r="BK37" s="1190">
        <v>-6.8388176959237559E-2</v>
      </c>
      <c r="BL37" s="2916"/>
      <c r="BM37" s="1267">
        <v>14467</v>
      </c>
      <c r="BN37" s="2420">
        <v>15529</v>
      </c>
      <c r="BO37" s="2420">
        <v>16796</v>
      </c>
      <c r="BP37" s="2231">
        <v>21854</v>
      </c>
      <c r="BQ37" s="1477">
        <v>21683</v>
      </c>
      <c r="BR37" s="1413">
        <v>24719</v>
      </c>
      <c r="BS37" s="1409">
        <v>42231</v>
      </c>
      <c r="BT37" s="1409">
        <v>35737</v>
      </c>
      <c r="BU37" s="1959">
        <v>36604</v>
      </c>
      <c r="BV37" s="1959" t="e">
        <v>#REF!</v>
      </c>
      <c r="BW37" s="2039" t="e">
        <v>#REF!</v>
      </c>
      <c r="BX37" s="2040"/>
      <c r="BY37" s="2040"/>
      <c r="BZ37" s="2041"/>
      <c r="CA37" s="2041"/>
      <c r="CB37" s="2009"/>
      <c r="CC37" s="1153"/>
    </row>
    <row r="38" spans="1:81" s="2304" customFormat="1" ht="24.75" customHeight="1" thickBot="1" x14ac:dyDescent="0.25">
      <c r="A38" s="2528" t="s">
        <v>72</v>
      </c>
      <c r="B38" s="947"/>
      <c r="C38" s="1189">
        <v>4453</v>
      </c>
      <c r="D38" s="1190">
        <v>0.31126799944079409</v>
      </c>
      <c r="E38" s="920"/>
      <c r="F38" s="2048">
        <v>18759</v>
      </c>
      <c r="G38" s="1332">
        <v>13099</v>
      </c>
      <c r="H38" s="1435">
        <v>14813.000000000015</v>
      </c>
      <c r="I38" s="1435">
        <v>16385</v>
      </c>
      <c r="J38" s="1439">
        <v>14306</v>
      </c>
      <c r="K38" s="1435">
        <v>8642</v>
      </c>
      <c r="L38" s="1435">
        <v>16322</v>
      </c>
      <c r="M38" s="1435">
        <v>919</v>
      </c>
      <c r="N38" s="1439">
        <v>8116</v>
      </c>
      <c r="O38" s="1435">
        <v>5723</v>
      </c>
      <c r="P38" s="1435">
        <v>6346</v>
      </c>
      <c r="Q38" s="1435">
        <v>6894</v>
      </c>
      <c r="R38" s="1439">
        <v>5304</v>
      </c>
      <c r="S38" s="1435">
        <v>273</v>
      </c>
      <c r="T38" s="1435">
        <v>2596</v>
      </c>
      <c r="U38" s="1435">
        <v>2749</v>
      </c>
      <c r="V38" s="1439">
        <v>4553</v>
      </c>
      <c r="W38" s="1435">
        <v>-1279</v>
      </c>
      <c r="X38" s="1435">
        <v>-1786</v>
      </c>
      <c r="Y38" s="1435">
        <v>-1765</v>
      </c>
      <c r="Z38" s="1439">
        <v>-2272</v>
      </c>
      <c r="AA38" s="1435">
        <v>-3180</v>
      </c>
      <c r="AB38" s="1435">
        <v>-4658</v>
      </c>
      <c r="AC38" s="1435">
        <v>-5146</v>
      </c>
      <c r="AD38" s="1439">
        <v>-5132</v>
      </c>
      <c r="AE38" s="1435">
        <v>-7552</v>
      </c>
      <c r="AF38" s="1435">
        <v>-4595</v>
      </c>
      <c r="AG38" s="1435">
        <v>-20787</v>
      </c>
      <c r="AH38" s="1439">
        <v>-7209</v>
      </c>
      <c r="AI38" s="1435">
        <v>-701</v>
      </c>
      <c r="AJ38" s="1435">
        <v>-949</v>
      </c>
      <c r="AK38" s="1437">
        <v>1935</v>
      </c>
      <c r="AL38" s="1438">
        <v>2542</v>
      </c>
      <c r="AM38" s="1437">
        <v>9122</v>
      </c>
      <c r="AN38" s="1437">
        <v>8143</v>
      </c>
      <c r="AO38" s="1437">
        <v>-3436</v>
      </c>
      <c r="AP38" s="1438">
        <v>-1697</v>
      </c>
      <c r="AQ38" s="1437">
        <v>-1070</v>
      </c>
      <c r="AR38" s="1437">
        <v>-87</v>
      </c>
      <c r="AS38" s="1437">
        <v>-3294</v>
      </c>
      <c r="AT38" s="1438">
        <v>-3548</v>
      </c>
      <c r="AU38" s="1440" t="s">
        <v>181</v>
      </c>
      <c r="AV38" s="1440" t="s">
        <v>181</v>
      </c>
      <c r="AW38" s="1440" t="s">
        <v>181</v>
      </c>
      <c r="AX38" s="1441" t="s">
        <v>181</v>
      </c>
      <c r="AY38" s="1832" t="s">
        <v>181</v>
      </c>
      <c r="AZ38" s="1411"/>
      <c r="BA38" s="1411"/>
      <c r="BB38" s="1410"/>
      <c r="BC38" s="1410"/>
      <c r="BD38" s="1410"/>
      <c r="BE38" s="1410"/>
      <c r="BF38" s="1410"/>
      <c r="BG38" s="1830"/>
      <c r="BH38" s="1404">
        <v>58603</v>
      </c>
      <c r="BI38" s="1404">
        <v>33999</v>
      </c>
      <c r="BJ38" s="1404">
        <v>24604</v>
      </c>
      <c r="BK38" s="1200">
        <v>0.72366834318656426</v>
      </c>
      <c r="BL38" s="1941"/>
      <c r="BM38" s="2902">
        <v>58603</v>
      </c>
      <c r="BN38" s="1447">
        <v>33999</v>
      </c>
      <c r="BO38" s="1447">
        <v>24267</v>
      </c>
      <c r="BP38" s="1943">
        <v>10171</v>
      </c>
      <c r="BQ38" s="1443">
        <v>6097</v>
      </c>
      <c r="BR38" s="1443">
        <v>-7389</v>
      </c>
      <c r="BS38" s="1439">
        <v>-35978</v>
      </c>
      <c r="BT38" s="1439">
        <v>2827</v>
      </c>
      <c r="BU38" s="1963">
        <v>12132</v>
      </c>
      <c r="BV38" s="2048">
        <v>-7999</v>
      </c>
      <c r="BW38" s="2169" t="s">
        <v>181</v>
      </c>
      <c r="BX38" s="2047" t="s">
        <v>181</v>
      </c>
      <c r="BY38" s="2047" t="s">
        <v>181</v>
      </c>
      <c r="BZ38" s="2050" t="s">
        <v>181</v>
      </c>
      <c r="CA38" s="2050" t="s">
        <v>181</v>
      </c>
      <c r="CB38" s="2009"/>
      <c r="CC38" s="1153"/>
    </row>
    <row r="39" spans="1:81" ht="12.75" customHeight="1" thickTop="1" x14ac:dyDescent="0.2">
      <c r="A39" s="1201"/>
      <c r="B39" s="1201"/>
      <c r="C39" s="1006"/>
      <c r="D39" s="952"/>
      <c r="E39" s="908"/>
      <c r="F39" s="908"/>
      <c r="G39" s="908"/>
      <c r="H39" s="952"/>
      <c r="I39" s="952"/>
      <c r="J39" s="946"/>
      <c r="K39" s="952"/>
      <c r="L39" s="952"/>
      <c r="M39" s="952"/>
      <c r="N39" s="946"/>
      <c r="O39" s="952"/>
      <c r="P39" s="952"/>
      <c r="Q39" s="952"/>
      <c r="R39" s="946"/>
      <c r="S39" s="952"/>
      <c r="T39" s="952"/>
      <c r="U39" s="952"/>
      <c r="V39" s="946"/>
      <c r="W39" s="952"/>
      <c r="X39" s="952"/>
      <c r="Y39" s="952"/>
      <c r="Z39" s="946"/>
      <c r="AA39" s="952"/>
      <c r="AB39" s="952"/>
      <c r="AC39" s="952"/>
      <c r="AD39" s="946"/>
      <c r="AE39" s="952"/>
      <c r="AF39" s="952"/>
      <c r="AG39" s="952"/>
      <c r="AH39" s="946"/>
      <c r="AI39" s="952"/>
      <c r="AJ39" s="952"/>
      <c r="AK39" s="952"/>
      <c r="AL39" s="946"/>
      <c r="AM39" s="952"/>
      <c r="AN39" s="952"/>
      <c r="AO39" s="952"/>
      <c r="AP39" s="946"/>
      <c r="AQ39" s="952"/>
      <c r="AR39" s="952"/>
      <c r="AS39" s="952"/>
      <c r="AT39" s="946"/>
      <c r="AU39" s="952"/>
      <c r="AV39" s="952"/>
      <c r="AW39" s="952"/>
      <c r="AX39" s="946"/>
      <c r="AY39" s="1201"/>
      <c r="AZ39" s="1201"/>
      <c r="BA39" s="1201"/>
      <c r="BB39" s="1270"/>
      <c r="BC39" s="1270"/>
      <c r="BD39" s="1270"/>
      <c r="BE39" s="1270"/>
      <c r="BF39" s="1270"/>
      <c r="BG39" s="946"/>
      <c r="BH39" s="946"/>
      <c r="BI39" s="1208"/>
      <c r="BJ39" s="1006"/>
      <c r="BK39" s="952"/>
      <c r="BL39" s="1208"/>
      <c r="BM39" s="1208"/>
      <c r="BN39" s="1208"/>
      <c r="BO39" s="1208"/>
      <c r="BP39" s="1208"/>
      <c r="BQ39" s="1208"/>
      <c r="BR39" s="1208"/>
      <c r="BS39" s="1208"/>
      <c r="BT39" s="1208"/>
      <c r="BU39" s="1153"/>
      <c r="BV39" s="1153"/>
      <c r="BW39" s="1153"/>
      <c r="BX39" s="914"/>
      <c r="BY39" s="914"/>
      <c r="BZ39" s="2009"/>
      <c r="CA39" s="2009"/>
      <c r="CB39" s="2009"/>
      <c r="CC39" s="1153"/>
    </row>
    <row r="40" spans="1:81" ht="13.5" customHeight="1" x14ac:dyDescent="0.2">
      <c r="A40" s="1204" t="s">
        <v>637</v>
      </c>
      <c r="B40" s="1201"/>
      <c r="C40" s="1805">
        <v>1.5060471744784143</v>
      </c>
      <c r="D40" s="952"/>
      <c r="E40" s="908"/>
      <c r="F40" s="923">
        <v>0.35028883738628108</v>
      </c>
      <c r="G40" s="923">
        <v>0.38388565515698414</v>
      </c>
      <c r="H40" s="1036">
        <v>0.33663754105014576</v>
      </c>
      <c r="I40" s="1036">
        <v>0.33788003601601563</v>
      </c>
      <c r="J40" s="1036">
        <v>0.33522836564149694</v>
      </c>
      <c r="K40" s="1036">
        <v>0.28502575065591296</v>
      </c>
      <c r="L40" s="1036">
        <v>0.28972908234905426</v>
      </c>
      <c r="M40" s="1036">
        <v>0.42402044824039153</v>
      </c>
      <c r="N40" s="1036">
        <v>0.38450078552467631</v>
      </c>
      <c r="O40" s="1036">
        <v>0.32728220919837092</v>
      </c>
      <c r="P40" s="1036">
        <v>0.33678661750815075</v>
      </c>
      <c r="Q40" s="1036">
        <v>0.35480290595990854</v>
      </c>
      <c r="R40" s="1036">
        <v>0.37610694533980255</v>
      </c>
      <c r="S40" s="1036">
        <v>0.45690282512440727</v>
      </c>
      <c r="T40" s="1036">
        <v>0.46627041090997806</v>
      </c>
      <c r="U40" s="1036">
        <v>0.45328491684190392</v>
      </c>
      <c r="V40" s="1036">
        <v>0.38895717427869064</v>
      </c>
      <c r="W40" s="1036">
        <v>0.34889204631337101</v>
      </c>
      <c r="X40" s="1036">
        <v>0.40145752998195777</v>
      </c>
      <c r="Y40" s="1036">
        <v>0.34314252299522713</v>
      </c>
      <c r="Z40" s="1036">
        <v>0.31647916924218072</v>
      </c>
      <c r="AA40" s="1036">
        <v>0.29641429285357324</v>
      </c>
      <c r="AB40" s="1036">
        <v>0.32353259497095854</v>
      </c>
      <c r="AC40" s="1036">
        <v>0.35776020972432721</v>
      </c>
      <c r="AD40" s="1036">
        <v>0.31834438566425749</v>
      </c>
      <c r="AE40" s="1036">
        <v>0.25</v>
      </c>
      <c r="AF40" s="1036">
        <v>0.27974112237077409</v>
      </c>
      <c r="AG40" s="1036">
        <v>0.26209862850650578</v>
      </c>
      <c r="AH40" s="1036">
        <v>0.25689293025976445</v>
      </c>
      <c r="AI40" s="1036">
        <v>0.185</v>
      </c>
      <c r="AJ40" s="1036">
        <v>0.19878396266630768</v>
      </c>
      <c r="AK40" s="1036">
        <v>0.19393824348266261</v>
      </c>
      <c r="AL40" s="1036">
        <v>0.1696146614825767</v>
      </c>
      <c r="AM40" s="1036">
        <v>0.12057108274647887</v>
      </c>
      <c r="AN40" s="1036">
        <v>0.11753815653289407</v>
      </c>
      <c r="AO40" s="1036">
        <v>0.15242820898538359</v>
      </c>
      <c r="AP40" s="1036">
        <v>0.14044527294680872</v>
      </c>
      <c r="AQ40" s="1036">
        <v>0.11445717403164211</v>
      </c>
      <c r="AR40" s="1036">
        <v>0.11710126998240968</v>
      </c>
      <c r="AS40" s="1036">
        <v>0.15167671533210425</v>
      </c>
      <c r="AT40" s="1036">
        <v>0.1384596242378997</v>
      </c>
      <c r="AU40" s="1036">
        <v>0.14532277546638034</v>
      </c>
      <c r="AV40" s="1036">
        <v>0.18445067398306095</v>
      </c>
      <c r="AW40" s="1036">
        <v>0.19284280631329259</v>
      </c>
      <c r="AX40" s="1036">
        <v>0.157</v>
      </c>
      <c r="AY40" s="1036">
        <v>0.16300000000000001</v>
      </c>
      <c r="AZ40" s="1036">
        <v>0.153</v>
      </c>
      <c r="BA40" s="1036">
        <v>0.16</v>
      </c>
      <c r="BB40" s="1036">
        <v>0.12</v>
      </c>
      <c r="BC40" s="1036">
        <v>0.11600000000000001</v>
      </c>
      <c r="BD40" s="1036">
        <v>0.121</v>
      </c>
      <c r="BE40" s="1036">
        <v>0.14299999999999999</v>
      </c>
      <c r="BF40" s="1036">
        <v>0.104</v>
      </c>
      <c r="BG40" s="946"/>
      <c r="BH40" s="1036">
        <v>0.34888514500111206</v>
      </c>
      <c r="BI40" s="1036">
        <v>0.33452351345910164</v>
      </c>
      <c r="BJ40" s="1805">
        <v>1.4361631542010422</v>
      </c>
      <c r="BK40" s="952"/>
      <c r="BL40" s="946"/>
      <c r="BM40" s="1036">
        <v>0.34888514500111206</v>
      </c>
      <c r="BN40" s="1036">
        <v>0.33452351345910164</v>
      </c>
      <c r="BO40" s="1036">
        <v>0.34670274846551569</v>
      </c>
      <c r="BP40" s="1036">
        <v>0.43883323641385102</v>
      </c>
      <c r="BQ40" s="1036">
        <v>0.35092828249786578</v>
      </c>
      <c r="BR40" s="1036">
        <v>0.32198396251914585</v>
      </c>
      <c r="BS40" s="1036">
        <v>0.26219580263451664</v>
      </c>
      <c r="BT40" s="1036">
        <v>0.189</v>
      </c>
      <c r="BU40" s="923">
        <v>0.12979244708194415</v>
      </c>
      <c r="BV40" s="923">
        <v>0.128</v>
      </c>
      <c r="BW40" s="923">
        <v>0.16900000000000001</v>
      </c>
      <c r="BX40" s="923">
        <v>0.14699999999999999</v>
      </c>
      <c r="BY40" s="923">
        <v>0.11899999999999999</v>
      </c>
      <c r="BZ40" s="2170">
        <v>9.9000000000000005E-2</v>
      </c>
      <c r="CA40" s="2170">
        <v>7.6999999999999999E-2</v>
      </c>
      <c r="CB40" s="2170">
        <v>7.9000000000000001E-2</v>
      </c>
      <c r="CC40" s="1153"/>
    </row>
    <row r="41" spans="1:81" ht="13.5" customHeight="1" x14ac:dyDescent="0.2">
      <c r="A41" s="1204" t="s">
        <v>638</v>
      </c>
      <c r="B41" s="1201"/>
      <c r="C41" s="1805">
        <v>3.1000000000000028</v>
      </c>
      <c r="D41" s="952"/>
      <c r="E41" s="908"/>
      <c r="F41" s="923">
        <v>0.73299999999999998</v>
      </c>
      <c r="G41" s="923">
        <v>0.73399999999999999</v>
      </c>
      <c r="H41" s="1036">
        <v>0.73699999999999999</v>
      </c>
      <c r="I41" s="1036">
        <v>0.73299999999999998</v>
      </c>
      <c r="J41" s="1036">
        <v>0.70199999999999996</v>
      </c>
      <c r="K41" s="1036">
        <v>0.67300000000000004</v>
      </c>
      <c r="L41" s="1036">
        <v>0.68799999999999994</v>
      </c>
      <c r="M41" s="1036">
        <v>0.72499999999999998</v>
      </c>
      <c r="N41" s="1036">
        <v>0.66300000000000003</v>
      </c>
      <c r="O41" s="1036">
        <v>0.70499999999999996</v>
      </c>
      <c r="P41" s="1036">
        <v>0.68100000000000005</v>
      </c>
      <c r="Q41" s="1036">
        <v>0.70899999999999996</v>
      </c>
      <c r="R41" s="1036">
        <v>0.68500000000000005</v>
      </c>
      <c r="S41" s="1036">
        <v>0.70799999999999996</v>
      </c>
      <c r="T41" s="1036">
        <v>0.71</v>
      </c>
      <c r="U41" s="1036">
        <v>0.7</v>
      </c>
      <c r="V41" s="1036">
        <v>0.68700000000000006</v>
      </c>
      <c r="W41" s="1036"/>
      <c r="X41" s="1036"/>
      <c r="Y41" s="1036"/>
      <c r="Z41" s="1036"/>
      <c r="AA41" s="1036"/>
      <c r="AB41" s="1036"/>
      <c r="AC41" s="1036"/>
      <c r="AD41" s="1036"/>
      <c r="AE41" s="1036"/>
      <c r="AF41" s="1036"/>
      <c r="AG41" s="1036"/>
      <c r="AH41" s="1036"/>
      <c r="AI41" s="1036"/>
      <c r="AJ41" s="1036"/>
      <c r="AK41" s="1036"/>
      <c r="AL41" s="1036"/>
      <c r="AM41" s="1036"/>
      <c r="AN41" s="1036"/>
      <c r="AO41" s="1036"/>
      <c r="AP41" s="1036"/>
      <c r="AQ41" s="1036"/>
      <c r="AR41" s="1036"/>
      <c r="AS41" s="1036"/>
      <c r="AT41" s="1036"/>
      <c r="AU41" s="1036"/>
      <c r="AV41" s="1036"/>
      <c r="AW41" s="1036"/>
      <c r="AX41" s="1036"/>
      <c r="AY41" s="1036"/>
      <c r="AZ41" s="1036"/>
      <c r="BA41" s="1036"/>
      <c r="BB41" s="1036"/>
      <c r="BC41" s="1036"/>
      <c r="BD41" s="1036"/>
      <c r="BE41" s="1036"/>
      <c r="BF41" s="1036"/>
      <c r="BG41" s="946"/>
      <c r="BH41" s="1036">
        <v>0.72599999999999998</v>
      </c>
      <c r="BI41" s="1036">
        <v>0.68500000000000005</v>
      </c>
      <c r="BJ41" s="1805">
        <v>4.0999999999999925</v>
      </c>
      <c r="BK41" s="952"/>
      <c r="BL41" s="946"/>
      <c r="BM41" s="1036">
        <v>0.72599999999999998</v>
      </c>
      <c r="BN41" s="1036">
        <v>0.68500000000000005</v>
      </c>
      <c r="BO41" s="1036">
        <v>0.69199999999999995</v>
      </c>
      <c r="BP41" s="1036">
        <v>0.70099999999999996</v>
      </c>
      <c r="BQ41" s="1036">
        <v>0.67100000000000004</v>
      </c>
      <c r="BR41" s="1036">
        <v>0.60599999999999998</v>
      </c>
      <c r="BS41" s="1036">
        <v>0.61099999999999999</v>
      </c>
      <c r="BT41" s="1036"/>
      <c r="BU41" s="923"/>
      <c r="BV41" s="923"/>
      <c r="BW41" s="923"/>
      <c r="BX41" s="923"/>
      <c r="BY41" s="923"/>
      <c r="BZ41" s="2170"/>
      <c r="CA41" s="2170"/>
      <c r="CB41" s="2170"/>
      <c r="CC41" s="1153"/>
    </row>
    <row r="42" spans="1:81" ht="13.5" customHeight="1" x14ac:dyDescent="0.2">
      <c r="A42" s="1203" t="s">
        <v>623</v>
      </c>
      <c r="B42" s="1201"/>
      <c r="C42" s="1805">
        <v>-1.3011261639979899</v>
      </c>
      <c r="D42" s="952"/>
      <c r="E42" s="908"/>
      <c r="F42" s="923">
        <v>0.56037027616559143</v>
      </c>
      <c r="G42" s="923">
        <v>0.56813796636216174</v>
      </c>
      <c r="H42" s="1036">
        <v>0.56968934031160812</v>
      </c>
      <c r="I42" s="1036">
        <v>0.57282606823622617</v>
      </c>
      <c r="J42" s="1036">
        <v>0.57338153780557133</v>
      </c>
      <c r="K42" s="1036">
        <v>0.59219955661723001</v>
      </c>
      <c r="L42" s="1036">
        <v>0.57254532654311396</v>
      </c>
      <c r="M42" s="1036">
        <v>0.56967065825223184</v>
      </c>
      <c r="N42" s="1036">
        <v>0.53429573988339052</v>
      </c>
      <c r="O42" s="1036">
        <v>0.57575716253255693</v>
      </c>
      <c r="P42" s="1036">
        <v>0.52211732573328584</v>
      </c>
      <c r="Q42" s="1036">
        <v>0.53707018370230808</v>
      </c>
      <c r="R42" s="1036">
        <v>0.57104591836734697</v>
      </c>
      <c r="S42" s="1036">
        <v>0.5665684879372539</v>
      </c>
      <c r="T42" s="1036">
        <v>0.54500791347929312</v>
      </c>
      <c r="U42" s="1036">
        <v>0.54860949596305275</v>
      </c>
      <c r="V42" s="1036">
        <v>0.56121808127690209</v>
      </c>
      <c r="W42" s="1036">
        <v>0.59977629311647873</v>
      </c>
      <c r="X42" s="1036">
        <v>0.58531149396823146</v>
      </c>
      <c r="Y42" s="1036">
        <v>0.58779277428327592</v>
      </c>
      <c r="Z42" s="1036">
        <v>0.61874150080356038</v>
      </c>
      <c r="AA42" s="1036">
        <v>0.6479572713643178</v>
      </c>
      <c r="AB42" s="1036">
        <v>0.61070024171146142</v>
      </c>
      <c r="AC42" s="1036">
        <v>0.62462622373325682</v>
      </c>
      <c r="AD42" s="1036">
        <v>0.62808285522688323</v>
      </c>
      <c r="AE42" s="1036">
        <v>0.64655680724948017</v>
      </c>
      <c r="AF42" s="1036">
        <v>0.6104533394197027</v>
      </c>
      <c r="AG42" s="1036">
        <v>0.64781928854637849</v>
      </c>
      <c r="AH42" s="1036">
        <v>0.61838061304974568</v>
      </c>
      <c r="AI42" s="1036">
        <v>0.57879208938462412</v>
      </c>
      <c r="AJ42" s="1036">
        <v>0.58291265621143795</v>
      </c>
      <c r="AK42" s="1036">
        <v>0.57164852779886943</v>
      </c>
      <c r="AL42" s="1036">
        <v>0.58711644123176898</v>
      </c>
      <c r="AM42" s="1036">
        <v>0.56511333626760563</v>
      </c>
      <c r="AN42" s="1036">
        <v>0.57583929794894972</v>
      </c>
      <c r="AO42" s="1036">
        <v>0.59224499876512715</v>
      </c>
      <c r="AP42" s="1036">
        <v>0.57540195310017583</v>
      </c>
      <c r="AQ42" s="1036">
        <v>0.57785051827605016</v>
      </c>
      <c r="AR42" s="1036">
        <v>0.54879863916648952</v>
      </c>
      <c r="AS42" s="1036">
        <v>0.59116049628780709</v>
      </c>
      <c r="AT42" s="1036">
        <v>0.56959064327485376</v>
      </c>
      <c r="AU42" s="1036">
        <v>0.47314454435646219</v>
      </c>
      <c r="AV42" s="1036">
        <v>0.5144936180365024</v>
      </c>
      <c r="AW42" s="1036">
        <v>0.53811239850378612</v>
      </c>
      <c r="AX42" s="1036">
        <v>0.53119112232727772</v>
      </c>
      <c r="AY42" s="1036">
        <v>0.53</v>
      </c>
      <c r="AZ42" s="1036">
        <v>0.51900000000000002</v>
      </c>
      <c r="BA42" s="1036">
        <v>0.503</v>
      </c>
      <c r="BB42" s="1036">
        <v>0.54800000000000004</v>
      </c>
      <c r="BC42" s="1036">
        <v>0.53900000000000003</v>
      </c>
      <c r="BD42" s="1036">
        <v>0.50700000000000001</v>
      </c>
      <c r="BE42" s="1036">
        <v>0.499</v>
      </c>
      <c r="BF42" s="1036">
        <v>0.50900000000000001</v>
      </c>
      <c r="BG42" s="946"/>
      <c r="BH42" s="1036">
        <v>0.57098466688753624</v>
      </c>
      <c r="BI42" s="1036">
        <v>0.57044009020566355</v>
      </c>
      <c r="BJ42" s="1805">
        <v>5.4457668187268826E-2</v>
      </c>
      <c r="BK42" s="952"/>
      <c r="BL42" s="946"/>
      <c r="BM42" s="1036">
        <v>0.57098466688753624</v>
      </c>
      <c r="BN42" s="1036">
        <v>0.57044009020566355</v>
      </c>
      <c r="BO42" s="1036">
        <v>0.55189790012391848</v>
      </c>
      <c r="BP42" s="1036">
        <v>0.55546362651936387</v>
      </c>
      <c r="BQ42" s="1036">
        <v>0.55395193112519436</v>
      </c>
      <c r="BR42" s="1036">
        <v>0.5560534914031674</v>
      </c>
      <c r="BS42" s="1036">
        <v>0.57286755435815073</v>
      </c>
      <c r="BT42" s="1036">
        <v>0.58030235370265371</v>
      </c>
      <c r="BU42" s="923">
        <v>0.57553990791636089</v>
      </c>
      <c r="BV42" s="923">
        <v>0.57089699859927501</v>
      </c>
      <c r="BW42" s="923">
        <v>0.51716680967510031</v>
      </c>
      <c r="BX42" s="923">
        <v>0.5264543786903868</v>
      </c>
      <c r="BY42" s="923">
        <v>0.51500000000000001</v>
      </c>
      <c r="BZ42" s="2022">
        <v>0.52500000000000002</v>
      </c>
      <c r="CA42" s="2022">
        <v>0.53600000000000003</v>
      </c>
      <c r="CB42" s="2022">
        <v>0.52800000000000002</v>
      </c>
      <c r="CC42" s="1153"/>
    </row>
    <row r="43" spans="1:81" ht="12.75" customHeight="1" x14ac:dyDescent="0.2">
      <c r="A43" s="1201" t="s">
        <v>75</v>
      </c>
      <c r="B43" s="1201"/>
      <c r="C43" s="1805">
        <v>-1.6334610823823537</v>
      </c>
      <c r="D43" s="952"/>
      <c r="E43" s="908"/>
      <c r="F43" s="923">
        <v>0.25347422942631859</v>
      </c>
      <c r="G43" s="923">
        <v>0.2823017160420046</v>
      </c>
      <c r="H43" s="1036">
        <v>0.27646384259219337</v>
      </c>
      <c r="I43" s="1036">
        <v>0.25446497769663984</v>
      </c>
      <c r="J43" s="1036">
        <v>0.26980884025014212</v>
      </c>
      <c r="K43" s="1036">
        <v>0.30578803553936312</v>
      </c>
      <c r="L43" s="1036">
        <v>0.24469476013275671</v>
      </c>
      <c r="M43" s="1036">
        <v>0.35830829607693743</v>
      </c>
      <c r="N43" s="1036">
        <v>0.29683393150191456</v>
      </c>
      <c r="O43" s="1036">
        <v>0.28785130841503825</v>
      </c>
      <c r="P43" s="1036">
        <v>0.31400665004156275</v>
      </c>
      <c r="Q43" s="1036">
        <v>0.28811430365834512</v>
      </c>
      <c r="R43" s="1036">
        <v>0.28726084183673467</v>
      </c>
      <c r="S43" s="1036">
        <v>0.33376907039083958</v>
      </c>
      <c r="T43" s="1036">
        <v>0.32623318385650224</v>
      </c>
      <c r="U43" s="1036">
        <v>0.30984815762368345</v>
      </c>
      <c r="V43" s="1036">
        <v>0.29062696260894871</v>
      </c>
      <c r="W43" s="1036">
        <v>0.3015810635146165</v>
      </c>
      <c r="X43" s="1036">
        <v>0.34365160788198251</v>
      </c>
      <c r="Y43" s="1036">
        <v>0.31406264816512314</v>
      </c>
      <c r="Z43" s="1036">
        <v>0.31929163060946963</v>
      </c>
      <c r="AA43" s="1036">
        <v>0.31784107946026985</v>
      </c>
      <c r="AB43" s="1036">
        <v>0.39835491900862224</v>
      </c>
      <c r="AC43" s="1036">
        <v>0.45582271740466146</v>
      </c>
      <c r="AD43" s="1036">
        <v>0.38398778034423664</v>
      </c>
      <c r="AE43" s="1036">
        <v>0.32892654315240666</v>
      </c>
      <c r="AF43" s="1036">
        <v>0.27796639182904909</v>
      </c>
      <c r="AG43" s="1036">
        <v>0.6750991232478919</v>
      </c>
      <c r="AH43" s="1036">
        <v>0.32134794788805177</v>
      </c>
      <c r="AI43" s="1036">
        <v>0.23303576527019054</v>
      </c>
      <c r="AJ43" s="1036">
        <v>0.25269794260842254</v>
      </c>
      <c r="AK43" s="1036">
        <v>0.21564160971905846</v>
      </c>
      <c r="AL43" s="1036">
        <v>0.20723582133143492</v>
      </c>
      <c r="AM43" s="1036">
        <v>0.18037522007042253</v>
      </c>
      <c r="AN43" s="1036">
        <v>0.18236417440487471</v>
      </c>
      <c r="AO43" s="1036">
        <v>0.27443364242573925</v>
      </c>
      <c r="AP43" s="1036">
        <v>0.26133836083631667</v>
      </c>
      <c r="AQ43" s="1036">
        <v>0.27384979087106748</v>
      </c>
      <c r="AR43" s="1036">
        <v>0.26397077300755806</v>
      </c>
      <c r="AS43" s="1036">
        <v>0.28613782450545616</v>
      </c>
      <c r="AT43" s="1036">
        <v>0.3045617767823815</v>
      </c>
      <c r="AU43" s="1036">
        <v>0.30438867266138775</v>
      </c>
      <c r="AV43" s="1036">
        <v>0.68483836335440773</v>
      </c>
      <c r="AW43" s="1036">
        <v>0.28095064318949003</v>
      </c>
      <c r="AX43" s="1036">
        <v>0.24116294747031269</v>
      </c>
      <c r="AY43" s="1036">
        <v>1.28</v>
      </c>
      <c r="AZ43" s="1036">
        <v>0.26800000000000002</v>
      </c>
      <c r="BA43" s="1036">
        <v>0.26400000000000001</v>
      </c>
      <c r="BB43" s="1036">
        <v>0.20299999999999996</v>
      </c>
      <c r="BC43" s="1036">
        <v>0.19</v>
      </c>
      <c r="BD43" s="1036">
        <v>0.22199999999999998</v>
      </c>
      <c r="BE43" s="1036">
        <v>0.24399999999999999</v>
      </c>
      <c r="BF43" s="1036">
        <v>0.255</v>
      </c>
      <c r="BG43" s="946"/>
      <c r="BH43" s="1036">
        <v>0.27079043158348326</v>
      </c>
      <c r="BI43" s="1036">
        <v>0.29579625403427273</v>
      </c>
      <c r="BJ43" s="1805">
        <v>-2.500582245078947</v>
      </c>
      <c r="BK43" s="952"/>
      <c r="BL43" s="1208"/>
      <c r="BM43" s="1036">
        <v>0.27079043158348326</v>
      </c>
      <c r="BN43" s="1036">
        <v>0.29579625403427273</v>
      </c>
      <c r="BO43" s="1036">
        <v>0.29437200265058344</v>
      </c>
      <c r="BP43" s="1036">
        <v>0.31465281242015353</v>
      </c>
      <c r="BQ43" s="1036">
        <v>0.33532225278010286</v>
      </c>
      <c r="BR43" s="1036">
        <v>0.36659286900319593</v>
      </c>
      <c r="BS43" s="1036">
        <v>0.4001347080462152</v>
      </c>
      <c r="BT43" s="1036">
        <v>0.22620331856519973</v>
      </c>
      <c r="BU43" s="923">
        <v>0.21533668885084253</v>
      </c>
      <c r="BV43" s="923">
        <v>0.28056734706970476</v>
      </c>
      <c r="BW43" s="923">
        <v>0.32018622017114629</v>
      </c>
      <c r="BX43" s="923">
        <v>0.46870873088826182</v>
      </c>
      <c r="BY43" s="923">
        <v>0.22599999999999998</v>
      </c>
      <c r="BZ43" s="2022">
        <v>0.20299999999999996</v>
      </c>
      <c r="CA43" s="2022">
        <v>0.18</v>
      </c>
      <c r="CB43" s="2022">
        <v>0.14600000000000002</v>
      </c>
      <c r="CC43" s="1153"/>
    </row>
    <row r="44" spans="1:81" ht="12.75" customHeight="1" x14ac:dyDescent="0.2">
      <c r="A44" s="1201" t="s">
        <v>76</v>
      </c>
      <c r="B44" s="1201"/>
      <c r="C44" s="1805">
        <v>-1.8709296516338902</v>
      </c>
      <c r="D44" s="952"/>
      <c r="E44" s="908"/>
      <c r="F44" s="923">
        <v>0.82448108153937461</v>
      </c>
      <c r="G44" s="923">
        <v>0.85043968240416634</v>
      </c>
      <c r="H44" s="1036">
        <v>0.84615318290380148</v>
      </c>
      <c r="I44" s="1036">
        <v>0.82729104593286606</v>
      </c>
      <c r="J44" s="1036">
        <v>0.84319037805571351</v>
      </c>
      <c r="K44" s="1036">
        <v>0.89798759215659318</v>
      </c>
      <c r="L44" s="1036">
        <v>0.81724008667587067</v>
      </c>
      <c r="M44" s="1036">
        <v>0.92797895432916921</v>
      </c>
      <c r="N44" s="1036">
        <v>0.83112967138530502</v>
      </c>
      <c r="O44" s="1036">
        <v>0.86360847094759519</v>
      </c>
      <c r="P44" s="1036">
        <v>0.83612397577484854</v>
      </c>
      <c r="Q44" s="1036">
        <v>0.8251844873606532</v>
      </c>
      <c r="R44" s="1036">
        <v>0.85830676020408159</v>
      </c>
      <c r="S44" s="1036">
        <v>0.90033755832809348</v>
      </c>
      <c r="T44" s="1036">
        <v>0.87124109733579536</v>
      </c>
      <c r="U44" s="1036">
        <v>0.8584576535867362</v>
      </c>
      <c r="V44" s="1036">
        <v>0.85184504388585081</v>
      </c>
      <c r="W44" s="1036">
        <v>0.90135735663109529</v>
      </c>
      <c r="X44" s="1036">
        <v>0.92896310185021402</v>
      </c>
      <c r="Y44" s="1036">
        <v>0.90235542244839895</v>
      </c>
      <c r="Z44" s="1036">
        <v>0.93803313141303002</v>
      </c>
      <c r="AA44" s="1036">
        <v>0.96579835082458776</v>
      </c>
      <c r="AB44" s="1036">
        <v>1.0090551607200837</v>
      </c>
      <c r="AC44" s="1036">
        <v>1.0804489411379183</v>
      </c>
      <c r="AD44" s="1036">
        <v>1.01207063557112</v>
      </c>
      <c r="AE44" s="1036">
        <v>0.97548335040188683</v>
      </c>
      <c r="AF44" s="1036">
        <v>0.88841973124875184</v>
      </c>
      <c r="AG44" s="1036">
        <v>1.3229184117942705</v>
      </c>
      <c r="AH44" s="1036">
        <v>0.93972856093779744</v>
      </c>
      <c r="AI44" s="1036">
        <v>0.81182785465481466</v>
      </c>
      <c r="AJ44" s="1036">
        <v>0.83561059881986044</v>
      </c>
      <c r="AK44" s="1036">
        <v>0.78729013751792798</v>
      </c>
      <c r="AL44" s="1036">
        <v>0.7943522625632039</v>
      </c>
      <c r="AM44" s="1036">
        <v>0.74548855633802813</v>
      </c>
      <c r="AN44" s="1036">
        <v>0.75820347235382435</v>
      </c>
      <c r="AO44" s="1036">
        <v>0.86667864119086646</v>
      </c>
      <c r="AP44" s="1036">
        <v>0.83674031393649251</v>
      </c>
      <c r="AQ44" s="1036">
        <v>0.8517003091471177</v>
      </c>
      <c r="AR44" s="1036">
        <v>0.81276941217404752</v>
      </c>
      <c r="AS44" s="1036">
        <v>0.8772983207932632</v>
      </c>
      <c r="AT44" s="1036">
        <v>0.87515242005723526</v>
      </c>
      <c r="AU44" s="1036">
        <v>0.77753321701784994</v>
      </c>
      <c r="AV44" s="1036">
        <v>1.1993319813909102</v>
      </c>
      <c r="AW44" s="1036">
        <v>0.81906304169327615</v>
      </c>
      <c r="AX44" s="1036">
        <v>0.77235406979759047</v>
      </c>
      <c r="AY44" s="1036">
        <v>1.81</v>
      </c>
      <c r="AZ44" s="1036">
        <v>0.78700000000000003</v>
      </c>
      <c r="BA44" s="1036">
        <v>0.76700000000000002</v>
      </c>
      <c r="BB44" s="1036">
        <v>0.751</v>
      </c>
      <c r="BC44" s="1036">
        <v>0.72899999999999998</v>
      </c>
      <c r="BD44" s="1036">
        <v>0.72899999999999998</v>
      </c>
      <c r="BE44" s="1036">
        <v>0.74299999999999999</v>
      </c>
      <c r="BF44" s="1036">
        <v>0.76400000000000001</v>
      </c>
      <c r="BG44" s="946"/>
      <c r="BH44" s="1036">
        <v>0.8417750984710195</v>
      </c>
      <c r="BI44" s="1036">
        <v>0.86623634423993623</v>
      </c>
      <c r="BJ44" s="1805">
        <v>-2.4461245768916728</v>
      </c>
      <c r="BK44" s="952"/>
      <c r="BL44" s="1208"/>
      <c r="BM44" s="1036">
        <v>0.8417750984710195</v>
      </c>
      <c r="BN44" s="1036">
        <v>0.86623634423993623</v>
      </c>
      <c r="BO44" s="1036">
        <v>0.84626990277450198</v>
      </c>
      <c r="BP44" s="1036">
        <v>0.8701164389395174</v>
      </c>
      <c r="BQ44" s="1036">
        <v>0.88927418390529711</v>
      </c>
      <c r="BR44" s="1036">
        <v>0.92264636040636328</v>
      </c>
      <c r="BS44" s="1036">
        <v>0.97300226240436594</v>
      </c>
      <c r="BT44" s="1036">
        <v>0.80650567226785352</v>
      </c>
      <c r="BU44" s="923">
        <v>0.79087659676720345</v>
      </c>
      <c r="BV44" s="923">
        <v>0.85146434566897977</v>
      </c>
      <c r="BW44" s="923">
        <v>0.86835300665568982</v>
      </c>
      <c r="BX44" s="923">
        <v>0.99516310957864862</v>
      </c>
      <c r="BY44" s="923">
        <v>0.74099999999999999</v>
      </c>
      <c r="BZ44" s="2022">
        <v>0.72799999999999998</v>
      </c>
      <c r="CA44" s="2022">
        <v>0.71599999999999997</v>
      </c>
      <c r="CB44" s="2022">
        <v>0.67400000000000004</v>
      </c>
      <c r="CC44" s="1153"/>
    </row>
    <row r="45" spans="1:81" ht="13.5" customHeight="1" x14ac:dyDescent="0.2">
      <c r="A45" s="1203" t="s">
        <v>182</v>
      </c>
      <c r="B45" s="1201"/>
      <c r="C45" s="1805">
        <v>1.8709296516338876</v>
      </c>
      <c r="D45" s="952"/>
      <c r="E45" s="908"/>
      <c r="F45" s="923">
        <v>0.17551891846062539</v>
      </c>
      <c r="G45" s="923">
        <v>0.14956031759583369</v>
      </c>
      <c r="H45" s="1036">
        <v>0.15384681709619855</v>
      </c>
      <c r="I45" s="1036">
        <v>0.17270895406713396</v>
      </c>
      <c r="J45" s="1036">
        <v>0.15680962194428652</v>
      </c>
      <c r="K45" s="1036">
        <v>0.10201240784340683</v>
      </c>
      <c r="L45" s="1036">
        <v>0.18275991332412936</v>
      </c>
      <c r="M45" s="1036">
        <v>7.2021045670830758E-2</v>
      </c>
      <c r="N45" s="1036">
        <v>0.16887032861469495</v>
      </c>
      <c r="O45" s="1036">
        <v>0.13639152905240479</v>
      </c>
      <c r="P45" s="1036">
        <v>0.16387602422515141</v>
      </c>
      <c r="Q45" s="1036">
        <v>0.17481551263934683</v>
      </c>
      <c r="R45" s="1036">
        <v>0.14169323979591836</v>
      </c>
      <c r="S45" s="1036">
        <v>9.9662441671906549E-2</v>
      </c>
      <c r="T45" s="1036">
        <v>0.1287589026642047</v>
      </c>
      <c r="U45" s="1036">
        <v>0.14154234641326377</v>
      </c>
      <c r="V45" s="1036">
        <v>0.14815495611414917</v>
      </c>
      <c r="W45" s="1036">
        <v>9.8642643368904742E-2</v>
      </c>
      <c r="X45" s="1036">
        <v>7.1036898149785976E-2</v>
      </c>
      <c r="Y45" s="1036">
        <v>9.814457755160097E-2</v>
      </c>
      <c r="Z45" s="1036">
        <v>6.196686858696996E-2</v>
      </c>
      <c r="AA45" s="1036">
        <v>3.4201649175412296E-2</v>
      </c>
      <c r="AB45" s="1036">
        <v>-9.0551607200836971E-3</v>
      </c>
      <c r="AC45" s="1036">
        <v>-8.0448941137918326E-2</v>
      </c>
      <c r="AD45" s="1036">
        <v>-1.2070635571119887E-2</v>
      </c>
      <c r="AE45" s="1036">
        <v>2.4516649598113147E-2</v>
      </c>
      <c r="AF45" s="1036">
        <v>0.11158026875124818</v>
      </c>
      <c r="AG45" s="1036">
        <v>-0.32291841179427039</v>
      </c>
      <c r="AH45" s="1036">
        <v>6.0271439062202517E-2</v>
      </c>
      <c r="AI45" s="1036">
        <v>0.18817214534518531</v>
      </c>
      <c r="AJ45" s="1036">
        <v>0.16438940118013956</v>
      </c>
      <c r="AK45" s="1036">
        <v>0.21270986248207205</v>
      </c>
      <c r="AL45" s="1036">
        <v>0.2056477374367961</v>
      </c>
      <c r="AM45" s="1036">
        <v>0.25451144366197181</v>
      </c>
      <c r="AN45" s="1036">
        <v>0.2417965276461756</v>
      </c>
      <c r="AO45" s="1036">
        <v>0.13332135880913357</v>
      </c>
      <c r="AP45" s="1036">
        <v>0.16325968606350752</v>
      </c>
      <c r="AQ45" s="1036">
        <v>0.14829969085288233</v>
      </c>
      <c r="AR45" s="1036">
        <v>0.18723058782595248</v>
      </c>
      <c r="AS45" s="1036">
        <v>0.12270167920673676</v>
      </c>
      <c r="AT45" s="1036">
        <v>0.12484757994276471</v>
      </c>
      <c r="AU45" s="1036">
        <v>0.22246678298215006</v>
      </c>
      <c r="AV45" s="1036">
        <v>-0.19933198139091018</v>
      </c>
      <c r="AW45" s="1036">
        <v>0.18093695830672385</v>
      </c>
      <c r="AX45" s="1036">
        <v>0.22764593020240956</v>
      </c>
      <c r="AY45" s="1036">
        <v>-0.81</v>
      </c>
      <c r="AZ45" s="1036">
        <v>0.21299999999999997</v>
      </c>
      <c r="BA45" s="1036">
        <v>0.23299999999999998</v>
      </c>
      <c r="BB45" s="1036">
        <v>0.249</v>
      </c>
      <c r="BC45" s="1036">
        <v>0.27100000000000002</v>
      </c>
      <c r="BD45" s="1036">
        <v>0.27100000000000002</v>
      </c>
      <c r="BE45" s="1036">
        <v>0.25700000000000001</v>
      </c>
      <c r="BF45" s="1036">
        <v>0.23599999999999999</v>
      </c>
      <c r="BG45" s="946"/>
      <c r="BH45" s="1036">
        <v>0.15822490152898047</v>
      </c>
      <c r="BI45" s="1036">
        <v>0.13376365576006374</v>
      </c>
      <c r="BJ45" s="1805">
        <v>2.4461245768916728</v>
      </c>
      <c r="BK45" s="952"/>
      <c r="BL45" s="1208"/>
      <c r="BM45" s="1036">
        <v>0.15822490152898047</v>
      </c>
      <c r="BN45" s="1036">
        <v>0.13376365576006374</v>
      </c>
      <c r="BO45" s="1036">
        <v>0.15373009722549802</v>
      </c>
      <c r="BP45" s="1036">
        <v>0.12988356106048254</v>
      </c>
      <c r="BQ45" s="1036">
        <v>0.11072581609470286</v>
      </c>
      <c r="BR45" s="1036">
        <v>7.7353639593636739E-2</v>
      </c>
      <c r="BS45" s="1036">
        <v>2.6997737595634078E-2</v>
      </c>
      <c r="BT45" s="1036">
        <v>0.19349432773214653</v>
      </c>
      <c r="BU45" s="923">
        <v>0.20912340323279655</v>
      </c>
      <c r="BV45" s="923">
        <v>0.14853565433102017</v>
      </c>
      <c r="BW45" s="923">
        <v>0.13164699334431021</v>
      </c>
      <c r="BX45" s="923">
        <v>4.8368904213513591E-3</v>
      </c>
      <c r="BY45" s="923">
        <v>0.25900000000000001</v>
      </c>
      <c r="BZ45" s="2022">
        <v>0.27200000000000002</v>
      </c>
      <c r="CA45" s="2022">
        <v>0.28400000000000003</v>
      </c>
      <c r="CB45" s="2022">
        <v>0.32599999999999996</v>
      </c>
      <c r="CC45" s="1153"/>
    </row>
    <row r="46" spans="1:81" ht="12.75" customHeight="1" x14ac:dyDescent="0.2">
      <c r="A46" s="1203" t="s">
        <v>77</v>
      </c>
      <c r="B46" s="1201"/>
      <c r="C46" s="1805">
        <v>1.7509468118883404</v>
      </c>
      <c r="D46" s="952"/>
      <c r="E46" s="908"/>
      <c r="F46" s="923">
        <v>0.14458806391194765</v>
      </c>
      <c r="G46" s="923">
        <v>0.11183300606164091</v>
      </c>
      <c r="H46" s="1036">
        <v>0.12772139783926412</v>
      </c>
      <c r="I46" s="1036">
        <v>0.14109673974820452</v>
      </c>
      <c r="J46" s="1036">
        <v>0.12707859579306424</v>
      </c>
      <c r="K46" s="1036">
        <v>7.4258021275498812E-2</v>
      </c>
      <c r="L46" s="1036">
        <v>0.14923244310753112</v>
      </c>
      <c r="M46" s="1036">
        <v>1.3211046102094504E-2</v>
      </c>
      <c r="N46" s="1036">
        <v>0.10828407893156862</v>
      </c>
      <c r="O46" s="1036">
        <v>7.8041263823926468E-2</v>
      </c>
      <c r="P46" s="1036">
        <v>9.4199026243914019E-2</v>
      </c>
      <c r="Q46" s="1036">
        <v>0.10824305228450307</v>
      </c>
      <c r="R46" s="1036">
        <v>8.4566326530612246E-2</v>
      </c>
      <c r="S46" s="1036">
        <v>4.5173246847800908E-3</v>
      </c>
      <c r="T46" s="1036">
        <v>4.2798733843313112E-2</v>
      </c>
      <c r="U46" s="1036">
        <v>4.566900355517161E-2</v>
      </c>
      <c r="V46" s="1036">
        <v>6.9742505705926508E-2</v>
      </c>
      <c r="W46" s="1036">
        <v>-3.866501405725687E-2</v>
      </c>
      <c r="X46" s="1036">
        <v>-6.3183217179042697E-2</v>
      </c>
      <c r="Y46" s="1036">
        <v>-5.5789107690362549E-2</v>
      </c>
      <c r="Z46" s="1036">
        <v>-7.0218815675608851E-2</v>
      </c>
      <c r="AA46" s="1036">
        <v>-9.9325337331334335E-2</v>
      </c>
      <c r="AB46" s="1036">
        <v>-0.16804358021573651</v>
      </c>
      <c r="AC46" s="1036">
        <v>-0.21078933355179619</v>
      </c>
      <c r="AD46" s="1036">
        <v>-0.19119290663884955</v>
      </c>
      <c r="AE46" s="1036">
        <v>-0.2343667566644943</v>
      </c>
      <c r="AF46" s="1036">
        <v>-0.13109469059370632</v>
      </c>
      <c r="AG46" s="1036">
        <v>-0.58041547997989618</v>
      </c>
      <c r="AH46" s="1036">
        <v>-0.19607256507193951</v>
      </c>
      <c r="AI46" s="1036">
        <v>-1.3342977330262481E-2</v>
      </c>
      <c r="AJ46" s="1036">
        <v>-2.1291871396199324E-2</v>
      </c>
      <c r="AK46" s="1036">
        <v>4.0812452543659831E-2</v>
      </c>
      <c r="AL46" s="1036">
        <v>4.6401255864045414E-2</v>
      </c>
      <c r="AM46" s="1036">
        <v>0.12546764964788731</v>
      </c>
      <c r="AN46" s="1036">
        <v>0.11870435429087887</v>
      </c>
      <c r="AO46" s="1036">
        <v>-7.7145872156986012E-2</v>
      </c>
      <c r="AP46" s="1036">
        <v>-3.5948058550638678E-2</v>
      </c>
      <c r="AQ46" s="1036">
        <v>-1.9458083287870524E-2</v>
      </c>
      <c r="AR46" s="1036">
        <v>-1.6817118667001719E-3</v>
      </c>
      <c r="AS46" s="1036">
        <v>-8.2066869300911852E-2</v>
      </c>
      <c r="AT46" s="952" t="s">
        <v>181</v>
      </c>
      <c r="AU46" s="952" t="s">
        <v>181</v>
      </c>
      <c r="AV46" s="952" t="s">
        <v>181</v>
      </c>
      <c r="AW46" s="952" t="s">
        <v>181</v>
      </c>
      <c r="AX46" s="952" t="s">
        <v>181</v>
      </c>
      <c r="AY46" s="952" t="s">
        <v>181</v>
      </c>
      <c r="AZ46" s="952" t="s">
        <v>181</v>
      </c>
      <c r="BA46" s="952" t="s">
        <v>181</v>
      </c>
      <c r="BB46" s="952"/>
      <c r="BC46" s="952"/>
      <c r="BD46" s="952"/>
      <c r="BE46" s="952"/>
      <c r="BF46" s="952"/>
      <c r="BG46" s="1807"/>
      <c r="BH46" s="1036">
        <v>0.12689823325992669</v>
      </c>
      <c r="BI46" s="1036">
        <v>9.1823423764060871E-2</v>
      </c>
      <c r="BJ46" s="1805">
        <v>3.507480949586582</v>
      </c>
      <c r="BK46" s="952"/>
      <c r="BL46" s="1442"/>
      <c r="BM46" s="1036">
        <v>0.12689823325992669</v>
      </c>
      <c r="BN46" s="1036">
        <v>9.1823423764060871E-2</v>
      </c>
      <c r="BO46" s="1036">
        <v>9.0849871401776791E-2</v>
      </c>
      <c r="BP46" s="1036">
        <v>4.1250451195821013E-2</v>
      </c>
      <c r="BQ46" s="1036">
        <v>2.4301486707321934E-2</v>
      </c>
      <c r="BR46" s="1036">
        <v>-3.2981306575728904E-2</v>
      </c>
      <c r="BS46" s="1036">
        <v>-0.1553373745747198</v>
      </c>
      <c r="BT46" s="1036">
        <v>1.4184432748127224E-2</v>
      </c>
      <c r="BU46" s="923">
        <v>5.2057721766667099E-2</v>
      </c>
      <c r="BV46" s="923">
        <v>-4.2764881366081073E-2</v>
      </c>
      <c r="BW46" s="1964" t="s">
        <v>181</v>
      </c>
      <c r="BX46" s="908" t="s">
        <v>181</v>
      </c>
      <c r="BY46" s="908" t="s">
        <v>181</v>
      </c>
      <c r="BZ46" s="908" t="s">
        <v>181</v>
      </c>
      <c r="CA46" s="1964" t="s">
        <v>181</v>
      </c>
      <c r="CB46" s="2022"/>
      <c r="CC46" s="1153"/>
    </row>
    <row r="47" spans="1:81" ht="12.75" customHeight="1" x14ac:dyDescent="0.2">
      <c r="A47" s="1201"/>
      <c r="B47" s="1201"/>
      <c r="C47" s="1006"/>
      <c r="D47" s="952"/>
      <c r="E47" s="908"/>
      <c r="F47" s="908"/>
      <c r="G47" s="908"/>
      <c r="H47" s="952"/>
      <c r="I47" s="952"/>
      <c r="J47" s="952"/>
      <c r="K47" s="952"/>
      <c r="L47" s="952"/>
      <c r="M47" s="952"/>
      <c r="N47" s="952"/>
      <c r="O47" s="952"/>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c r="AS47" s="952"/>
      <c r="AT47" s="952"/>
      <c r="AU47" s="952"/>
      <c r="AV47" s="952"/>
      <c r="AW47" s="952"/>
      <c r="AX47" s="1208"/>
      <c r="AY47" s="1193"/>
      <c r="AZ47" s="1193"/>
      <c r="BA47" s="1193"/>
      <c r="BB47" s="1193"/>
      <c r="BC47" s="1283"/>
      <c r="BD47" s="1283"/>
      <c r="BE47" s="1283"/>
      <c r="BF47" s="1283"/>
      <c r="BG47" s="1208"/>
      <c r="BH47" s="1208"/>
      <c r="BI47" s="1208"/>
      <c r="BJ47" s="1006"/>
      <c r="BK47" s="952"/>
      <c r="BL47" s="1208"/>
      <c r="BM47" s="1208"/>
      <c r="BN47" s="1208"/>
      <c r="BO47" s="1208"/>
      <c r="BP47" s="1208"/>
      <c r="BQ47" s="1036"/>
      <c r="BR47" s="1036"/>
      <c r="BS47" s="1036"/>
      <c r="BT47" s="1036"/>
      <c r="BU47" s="923"/>
      <c r="BV47" s="923"/>
      <c r="BW47" s="1153"/>
      <c r="BX47" s="914"/>
      <c r="BY47" s="914"/>
      <c r="BZ47" s="2023"/>
      <c r="CA47" s="2023"/>
      <c r="CB47" s="2023"/>
      <c r="CC47" s="1153"/>
    </row>
    <row r="48" spans="1:81" ht="13.5" customHeight="1" x14ac:dyDescent="0.2">
      <c r="A48" s="954" t="s">
        <v>499</v>
      </c>
      <c r="B48" s="1201"/>
      <c r="C48" s="1006">
        <v>1371</v>
      </c>
      <c r="D48" s="952">
        <v>2.0709969788519637E-2</v>
      </c>
      <c r="E48" s="908"/>
      <c r="F48" s="914">
        <v>67571</v>
      </c>
      <c r="G48" s="914">
        <v>65723</v>
      </c>
      <c r="H48" s="1006">
        <v>60184</v>
      </c>
      <c r="I48" s="1006">
        <v>65810</v>
      </c>
      <c r="J48" s="1006">
        <v>66200</v>
      </c>
      <c r="K48" s="1006">
        <v>61274</v>
      </c>
      <c r="L48" s="1006">
        <v>59170</v>
      </c>
      <c r="M48" s="1006">
        <v>54464</v>
      </c>
      <c r="N48" s="1006">
        <v>39284</v>
      </c>
      <c r="O48" s="1006">
        <v>38616</v>
      </c>
      <c r="P48" s="1006">
        <v>36121</v>
      </c>
      <c r="Q48" s="1006">
        <v>34387</v>
      </c>
      <c r="R48" s="1006">
        <v>32969</v>
      </c>
      <c r="S48" s="1006">
        <v>32714</v>
      </c>
      <c r="T48" s="1006">
        <v>34381</v>
      </c>
      <c r="U48" s="1006">
        <v>33219</v>
      </c>
      <c r="V48" s="1006">
        <v>34264</v>
      </c>
      <c r="W48" s="1006">
        <v>1561</v>
      </c>
      <c r="X48" s="1006">
        <v>1441</v>
      </c>
      <c r="Y48" s="1006">
        <v>1391</v>
      </c>
      <c r="Z48" s="1006">
        <v>1270</v>
      </c>
      <c r="AA48" s="1006">
        <v>1204</v>
      </c>
      <c r="AB48" s="1006">
        <v>1070</v>
      </c>
      <c r="AC48" s="1006">
        <v>935</v>
      </c>
      <c r="AD48" s="1006">
        <v>880</v>
      </c>
      <c r="AE48" s="1006">
        <v>835</v>
      </c>
      <c r="AF48" s="1006">
        <v>791</v>
      </c>
      <c r="AG48" s="1006">
        <v>784</v>
      </c>
      <c r="AH48" s="1006">
        <v>709</v>
      </c>
      <c r="AI48" s="1006">
        <v>677</v>
      </c>
      <c r="AJ48" s="1006">
        <v>607</v>
      </c>
      <c r="AK48" s="1006">
        <v>574</v>
      </c>
      <c r="AL48" s="1006">
        <v>575</v>
      </c>
      <c r="AM48" s="1006">
        <v>546</v>
      </c>
      <c r="AN48" s="1006">
        <v>514</v>
      </c>
      <c r="AO48" s="1006">
        <v>473</v>
      </c>
      <c r="AP48" s="1006">
        <v>431</v>
      </c>
      <c r="AQ48" s="1006">
        <v>445</v>
      </c>
      <c r="AR48" s="1006"/>
      <c r="AS48" s="1006"/>
      <c r="AT48" s="1006"/>
      <c r="AU48" s="1006"/>
      <c r="AV48" s="1006"/>
      <c r="AW48" s="1006"/>
      <c r="AX48" s="1006"/>
      <c r="AY48" s="1006"/>
      <c r="AZ48" s="1006"/>
      <c r="BA48" s="1006"/>
      <c r="BB48" s="1006"/>
      <c r="BC48" s="1006"/>
      <c r="BD48" s="1006"/>
      <c r="BE48" s="1006"/>
      <c r="BF48" s="1006"/>
      <c r="BG48" s="1208"/>
      <c r="BH48" s="1236">
        <v>65723</v>
      </c>
      <c r="BI48" s="1236">
        <v>61274</v>
      </c>
      <c r="BJ48" s="1006">
        <v>4449</v>
      </c>
      <c r="BK48" s="952">
        <v>7.2608284100923723E-2</v>
      </c>
      <c r="BL48" s="1208"/>
      <c r="BM48" s="1236">
        <v>65723</v>
      </c>
      <c r="BN48" s="1236">
        <v>61274</v>
      </c>
      <c r="BO48" s="1236">
        <v>38616</v>
      </c>
      <c r="BP48" s="1236">
        <v>32714</v>
      </c>
      <c r="BQ48" s="1236">
        <v>33328</v>
      </c>
      <c r="BR48" s="1236">
        <v>30871</v>
      </c>
      <c r="BS48" s="1236">
        <v>26816</v>
      </c>
      <c r="BT48" s="1006">
        <v>677</v>
      </c>
      <c r="BU48" s="914">
        <v>546</v>
      </c>
      <c r="BV48" s="914">
        <v>445</v>
      </c>
      <c r="BW48" s="914">
        <v>393</v>
      </c>
      <c r="BX48" s="914">
        <v>730</v>
      </c>
      <c r="BY48" s="914"/>
      <c r="BZ48" s="2023"/>
      <c r="CA48" s="2023"/>
      <c r="CB48" s="2023"/>
      <c r="CC48" s="1153"/>
    </row>
    <row r="49" spans="1:81" ht="13.5" customHeight="1" x14ac:dyDescent="0.2">
      <c r="A49" s="946" t="s">
        <v>258</v>
      </c>
      <c r="B49" s="1204"/>
      <c r="C49" s="1006">
        <v>1406</v>
      </c>
      <c r="D49" s="952">
        <v>0.49946714031971579</v>
      </c>
      <c r="E49" s="908"/>
      <c r="F49" s="914">
        <v>4346</v>
      </c>
      <c r="G49" s="914">
        <v>4221</v>
      </c>
      <c r="H49" s="1006">
        <v>3954</v>
      </c>
      <c r="I49" s="1006">
        <v>4158</v>
      </c>
      <c r="J49" s="1006">
        <v>3721</v>
      </c>
      <c r="K49" s="1006">
        <v>2815</v>
      </c>
      <c r="L49" s="1006">
        <v>2838</v>
      </c>
      <c r="M49" s="1006">
        <v>2688</v>
      </c>
      <c r="N49" s="1006">
        <v>2647</v>
      </c>
      <c r="O49" s="1006">
        <v>2637</v>
      </c>
      <c r="P49" s="1006">
        <v>2527</v>
      </c>
      <c r="Q49" s="1006">
        <v>1219</v>
      </c>
      <c r="R49" s="1006">
        <v>1268</v>
      </c>
      <c r="S49" s="1006">
        <v>1257</v>
      </c>
      <c r="T49" s="1006">
        <v>1262</v>
      </c>
      <c r="U49" s="1006">
        <v>1360</v>
      </c>
      <c r="V49" s="1006">
        <v>1419</v>
      </c>
      <c r="W49" s="1006">
        <v>1561</v>
      </c>
      <c r="X49" s="1006">
        <v>1441</v>
      </c>
      <c r="Y49" s="1006">
        <v>1391</v>
      </c>
      <c r="Z49" s="1006">
        <v>1270</v>
      </c>
      <c r="AA49" s="1006">
        <v>1204</v>
      </c>
      <c r="AB49" s="1006">
        <v>1070</v>
      </c>
      <c r="AC49" s="1006">
        <v>935</v>
      </c>
      <c r="AD49" s="1006">
        <v>880</v>
      </c>
      <c r="AE49" s="1006">
        <v>835</v>
      </c>
      <c r="AF49" s="1006">
        <v>791</v>
      </c>
      <c r="AG49" s="1006">
        <v>784</v>
      </c>
      <c r="AH49" s="1006">
        <v>709</v>
      </c>
      <c r="AI49" s="1006">
        <v>677</v>
      </c>
      <c r="AJ49" s="1006">
        <v>607</v>
      </c>
      <c r="AK49" s="1006">
        <v>574</v>
      </c>
      <c r="AL49" s="1006">
        <v>575</v>
      </c>
      <c r="AM49" s="1006">
        <v>546</v>
      </c>
      <c r="AN49" s="1006">
        <v>514</v>
      </c>
      <c r="AO49" s="1006">
        <v>473</v>
      </c>
      <c r="AP49" s="1006">
        <v>431</v>
      </c>
      <c r="AQ49" s="1006">
        <v>445</v>
      </c>
      <c r="AR49" s="1006">
        <v>0</v>
      </c>
      <c r="AS49" s="1006">
        <v>0</v>
      </c>
      <c r="AT49" s="1006">
        <v>0</v>
      </c>
      <c r="AU49" s="1006">
        <v>0</v>
      </c>
      <c r="AV49" s="1006">
        <v>0</v>
      </c>
      <c r="AW49" s="1006">
        <v>0</v>
      </c>
      <c r="AX49" s="1006">
        <v>0</v>
      </c>
      <c r="AY49" s="1006">
        <v>0</v>
      </c>
      <c r="AZ49" s="1006">
        <v>0</v>
      </c>
      <c r="BA49" s="1006">
        <v>0</v>
      </c>
      <c r="BB49" s="1006">
        <v>0</v>
      </c>
      <c r="BC49" s="1006">
        <v>0</v>
      </c>
      <c r="BD49" s="1006">
        <v>0</v>
      </c>
      <c r="BE49" s="1006">
        <v>0</v>
      </c>
      <c r="BF49" s="1006">
        <v>0</v>
      </c>
      <c r="BG49" s="1006">
        <v>0</v>
      </c>
      <c r="BH49" s="1006">
        <v>4221</v>
      </c>
      <c r="BI49" s="1006">
        <v>2815</v>
      </c>
      <c r="BJ49" s="1006">
        <v>1406</v>
      </c>
      <c r="BK49" s="952">
        <v>0.49946714031971579</v>
      </c>
      <c r="BL49" s="1208"/>
      <c r="BM49" s="1236">
        <v>4221</v>
      </c>
      <c r="BN49" s="1236">
        <v>2815</v>
      </c>
      <c r="BO49" s="1236">
        <v>2637</v>
      </c>
      <c r="BP49" s="1236">
        <v>1257</v>
      </c>
      <c r="BQ49" s="1236">
        <v>1561</v>
      </c>
      <c r="BR49" s="1236">
        <v>1204</v>
      </c>
      <c r="BS49" s="1236">
        <v>835</v>
      </c>
      <c r="BT49" s="1006">
        <v>14828</v>
      </c>
      <c r="BU49" s="914">
        <v>16985</v>
      </c>
      <c r="BV49" s="914">
        <v>12922</v>
      </c>
      <c r="BW49" s="914">
        <v>9184</v>
      </c>
      <c r="BX49" s="914">
        <v>14295</v>
      </c>
      <c r="BY49" s="914">
        <v>15014</v>
      </c>
      <c r="BZ49" s="2171">
        <v>14310</v>
      </c>
      <c r="CA49" s="2171">
        <v>9967</v>
      </c>
      <c r="CB49" s="2171">
        <v>8292</v>
      </c>
      <c r="CC49" s="1153"/>
    </row>
    <row r="50" spans="1:81" ht="12.75" hidden="1" customHeight="1" x14ac:dyDescent="0.2">
      <c r="A50" s="954"/>
      <c r="B50" s="1204"/>
      <c r="C50" s="1006"/>
      <c r="D50" s="952" t="e">
        <v>#DIV/0!</v>
      </c>
      <c r="E50" s="1820"/>
      <c r="F50" s="914"/>
      <c r="G50" s="914"/>
      <c r="H50" s="1006"/>
      <c r="I50" s="1006"/>
      <c r="J50" s="1006"/>
      <c r="K50" s="1006"/>
      <c r="L50" s="1006"/>
      <c r="M50" s="1006"/>
      <c r="N50" s="1006"/>
      <c r="O50" s="1006"/>
      <c r="P50" s="1006"/>
      <c r="Q50" s="1006"/>
      <c r="R50" s="1006"/>
      <c r="S50" s="1006"/>
      <c r="T50" s="1006"/>
      <c r="U50" s="1006"/>
      <c r="V50" s="1006"/>
      <c r="W50" s="1006"/>
      <c r="X50" s="1006"/>
      <c r="Y50" s="1006"/>
      <c r="Z50" s="1006"/>
      <c r="AA50" s="1006"/>
      <c r="AB50" s="1006"/>
      <c r="AC50" s="1006"/>
      <c r="AD50" s="1006"/>
      <c r="AE50" s="1006"/>
      <c r="AF50" s="1006"/>
      <c r="AG50" s="1006"/>
      <c r="AH50" s="1006"/>
      <c r="AI50" s="1009"/>
      <c r="AJ50" s="1009"/>
      <c r="AK50" s="1009"/>
      <c r="AL50" s="1009"/>
      <c r="AM50" s="1009"/>
      <c r="AN50" s="1009"/>
      <c r="AO50" s="1009"/>
      <c r="AP50" s="1009"/>
      <c r="AQ50" s="1006"/>
      <c r="AR50" s="1006"/>
      <c r="AS50" s="1006"/>
      <c r="AT50" s="1006"/>
      <c r="AU50" s="1006"/>
      <c r="AV50" s="1006"/>
      <c r="AW50" s="1006"/>
      <c r="AX50" s="1006"/>
      <c r="AY50" s="1006"/>
      <c r="AZ50" s="1006"/>
      <c r="BA50" s="1006"/>
      <c r="BB50" s="1006"/>
      <c r="BC50" s="1006"/>
      <c r="BD50" s="1006"/>
      <c r="BE50" s="1006"/>
      <c r="BF50" s="1006"/>
      <c r="BG50" s="1833"/>
      <c r="BH50" s="1236"/>
      <c r="BI50" s="1236"/>
      <c r="BJ50" s="1006"/>
      <c r="BK50" s="1009"/>
      <c r="BL50" s="1833"/>
      <c r="BM50" s="1236">
        <v>0</v>
      </c>
      <c r="BN50" s="1236">
        <v>0</v>
      </c>
      <c r="BO50" s="1236"/>
      <c r="BP50" s="1006"/>
      <c r="BQ50" s="1006"/>
      <c r="BR50" s="1006"/>
      <c r="BS50" s="1006"/>
      <c r="BT50" s="1009"/>
      <c r="BU50" s="916"/>
      <c r="BV50" s="916"/>
      <c r="BW50" s="916"/>
      <c r="BX50" s="916"/>
      <c r="BY50" s="914"/>
      <c r="BZ50" s="1165"/>
      <c r="CA50" s="1165"/>
      <c r="CB50" s="1165"/>
      <c r="CC50" s="1153"/>
    </row>
    <row r="51" spans="1:81" ht="12.75" hidden="1" customHeight="1" x14ac:dyDescent="0.2">
      <c r="A51" s="954" t="s">
        <v>58</v>
      </c>
      <c r="B51" s="1204"/>
      <c r="C51" s="1006">
        <v>1470</v>
      </c>
      <c r="D51" s="952">
        <v>0.51797040169133191</v>
      </c>
      <c r="E51" s="908"/>
      <c r="F51" s="914">
        <v>4346</v>
      </c>
      <c r="G51" s="914">
        <v>4221</v>
      </c>
      <c r="H51" s="1006">
        <v>3954</v>
      </c>
      <c r="I51" s="1006">
        <v>4158</v>
      </c>
      <c r="J51" s="1006">
        <v>3721</v>
      </c>
      <c r="K51" s="1006">
        <v>2815</v>
      </c>
      <c r="L51" s="1006">
        <v>2838</v>
      </c>
      <c r="M51" s="1006">
        <v>2688</v>
      </c>
      <c r="N51" s="1006">
        <v>2647</v>
      </c>
      <c r="O51" s="1006">
        <v>2637</v>
      </c>
      <c r="P51" s="1006">
        <v>2527</v>
      </c>
      <c r="Q51" s="1006">
        <v>1219</v>
      </c>
      <c r="R51" s="1006">
        <v>1268</v>
      </c>
      <c r="S51" s="1006">
        <v>1257</v>
      </c>
      <c r="T51" s="1006">
        <v>1262</v>
      </c>
      <c r="U51" s="1006">
        <v>1360</v>
      </c>
      <c r="V51" s="1006">
        <v>1419</v>
      </c>
      <c r="W51" s="1006">
        <v>10729</v>
      </c>
      <c r="X51" s="1006">
        <v>10310</v>
      </c>
      <c r="Y51" s="1006">
        <v>10757</v>
      </c>
      <c r="Z51" s="1006">
        <v>10958</v>
      </c>
      <c r="AA51" s="1006">
        <v>10160</v>
      </c>
      <c r="AB51" s="1006">
        <v>9536</v>
      </c>
      <c r="AC51" s="1006">
        <v>9427</v>
      </c>
      <c r="AD51" s="1006">
        <v>9325</v>
      </c>
      <c r="AE51" s="1006">
        <v>10429</v>
      </c>
      <c r="AF51" s="1006">
        <v>11403</v>
      </c>
      <c r="AG51" s="1006">
        <v>13344</v>
      </c>
      <c r="AH51" s="1006">
        <v>13137</v>
      </c>
      <c r="AI51" s="1006">
        <v>14828</v>
      </c>
      <c r="AJ51" s="1006">
        <v>14367</v>
      </c>
      <c r="AK51" s="1006">
        <v>14635</v>
      </c>
      <c r="AL51" s="1006">
        <v>15676</v>
      </c>
      <c r="AM51" s="1006">
        <v>16985</v>
      </c>
      <c r="AN51" s="1006">
        <v>16006</v>
      </c>
      <c r="AO51" s="1006">
        <v>13895</v>
      </c>
      <c r="AP51" s="1006">
        <v>12571</v>
      </c>
      <c r="AQ51" s="1006"/>
      <c r="AR51" s="1006"/>
      <c r="AS51" s="1006"/>
      <c r="AT51" s="1006"/>
      <c r="AU51" s="1006"/>
      <c r="AV51" s="1006"/>
      <c r="AW51" s="1006"/>
      <c r="AX51" s="1006"/>
      <c r="AY51" s="1006"/>
      <c r="AZ51" s="1006"/>
      <c r="BA51" s="1006"/>
      <c r="BB51" s="1006"/>
      <c r="BC51" s="1006"/>
      <c r="BD51" s="1006"/>
      <c r="BE51" s="1006"/>
      <c r="BF51" s="1006"/>
      <c r="BG51" s="1208"/>
      <c r="BH51" s="1236">
        <v>4221</v>
      </c>
      <c r="BI51" s="1236">
        <v>2815</v>
      </c>
      <c r="BJ51" s="1006">
        <v>1406</v>
      </c>
      <c r="BK51" s="952">
        <v>0.49946714031971579</v>
      </c>
      <c r="BL51" s="1208"/>
      <c r="BM51" s="1236">
        <v>2815</v>
      </c>
      <c r="BN51" s="1236">
        <v>2815</v>
      </c>
      <c r="BO51" s="1236">
        <v>2637</v>
      </c>
      <c r="BP51" s="1006">
        <v>1257</v>
      </c>
      <c r="BQ51" s="1006">
        <v>1561</v>
      </c>
      <c r="BR51" s="1006">
        <v>1204</v>
      </c>
      <c r="BS51" s="1006">
        <v>835</v>
      </c>
      <c r="BT51" s="1006">
        <v>14828</v>
      </c>
      <c r="BU51" s="914">
        <v>16985</v>
      </c>
      <c r="BV51" s="914">
        <v>12922</v>
      </c>
      <c r="BW51" s="914">
        <v>9184</v>
      </c>
      <c r="BX51" s="914">
        <v>14295</v>
      </c>
      <c r="BY51" s="914"/>
      <c r="BZ51" s="1165"/>
      <c r="CA51" s="1165"/>
      <c r="CB51" s="1165"/>
      <c r="CC51" s="1153"/>
    </row>
    <row r="52" spans="1:81" ht="12.75" customHeight="1" x14ac:dyDescent="0.2">
      <c r="A52" s="954"/>
      <c r="B52" s="1204"/>
      <c r="C52" s="1006"/>
      <c r="D52" s="952"/>
      <c r="E52" s="908"/>
      <c r="F52" s="914"/>
      <c r="G52" s="914"/>
      <c r="H52" s="1006"/>
      <c r="I52" s="1006"/>
      <c r="J52" s="1006"/>
      <c r="K52" s="1006"/>
      <c r="L52" s="1006"/>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1006"/>
      <c r="AI52" s="952"/>
      <c r="AJ52" s="952"/>
      <c r="AK52" s="952"/>
      <c r="AL52" s="952"/>
      <c r="AM52" s="952"/>
      <c r="AN52" s="952"/>
      <c r="AO52" s="952"/>
      <c r="AP52" s="952"/>
      <c r="AQ52" s="1006"/>
      <c r="AR52" s="1006"/>
      <c r="AS52" s="1006"/>
      <c r="AT52" s="1006"/>
      <c r="AU52" s="1006"/>
      <c r="AV52" s="1006"/>
      <c r="AW52" s="1006"/>
      <c r="AX52" s="1006"/>
      <c r="AY52" s="1006"/>
      <c r="AZ52" s="1006"/>
      <c r="BA52" s="1006"/>
      <c r="BB52" s="1006"/>
      <c r="BC52" s="1006"/>
      <c r="BD52" s="1006"/>
      <c r="BE52" s="1006"/>
      <c r="BF52" s="1006"/>
      <c r="BG52" s="1208"/>
      <c r="BH52" s="1208"/>
      <c r="BI52" s="1208"/>
      <c r="BJ52" s="1006"/>
      <c r="BK52" s="952"/>
      <c r="BL52" s="1208"/>
      <c r="BM52" s="1208"/>
      <c r="BN52" s="1208"/>
      <c r="BO52" s="1208"/>
      <c r="BP52" s="952"/>
      <c r="BQ52" s="952"/>
      <c r="BR52" s="952"/>
      <c r="BS52" s="952"/>
      <c r="BT52" s="952"/>
      <c r="BU52" s="908"/>
      <c r="BV52" s="908"/>
      <c r="BW52" s="908"/>
      <c r="BX52" s="908"/>
      <c r="BY52" s="914"/>
      <c r="BZ52" s="1165"/>
      <c r="CA52" s="1165"/>
      <c r="CB52" s="1165"/>
      <c r="CC52" s="1153"/>
    </row>
    <row r="53" spans="1:81" ht="12.75" customHeight="1" x14ac:dyDescent="0.2">
      <c r="A53" s="1203" t="s">
        <v>723</v>
      </c>
      <c r="B53" s="1204"/>
      <c r="C53" s="1006">
        <v>49</v>
      </c>
      <c r="D53" s="952">
        <v>5.0463439752832129E-2</v>
      </c>
      <c r="E53" s="908"/>
      <c r="F53" s="914">
        <v>1020</v>
      </c>
      <c r="G53" s="914">
        <v>995</v>
      </c>
      <c r="H53" s="1006">
        <v>973</v>
      </c>
      <c r="I53" s="1006">
        <v>972</v>
      </c>
      <c r="J53" s="1006">
        <v>971</v>
      </c>
      <c r="K53" s="1006">
        <v>938</v>
      </c>
      <c r="L53" s="1006">
        <v>926</v>
      </c>
      <c r="M53" s="1006">
        <v>939</v>
      </c>
      <c r="N53" s="1006">
        <v>665</v>
      </c>
      <c r="O53" s="1006">
        <v>672</v>
      </c>
      <c r="P53" s="1006">
        <v>663</v>
      </c>
      <c r="Q53" s="1006">
        <v>654</v>
      </c>
      <c r="R53" s="1006">
        <v>652</v>
      </c>
      <c r="S53" s="1006">
        <v>666</v>
      </c>
      <c r="T53" s="1006">
        <v>678</v>
      </c>
      <c r="U53" s="1006">
        <v>692</v>
      </c>
      <c r="V53" s="1006">
        <v>682</v>
      </c>
      <c r="W53" s="1006">
        <v>400</v>
      </c>
      <c r="X53" s="1006">
        <v>405</v>
      </c>
      <c r="Y53" s="1006">
        <v>412</v>
      </c>
      <c r="Z53" s="1006">
        <v>407</v>
      </c>
      <c r="AA53" s="1006">
        <v>420</v>
      </c>
      <c r="AB53" s="1006">
        <v>425</v>
      </c>
      <c r="AC53" s="1006">
        <v>430</v>
      </c>
      <c r="AD53" s="1006">
        <v>448</v>
      </c>
      <c r="AE53" s="1006">
        <v>461</v>
      </c>
      <c r="AF53" s="1006">
        <v>493</v>
      </c>
      <c r="AG53" s="1006">
        <v>617</v>
      </c>
      <c r="AH53" s="1006">
        <v>662</v>
      </c>
      <c r="AI53" s="1006">
        <v>684</v>
      </c>
      <c r="AJ53" s="1006">
        <v>699</v>
      </c>
      <c r="AK53" s="1006">
        <v>686</v>
      </c>
      <c r="AL53" s="1006">
        <v>666</v>
      </c>
      <c r="AM53" s="1006">
        <v>684</v>
      </c>
      <c r="AN53" s="1006">
        <v>671</v>
      </c>
      <c r="AO53" s="1006">
        <v>665</v>
      </c>
      <c r="AP53" s="1006">
        <v>689</v>
      </c>
      <c r="AQ53" s="1006">
        <v>680</v>
      </c>
      <c r="AR53" s="1006">
        <v>707</v>
      </c>
      <c r="AS53" s="1006">
        <v>698</v>
      </c>
      <c r="AT53" s="1006">
        <v>688</v>
      </c>
      <c r="AU53" s="1006">
        <v>700</v>
      </c>
      <c r="AV53" s="1006">
        <v>725</v>
      </c>
      <c r="AW53" s="1006">
        <v>744</v>
      </c>
      <c r="AX53" s="1006">
        <v>760</v>
      </c>
      <c r="AY53" s="1006">
        <v>762</v>
      </c>
      <c r="AZ53" s="1006">
        <v>772</v>
      </c>
      <c r="BA53" s="1006">
        <v>784</v>
      </c>
      <c r="BB53" s="1006">
        <v>757</v>
      </c>
      <c r="BC53" s="1006">
        <v>728</v>
      </c>
      <c r="BD53" s="1006">
        <v>725</v>
      </c>
      <c r="BE53" s="1006">
        <v>719</v>
      </c>
      <c r="BF53" s="1006">
        <v>710</v>
      </c>
      <c r="BG53" s="1208"/>
      <c r="BH53" s="1236">
        <v>995</v>
      </c>
      <c r="BI53" s="1236">
        <v>938</v>
      </c>
      <c r="BJ53" s="1006">
        <v>57</v>
      </c>
      <c r="BK53" s="952">
        <v>6.0767590618336885E-2</v>
      </c>
      <c r="BL53" s="1208"/>
      <c r="BM53" s="1236">
        <v>995</v>
      </c>
      <c r="BN53" s="1236">
        <v>938</v>
      </c>
      <c r="BO53" s="1236">
        <v>672</v>
      </c>
      <c r="BP53" s="1006">
        <v>666</v>
      </c>
      <c r="BQ53" s="1006">
        <v>703</v>
      </c>
      <c r="BR53" s="1006">
        <v>714</v>
      </c>
      <c r="BS53" s="1006">
        <v>755</v>
      </c>
      <c r="BT53" s="1006">
        <v>684</v>
      </c>
      <c r="BU53" s="914">
        <v>684</v>
      </c>
      <c r="BV53" s="914">
        <v>680</v>
      </c>
      <c r="BW53" s="914">
        <v>700</v>
      </c>
      <c r="BX53" s="914">
        <v>762</v>
      </c>
      <c r="BY53" s="914">
        <v>728</v>
      </c>
      <c r="BZ53" s="2171">
        <v>689</v>
      </c>
      <c r="CA53" s="2171">
        <v>657</v>
      </c>
      <c r="CB53" s="2171">
        <v>623</v>
      </c>
      <c r="CC53" s="1153"/>
    </row>
    <row r="54" spans="1:81" ht="13.5" customHeight="1" x14ac:dyDescent="0.2">
      <c r="A54" s="1378" t="s">
        <v>639</v>
      </c>
      <c r="B54" s="1203"/>
      <c r="C54" s="1006">
        <v>5</v>
      </c>
      <c r="D54" s="952">
        <v>3.3783783783783786E-2</v>
      </c>
      <c r="E54" s="908"/>
      <c r="F54" s="914">
        <v>153</v>
      </c>
      <c r="G54" s="914">
        <v>155</v>
      </c>
      <c r="H54" s="1006">
        <v>150</v>
      </c>
      <c r="I54" s="1006">
        <v>150</v>
      </c>
      <c r="J54" s="1006">
        <v>148</v>
      </c>
      <c r="K54" s="1006">
        <v>142</v>
      </c>
      <c r="L54" s="1006">
        <v>134</v>
      </c>
      <c r="M54" s="1006">
        <v>134</v>
      </c>
      <c r="N54" s="1006">
        <v>135</v>
      </c>
      <c r="O54" s="1006">
        <v>141</v>
      </c>
      <c r="P54" s="1006">
        <v>139</v>
      </c>
      <c r="Q54" s="1006">
        <v>139</v>
      </c>
      <c r="R54" s="1006">
        <v>138</v>
      </c>
      <c r="S54" s="1006">
        <v>139</v>
      </c>
      <c r="T54" s="1006">
        <v>140</v>
      </c>
      <c r="U54" s="1006">
        <v>141</v>
      </c>
      <c r="V54" s="1006">
        <v>147</v>
      </c>
      <c r="W54" s="1006">
        <v>152</v>
      </c>
      <c r="X54" s="1006">
        <v>161</v>
      </c>
      <c r="Y54" s="1006">
        <v>162</v>
      </c>
      <c r="Z54" s="1006">
        <v>163</v>
      </c>
      <c r="AA54" s="1006">
        <v>160</v>
      </c>
      <c r="AB54" s="1006">
        <v>163</v>
      </c>
      <c r="AC54" s="1006">
        <v>163</v>
      </c>
      <c r="AD54" s="1006">
        <v>173</v>
      </c>
      <c r="AE54" s="1006">
        <v>178</v>
      </c>
      <c r="AF54" s="1006">
        <v>184</v>
      </c>
      <c r="AG54" s="1006">
        <v>231</v>
      </c>
      <c r="AH54" s="1006">
        <v>269</v>
      </c>
      <c r="AI54" s="1006">
        <v>280</v>
      </c>
      <c r="AJ54" s="1006">
        <v>278</v>
      </c>
      <c r="AK54" s="1006">
        <v>271</v>
      </c>
      <c r="AL54" s="1006">
        <v>263</v>
      </c>
      <c r="AM54" s="1006">
        <v>271</v>
      </c>
      <c r="AN54" s="1006">
        <v>272</v>
      </c>
      <c r="AO54" s="1006">
        <v>280</v>
      </c>
      <c r="AP54" s="1006">
        <v>290</v>
      </c>
      <c r="AQ54" s="1006">
        <v>303</v>
      </c>
      <c r="AR54" s="1006">
        <v>327</v>
      </c>
      <c r="AS54" s="1006">
        <v>334</v>
      </c>
      <c r="AT54" s="1006">
        <v>335</v>
      </c>
      <c r="AU54" s="1006">
        <v>338</v>
      </c>
      <c r="AV54" s="1006">
        <v>347</v>
      </c>
      <c r="AW54" s="1006">
        <v>341</v>
      </c>
      <c r="AX54" s="1006">
        <v>354</v>
      </c>
      <c r="AY54" s="1006">
        <v>354</v>
      </c>
      <c r="AZ54" s="1006">
        <v>377</v>
      </c>
      <c r="BA54" s="1006">
        <v>378</v>
      </c>
      <c r="BB54" s="1006">
        <v>373</v>
      </c>
      <c r="BC54" s="1006">
        <v>368</v>
      </c>
      <c r="BD54" s="1006">
        <v>368</v>
      </c>
      <c r="BE54" s="1006">
        <v>371</v>
      </c>
      <c r="BF54" s="1006">
        <v>373</v>
      </c>
      <c r="BG54" s="1208"/>
      <c r="BH54" s="1236">
        <v>155</v>
      </c>
      <c r="BI54" s="1236">
        <v>142</v>
      </c>
      <c r="BJ54" s="1006">
        <v>13</v>
      </c>
      <c r="BK54" s="952">
        <v>9.154929577464789E-2</v>
      </c>
      <c r="BL54" s="1208"/>
      <c r="BM54" s="1236">
        <v>155</v>
      </c>
      <c r="BN54" s="1236">
        <v>142</v>
      </c>
      <c r="BO54" s="1236">
        <v>141</v>
      </c>
      <c r="BP54" s="1006">
        <v>139</v>
      </c>
      <c r="BQ54" s="1006">
        <v>152</v>
      </c>
      <c r="BR54" s="1006">
        <v>160</v>
      </c>
      <c r="BS54" s="1006">
        <v>178</v>
      </c>
      <c r="BT54" s="1006">
        <v>280</v>
      </c>
      <c r="BU54" s="914">
        <v>271</v>
      </c>
      <c r="BV54" s="914">
        <v>303</v>
      </c>
      <c r="BW54" s="914">
        <v>338</v>
      </c>
      <c r="BX54" s="914">
        <v>354</v>
      </c>
      <c r="BY54" s="914">
        <v>368</v>
      </c>
      <c r="BZ54" s="2171">
        <v>365</v>
      </c>
      <c r="CA54" s="2171">
        <v>343</v>
      </c>
      <c r="CB54" s="2171">
        <v>327</v>
      </c>
      <c r="CC54" s="1153"/>
    </row>
    <row r="55" spans="1:81" ht="12.75" customHeight="1" x14ac:dyDescent="0.2">
      <c r="A55" s="1378" t="s">
        <v>640</v>
      </c>
      <c r="B55" s="1203"/>
      <c r="C55" s="1006">
        <v>28</v>
      </c>
      <c r="D55" s="952">
        <v>0.14736842105263157</v>
      </c>
      <c r="E55" s="908"/>
      <c r="F55" s="914">
        <v>218</v>
      </c>
      <c r="G55" s="914">
        <v>200</v>
      </c>
      <c r="H55" s="1006">
        <v>188</v>
      </c>
      <c r="I55" s="1006">
        <v>193</v>
      </c>
      <c r="J55" s="1006">
        <v>190</v>
      </c>
      <c r="K55" s="1006">
        <v>188</v>
      </c>
      <c r="L55" s="1006">
        <v>197</v>
      </c>
      <c r="M55" s="1006">
        <v>200</v>
      </c>
      <c r="N55" s="1006">
        <v>119</v>
      </c>
      <c r="O55" s="1006">
        <v>118</v>
      </c>
      <c r="P55" s="1006">
        <v>115</v>
      </c>
      <c r="Q55" s="1006">
        <v>118</v>
      </c>
      <c r="R55" s="1006">
        <v>117</v>
      </c>
      <c r="S55" s="1006">
        <v>118</v>
      </c>
      <c r="T55" s="1006">
        <v>117</v>
      </c>
      <c r="U55" s="1006">
        <v>114</v>
      </c>
      <c r="V55" s="1006">
        <v>111</v>
      </c>
      <c r="W55" s="1006"/>
      <c r="X55" s="1006"/>
      <c r="Y55" s="1006"/>
      <c r="Z55" s="1006"/>
      <c r="AA55" s="1006" t="e">
        <v>#REF!</v>
      </c>
      <c r="AB55" s="1006" t="e">
        <v>#REF!</v>
      </c>
      <c r="AC55" s="1006" t="e">
        <v>#REF!</v>
      </c>
      <c r="AD55" s="1006">
        <v>7</v>
      </c>
      <c r="AE55" s="1006">
        <v>12</v>
      </c>
      <c r="AF55" s="1006">
        <v>11</v>
      </c>
      <c r="AG55" s="1006">
        <v>11</v>
      </c>
      <c r="AH55" s="1006">
        <v>10</v>
      </c>
      <c r="AI55" s="1009">
        <v>0</v>
      </c>
      <c r="AJ55" s="1009">
        <v>0</v>
      </c>
      <c r="AK55" s="1009">
        <v>0</v>
      </c>
      <c r="AL55" s="1009">
        <v>0</v>
      </c>
      <c r="AM55" s="1009">
        <v>0</v>
      </c>
      <c r="AN55" s="1009">
        <v>0</v>
      </c>
      <c r="AO55" s="1009">
        <v>0</v>
      </c>
      <c r="AP55" s="1009">
        <v>0</v>
      </c>
      <c r="AQ55" s="1006"/>
      <c r="AR55" s="1006"/>
      <c r="AS55" s="1006"/>
      <c r="AT55" s="1006"/>
      <c r="AU55" s="1006"/>
      <c r="AV55" s="1006"/>
      <c r="AW55" s="1006"/>
      <c r="AX55" s="1006"/>
      <c r="AY55" s="1006"/>
      <c r="AZ55" s="1006"/>
      <c r="BA55" s="1006"/>
      <c r="BB55" s="1006"/>
      <c r="BC55" s="1006"/>
      <c r="BD55" s="1006"/>
      <c r="BE55" s="1006"/>
      <c r="BF55" s="1006"/>
      <c r="BG55" s="1833"/>
      <c r="BH55" s="1236">
        <v>200</v>
      </c>
      <c r="BI55" s="1236">
        <v>188</v>
      </c>
      <c r="BJ55" s="1006">
        <v>12</v>
      </c>
      <c r="BK55" s="952">
        <v>6.3829787234042548E-2</v>
      </c>
      <c r="BL55" s="1833"/>
      <c r="BM55" s="1236">
        <v>200</v>
      </c>
      <c r="BN55" s="1236">
        <v>188</v>
      </c>
      <c r="BO55" s="1236">
        <v>118</v>
      </c>
      <c r="BP55" s="1006">
        <v>118</v>
      </c>
      <c r="BQ55" s="1006">
        <v>114</v>
      </c>
      <c r="BR55" s="1006">
        <v>118</v>
      </c>
      <c r="BS55" s="1006">
        <v>122</v>
      </c>
      <c r="BT55" s="1009">
        <v>0</v>
      </c>
      <c r="BU55" s="916">
        <v>0</v>
      </c>
      <c r="BV55" s="916">
        <v>0</v>
      </c>
      <c r="BW55" s="916">
        <v>0</v>
      </c>
      <c r="BX55" s="916">
        <v>0</v>
      </c>
      <c r="BY55" s="914"/>
      <c r="BZ55" s="2171"/>
      <c r="CA55" s="2171"/>
      <c r="CB55" s="2171"/>
      <c r="CC55" s="1153"/>
    </row>
    <row r="56" spans="1:81" ht="12.75" customHeight="1" x14ac:dyDescent="0.2">
      <c r="A56" s="946"/>
      <c r="B56" s="946"/>
      <c r="C56" s="1208"/>
      <c r="D56" s="1208"/>
      <c r="E56" s="1153"/>
      <c r="F56" s="900"/>
      <c r="G56" s="900"/>
      <c r="H56" s="1208"/>
      <c r="I56" s="1208"/>
      <c r="J56" s="946"/>
      <c r="K56" s="946"/>
      <c r="L56" s="946"/>
      <c r="M56" s="1208"/>
      <c r="N56" s="946"/>
      <c r="O56" s="1208"/>
      <c r="P56" s="1208"/>
      <c r="Q56" s="1208"/>
      <c r="R56" s="946"/>
      <c r="S56" s="1208"/>
      <c r="T56" s="1208"/>
      <c r="U56" s="1208"/>
      <c r="V56" s="946"/>
      <c r="W56" s="1208"/>
      <c r="X56" s="1208"/>
      <c r="Y56" s="1208"/>
      <c r="Z56" s="946"/>
      <c r="AA56" s="1208"/>
      <c r="AB56" s="1208"/>
      <c r="AC56" s="1208"/>
      <c r="AD56" s="946"/>
      <c r="AE56" s="1208"/>
      <c r="AF56" s="1208"/>
      <c r="AG56" s="1208"/>
      <c r="AH56" s="946"/>
      <c r="AI56" s="1208"/>
      <c r="AJ56" s="1208"/>
      <c r="AK56" s="1208"/>
      <c r="AL56" s="946"/>
      <c r="AM56" s="1208"/>
      <c r="AN56" s="1208"/>
      <c r="AO56" s="1208"/>
      <c r="AP56" s="946"/>
      <c r="AQ56" s="1208"/>
      <c r="AR56" s="1208"/>
      <c r="AS56" s="1208"/>
      <c r="AT56" s="946"/>
      <c r="AU56" s="1208"/>
      <c r="AV56" s="1208"/>
      <c r="AW56" s="1208"/>
      <c r="AX56" s="946"/>
      <c r="AY56" s="1208"/>
      <c r="AZ56" s="1208"/>
      <c r="BA56" s="1208"/>
      <c r="BB56" s="1208"/>
      <c r="BC56" s="1208"/>
      <c r="BD56" s="1208"/>
      <c r="BE56" s="1208"/>
      <c r="BF56" s="1208"/>
      <c r="BG56" s="1208"/>
      <c r="BH56" s="1208"/>
      <c r="BI56" s="1208"/>
      <c r="BJ56" s="1208"/>
      <c r="BK56" s="1208"/>
      <c r="BL56" s="1208"/>
      <c r="BM56" s="1208"/>
      <c r="BN56" s="1208"/>
      <c r="BO56" s="1208"/>
      <c r="BP56" s="1208"/>
      <c r="BQ56" s="1208"/>
      <c r="BR56" s="1208"/>
      <c r="BS56" s="1208"/>
      <c r="BT56" s="1208"/>
      <c r="BU56" s="1153"/>
      <c r="BV56" s="1153"/>
      <c r="BW56" s="1153"/>
      <c r="BX56" s="1153"/>
      <c r="BY56" s="1153"/>
      <c r="BZ56" s="1165"/>
      <c r="CA56" s="1154"/>
      <c r="CB56" s="1154"/>
      <c r="CC56" s="1153"/>
    </row>
    <row r="57" spans="1:81" ht="18" customHeight="1" x14ac:dyDescent="0.2">
      <c r="A57" s="1349" t="s">
        <v>619</v>
      </c>
      <c r="B57" s="946"/>
      <c r="C57" s="1193"/>
      <c r="D57" s="1193"/>
      <c r="E57" s="1153"/>
      <c r="F57" s="900"/>
      <c r="G57" s="900"/>
      <c r="H57" s="1208"/>
      <c r="I57" s="1208"/>
      <c r="J57" s="946"/>
      <c r="K57" s="946"/>
      <c r="L57" s="946"/>
      <c r="M57" s="1208"/>
      <c r="N57" s="946"/>
      <c r="O57" s="1208"/>
      <c r="P57" s="1208"/>
      <c r="Q57" s="1208"/>
      <c r="R57" s="946"/>
      <c r="S57" s="1208"/>
      <c r="T57" s="1208"/>
      <c r="U57" s="1208"/>
      <c r="V57" s="1208"/>
      <c r="W57" s="1208"/>
      <c r="X57" s="1208"/>
      <c r="Y57" s="1208"/>
      <c r="Z57" s="1208"/>
      <c r="AA57" s="1208"/>
      <c r="AB57" s="1208"/>
      <c r="AC57" s="1208"/>
      <c r="AD57" s="1208"/>
      <c r="AE57" s="1208"/>
      <c r="AF57" s="1208"/>
      <c r="AG57" s="1208"/>
      <c r="AH57" s="1208"/>
      <c r="AI57" s="1208"/>
      <c r="AJ57" s="1208"/>
      <c r="AK57" s="1208"/>
      <c r="AL57" s="1208"/>
      <c r="AM57" s="1208"/>
      <c r="AN57" s="1208"/>
      <c r="AO57" s="1208"/>
      <c r="AP57" s="1208"/>
      <c r="AQ57" s="1208"/>
      <c r="AR57" s="1208"/>
      <c r="AS57" s="1208"/>
      <c r="AT57" s="1208"/>
      <c r="AU57" s="1208"/>
      <c r="AV57" s="1208"/>
      <c r="AW57" s="1208"/>
      <c r="AX57" s="1208"/>
      <c r="AY57" s="1208"/>
      <c r="AZ57" s="1208"/>
      <c r="BA57" s="1193"/>
      <c r="BB57" s="1193"/>
      <c r="BC57" s="1193"/>
      <c r="BD57" s="1193"/>
      <c r="BE57" s="1193"/>
      <c r="BF57" s="1193"/>
      <c r="BG57" s="1193"/>
      <c r="BH57" s="1193"/>
      <c r="BI57" s="1193"/>
      <c r="BJ57" s="1208"/>
      <c r="BK57" s="1208"/>
      <c r="BL57" s="1193"/>
      <c r="BM57" s="1193"/>
      <c r="BN57" s="1193"/>
      <c r="BO57" s="1193"/>
      <c r="BP57" s="1193"/>
      <c r="BQ57" s="1193"/>
      <c r="BR57" s="1193"/>
      <c r="BS57" s="1193"/>
      <c r="BT57" s="1193"/>
      <c r="BU57" s="1154"/>
      <c r="BV57" s="1154"/>
      <c r="BW57" s="1154"/>
      <c r="BX57" s="1154"/>
      <c r="BY57" s="1154"/>
      <c r="BZ57" s="1165"/>
      <c r="CA57" s="1154"/>
      <c r="CB57" s="1154"/>
      <c r="CC57" s="1153"/>
    </row>
    <row r="58" spans="1:81" ht="12.75" customHeight="1" x14ac:dyDescent="0.2">
      <c r="A58" s="1350"/>
      <c r="B58" s="946"/>
      <c r="C58" s="1193"/>
      <c r="D58" s="1193"/>
      <c r="E58" s="1153"/>
      <c r="F58" s="1177"/>
      <c r="G58" s="1177"/>
      <c r="H58" s="1451"/>
      <c r="I58" s="1451"/>
      <c r="J58" s="1208"/>
      <c r="K58" s="1290"/>
      <c r="L58" s="1290"/>
      <c r="M58" s="1451"/>
      <c r="N58" s="1208"/>
      <c r="O58" s="1451"/>
      <c r="P58" s="1451"/>
      <c r="Q58" s="1451"/>
      <c r="R58" s="1208"/>
      <c r="S58" s="1451"/>
      <c r="T58" s="1451"/>
      <c r="U58" s="1451"/>
      <c r="V58" s="1208"/>
      <c r="W58" s="1451"/>
      <c r="X58" s="1451"/>
      <c r="Y58" s="1451"/>
      <c r="Z58" s="1208"/>
      <c r="AA58" s="1451"/>
      <c r="AB58" s="1451"/>
      <c r="AC58" s="1451"/>
      <c r="AD58" s="1208"/>
      <c r="AE58" s="1451"/>
      <c r="AF58" s="1451"/>
      <c r="AG58" s="1451"/>
      <c r="AH58" s="1208"/>
      <c r="AI58" s="1451"/>
      <c r="AJ58" s="1208"/>
      <c r="AK58" s="1451"/>
      <c r="AL58" s="1208"/>
      <c r="AM58" s="1451"/>
      <c r="AN58" s="1208"/>
      <c r="AO58" s="1451"/>
      <c r="AP58" s="1208"/>
      <c r="AQ58" s="1451"/>
      <c r="AR58" s="1208"/>
      <c r="AS58" s="1451"/>
      <c r="AT58" s="1208"/>
      <c r="AU58" s="1451"/>
      <c r="AV58" s="1208"/>
      <c r="AW58" s="1208"/>
      <c r="AX58" s="1208"/>
      <c r="AY58" s="1208"/>
      <c r="AZ58" s="1208"/>
      <c r="BA58" s="1193"/>
      <c r="BB58" s="1193"/>
      <c r="BC58" s="1193"/>
      <c r="BD58" s="1193"/>
      <c r="BE58" s="1193"/>
      <c r="BF58" s="1193"/>
      <c r="BG58" s="1193"/>
      <c r="BH58" s="1193"/>
      <c r="BI58" s="1193"/>
      <c r="BJ58" s="1208"/>
      <c r="BK58" s="1208"/>
      <c r="BL58" s="1193"/>
      <c r="BM58" s="1193"/>
      <c r="BN58" s="1193"/>
      <c r="BO58" s="1193"/>
      <c r="BP58" s="1193"/>
      <c r="BQ58" s="1193"/>
      <c r="BR58" s="1193"/>
      <c r="BS58" s="1193"/>
      <c r="BT58" s="1193"/>
      <c r="BU58" s="1154"/>
      <c r="BV58" s="1154"/>
      <c r="BW58" s="1154"/>
      <c r="BX58" s="1154"/>
      <c r="BY58" s="1154"/>
      <c r="BZ58" s="2020"/>
      <c r="CA58" s="2020"/>
      <c r="CB58" s="2020"/>
      <c r="CC58" s="1153"/>
    </row>
    <row r="59" spans="1:81" ht="12.75" customHeight="1" x14ac:dyDescent="0.2">
      <c r="A59" s="945"/>
      <c r="B59" s="946"/>
      <c r="C59" s="3073" t="s">
        <v>671</v>
      </c>
      <c r="D59" s="3074"/>
      <c r="E59" s="901"/>
      <c r="F59" s="2958"/>
      <c r="G59" s="902"/>
      <c r="H59" s="982"/>
      <c r="I59" s="982"/>
      <c r="J59" s="1218"/>
      <c r="K59" s="982"/>
      <c r="L59" s="982"/>
      <c r="M59" s="982"/>
      <c r="N59" s="1218"/>
      <c r="O59" s="982"/>
      <c r="P59" s="982"/>
      <c r="Q59" s="982"/>
      <c r="R59" s="1218"/>
      <c r="S59" s="982"/>
      <c r="T59" s="982"/>
      <c r="U59" s="982"/>
      <c r="V59" s="1218"/>
      <c r="W59" s="982"/>
      <c r="X59" s="982"/>
      <c r="Y59" s="982"/>
      <c r="Z59" s="1218"/>
      <c r="AA59" s="982"/>
      <c r="AB59" s="982"/>
      <c r="AC59" s="982"/>
      <c r="AD59" s="1218"/>
      <c r="AE59" s="982"/>
      <c r="AF59" s="982"/>
      <c r="AG59" s="982"/>
      <c r="AH59" s="1218"/>
      <c r="AI59" s="1219"/>
      <c r="AJ59" s="1220"/>
      <c r="AK59" s="982"/>
      <c r="AL59" s="1218"/>
      <c r="AM59" s="1219"/>
      <c r="AN59" s="1220"/>
      <c r="AO59" s="982"/>
      <c r="AP59" s="1218"/>
      <c r="AR59" s="1220"/>
      <c r="AS59" s="941"/>
      <c r="AT59" s="1218"/>
      <c r="AU59" s="1220"/>
      <c r="AW59" s="982"/>
      <c r="AX59" s="1218"/>
      <c r="AY59" s="1220"/>
      <c r="AZ59" s="1220"/>
      <c r="BA59" s="1220"/>
      <c r="BB59" s="1220"/>
      <c r="BC59" s="1221"/>
      <c r="BD59" s="1218"/>
      <c r="BE59" s="1218"/>
      <c r="BF59" s="1218"/>
      <c r="BG59" s="1222"/>
      <c r="BH59" s="987" t="s">
        <v>660</v>
      </c>
      <c r="BI59" s="988"/>
      <c r="BJ59" s="988" t="s">
        <v>563</v>
      </c>
      <c r="BK59" s="989"/>
      <c r="BL59" s="990"/>
      <c r="BM59" s="991"/>
      <c r="BN59" s="991"/>
      <c r="BO59" s="991"/>
      <c r="BP59" s="991"/>
      <c r="BQ59" s="991"/>
      <c r="BR59" s="991"/>
      <c r="BS59" s="991"/>
      <c r="BT59" s="991"/>
      <c r="BU59" s="1992"/>
      <c r="BV59" s="1992"/>
      <c r="BW59" s="1992"/>
      <c r="BX59" s="2052"/>
      <c r="BY59" s="2053"/>
      <c r="BZ59" s="1992"/>
      <c r="CA59" s="1992"/>
      <c r="CB59" s="1992"/>
      <c r="CC59" s="1999"/>
    </row>
    <row r="60" spans="1:81" ht="12.75" customHeight="1" x14ac:dyDescent="0.2">
      <c r="A60" s="945" t="s">
        <v>2</v>
      </c>
      <c r="B60" s="946"/>
      <c r="C60" s="3184" t="s">
        <v>38</v>
      </c>
      <c r="D60" s="3185"/>
      <c r="E60" s="1801"/>
      <c r="F60" s="1993" t="s">
        <v>670</v>
      </c>
      <c r="G60" s="907" t="s">
        <v>558</v>
      </c>
      <c r="H60" s="992" t="s">
        <v>559</v>
      </c>
      <c r="I60" s="992" t="s">
        <v>560</v>
      </c>
      <c r="J60" s="993" t="s">
        <v>561</v>
      </c>
      <c r="K60" s="992" t="s">
        <v>508</v>
      </c>
      <c r="L60" s="992" t="s">
        <v>507</v>
      </c>
      <c r="M60" s="992" t="s">
        <v>506</v>
      </c>
      <c r="N60" s="993" t="s">
        <v>505</v>
      </c>
      <c r="O60" s="992" t="s">
        <v>382</v>
      </c>
      <c r="P60" s="992" t="s">
        <v>383</v>
      </c>
      <c r="Q60" s="992" t="s">
        <v>384</v>
      </c>
      <c r="R60" s="993" t="s">
        <v>385</v>
      </c>
      <c r="S60" s="992" t="s">
        <v>368</v>
      </c>
      <c r="T60" s="992" t="s">
        <v>367</v>
      </c>
      <c r="U60" s="992" t="s">
        <v>366</v>
      </c>
      <c r="V60" s="993" t="s">
        <v>364</v>
      </c>
      <c r="W60" s="992" t="s">
        <v>348</v>
      </c>
      <c r="X60" s="992" t="s">
        <v>349</v>
      </c>
      <c r="Y60" s="992" t="s">
        <v>350</v>
      </c>
      <c r="Z60" s="993" t="s">
        <v>351</v>
      </c>
      <c r="AA60" s="992" t="s">
        <v>315</v>
      </c>
      <c r="AB60" s="992" t="s">
        <v>314</v>
      </c>
      <c r="AC60" s="992" t="s">
        <v>313</v>
      </c>
      <c r="AD60" s="993" t="s">
        <v>311</v>
      </c>
      <c r="AE60" s="992" t="s">
        <v>270</v>
      </c>
      <c r="AF60" s="992" t="s">
        <v>271</v>
      </c>
      <c r="AG60" s="992" t="s">
        <v>272</v>
      </c>
      <c r="AH60" s="993" t="s">
        <v>273</v>
      </c>
      <c r="AI60" s="994" t="s">
        <v>223</v>
      </c>
      <c r="AJ60" s="992" t="s">
        <v>224</v>
      </c>
      <c r="AK60" s="992" t="s">
        <v>225</v>
      </c>
      <c r="AL60" s="993" t="s">
        <v>222</v>
      </c>
      <c r="AM60" s="994" t="s">
        <v>189</v>
      </c>
      <c r="AN60" s="992" t="s">
        <v>190</v>
      </c>
      <c r="AO60" s="992" t="s">
        <v>191</v>
      </c>
      <c r="AP60" s="993" t="s">
        <v>192</v>
      </c>
      <c r="AQ60" s="992" t="s">
        <v>121</v>
      </c>
      <c r="AR60" s="992" t="s">
        <v>120</v>
      </c>
      <c r="AS60" s="992" t="s">
        <v>119</v>
      </c>
      <c r="AT60" s="993" t="s">
        <v>118</v>
      </c>
      <c r="AU60" s="992" t="s">
        <v>81</v>
      </c>
      <c r="AV60" s="992" t="s">
        <v>82</v>
      </c>
      <c r="AW60" s="992" t="s">
        <v>83</v>
      </c>
      <c r="AX60" s="993" t="s">
        <v>29</v>
      </c>
      <c r="AY60" s="992" t="s">
        <v>30</v>
      </c>
      <c r="AZ60" s="992" t="s">
        <v>31</v>
      </c>
      <c r="BA60" s="992" t="s">
        <v>32</v>
      </c>
      <c r="BB60" s="992" t="s">
        <v>33</v>
      </c>
      <c r="BC60" s="995" t="s">
        <v>34</v>
      </c>
      <c r="BD60" s="993" t="s">
        <v>35</v>
      </c>
      <c r="BE60" s="993" t="s">
        <v>36</v>
      </c>
      <c r="BF60" s="993" t="s">
        <v>37</v>
      </c>
      <c r="BG60" s="996"/>
      <c r="BH60" s="992" t="s">
        <v>558</v>
      </c>
      <c r="BI60" s="992" t="s">
        <v>508</v>
      </c>
      <c r="BJ60" s="3194" t="s">
        <v>38</v>
      </c>
      <c r="BK60" s="3076"/>
      <c r="BL60" s="1293"/>
      <c r="BM60" s="994" t="s">
        <v>562</v>
      </c>
      <c r="BN60" s="994" t="s">
        <v>509</v>
      </c>
      <c r="BO60" s="994" t="s">
        <v>502</v>
      </c>
      <c r="BP60" s="994" t="s">
        <v>379</v>
      </c>
      <c r="BQ60" s="994" t="s">
        <v>360</v>
      </c>
      <c r="BR60" s="994" t="s">
        <v>317</v>
      </c>
      <c r="BS60" s="994" t="s">
        <v>275</v>
      </c>
      <c r="BT60" s="994" t="s">
        <v>227</v>
      </c>
      <c r="BU60" s="1948" t="s">
        <v>123</v>
      </c>
      <c r="BV60" s="1948" t="s">
        <v>122</v>
      </c>
      <c r="BW60" s="1948" t="s">
        <v>42</v>
      </c>
      <c r="BX60" s="1948" t="s">
        <v>39</v>
      </c>
      <c r="BY60" s="1993" t="s">
        <v>40</v>
      </c>
      <c r="BZ60" s="1993" t="s">
        <v>142</v>
      </c>
      <c r="CA60" s="1993" t="s">
        <v>143</v>
      </c>
      <c r="CB60" s="1993" t="s">
        <v>144</v>
      </c>
      <c r="CC60" s="1999"/>
    </row>
    <row r="61" spans="1:81" ht="12.75" customHeight="1" x14ac:dyDescent="0.2">
      <c r="A61" s="1207"/>
      <c r="B61" s="1208" t="s">
        <v>4</v>
      </c>
      <c r="C61" s="1341">
        <v>17165</v>
      </c>
      <c r="D61" s="1210">
        <v>0.15247477259806708</v>
      </c>
      <c r="E61" s="1147"/>
      <c r="F61" s="2961">
        <v>129741</v>
      </c>
      <c r="G61" s="1167">
        <v>117130</v>
      </c>
      <c r="H61" s="1235">
        <v>115979</v>
      </c>
      <c r="I61" s="1235">
        <v>116126</v>
      </c>
      <c r="J61" s="1472">
        <v>112576</v>
      </c>
      <c r="K61" s="1262">
        <v>116378</v>
      </c>
      <c r="L61" s="1262">
        <v>109373</v>
      </c>
      <c r="M61" s="1235">
        <v>69563</v>
      </c>
      <c r="N61" s="1472">
        <v>74951</v>
      </c>
      <c r="O61" s="1246">
        <v>73333</v>
      </c>
      <c r="P61" s="1246">
        <v>67368</v>
      </c>
      <c r="Q61" s="1235">
        <v>63690</v>
      </c>
      <c r="R61" s="1472">
        <v>62720</v>
      </c>
      <c r="S61" s="1235">
        <v>60434</v>
      </c>
      <c r="T61" s="1235">
        <v>60656</v>
      </c>
      <c r="U61" s="1235">
        <v>60194</v>
      </c>
      <c r="V61" s="1472">
        <v>65283</v>
      </c>
      <c r="W61" s="1235">
        <v>33079</v>
      </c>
      <c r="X61" s="1235">
        <v>28267</v>
      </c>
      <c r="Y61" s="1235">
        <v>31637</v>
      </c>
      <c r="Z61" s="1472">
        <v>32356</v>
      </c>
      <c r="AA61" s="1235">
        <v>32016</v>
      </c>
      <c r="AB61" s="1235">
        <v>27719</v>
      </c>
      <c r="AC61" s="1235">
        <v>24413</v>
      </c>
      <c r="AD61" s="1454">
        <v>26842</v>
      </c>
      <c r="AE61" s="1235">
        <v>32223</v>
      </c>
      <c r="AF61" s="1235">
        <v>35051</v>
      </c>
      <c r="AG61" s="1235">
        <v>35814</v>
      </c>
      <c r="AH61" s="1454">
        <v>36767</v>
      </c>
      <c r="AI61" s="1235">
        <v>52537</v>
      </c>
      <c r="AJ61" s="1235">
        <v>44571</v>
      </c>
      <c r="AK61" s="1235">
        <v>47412</v>
      </c>
      <c r="AL61" s="1454">
        <v>54783</v>
      </c>
      <c r="AM61" s="1235">
        <v>72704</v>
      </c>
      <c r="AN61" s="1235">
        <v>68599</v>
      </c>
      <c r="AO61" s="1235">
        <v>44539</v>
      </c>
      <c r="AP61" s="1454">
        <v>47207</v>
      </c>
      <c r="AQ61" s="1235">
        <v>54990</v>
      </c>
      <c r="AR61" s="1235">
        <v>51733</v>
      </c>
      <c r="AS61" s="1235">
        <v>40138</v>
      </c>
      <c r="AT61" s="1454">
        <v>40185</v>
      </c>
      <c r="AU61" s="1471">
        <v>37255</v>
      </c>
      <c r="AV61" s="1235">
        <v>33532</v>
      </c>
      <c r="AW61" s="1235">
        <v>43844</v>
      </c>
      <c r="AX61" s="1454">
        <v>57853</v>
      </c>
      <c r="AY61" s="1196">
        <v>54463</v>
      </c>
      <c r="AZ61" s="1270">
        <v>61166</v>
      </c>
      <c r="BA61" s="1270">
        <v>57415</v>
      </c>
      <c r="BB61" s="1231">
        <v>76083</v>
      </c>
      <c r="BC61" s="1456">
        <v>75876</v>
      </c>
      <c r="BD61" s="1231">
        <v>68831</v>
      </c>
      <c r="BE61" s="1231">
        <v>55626</v>
      </c>
      <c r="BF61" s="1382">
        <v>72286</v>
      </c>
      <c r="BG61" s="1229"/>
      <c r="BH61" s="1235">
        <v>461811</v>
      </c>
      <c r="BI61" s="1235">
        <v>370265</v>
      </c>
      <c r="BJ61" s="1341">
        <v>91546</v>
      </c>
      <c r="BK61" s="2783">
        <v>0.24724454107193497</v>
      </c>
      <c r="BL61" s="1193"/>
      <c r="BM61" s="2900">
        <v>461811</v>
      </c>
      <c r="BN61" s="1751">
        <v>370265</v>
      </c>
      <c r="BO61" s="1751">
        <v>267111</v>
      </c>
      <c r="BP61" s="1751">
        <v>246567</v>
      </c>
      <c r="BQ61" s="1751">
        <v>250890</v>
      </c>
      <c r="BR61" s="1751">
        <v>224036</v>
      </c>
      <c r="BS61" s="1367">
        <v>231612</v>
      </c>
      <c r="BT61" s="1273">
        <v>199303</v>
      </c>
      <c r="BU61" s="2016">
        <v>233049</v>
      </c>
      <c r="BV61" s="2016">
        <v>187046</v>
      </c>
      <c r="BW61" s="2016">
        <v>172484</v>
      </c>
      <c r="BX61" s="2034">
        <v>249127</v>
      </c>
      <c r="BY61" s="2054">
        <v>272619</v>
      </c>
      <c r="BZ61" s="2054">
        <v>225194</v>
      </c>
      <c r="CA61" s="2054">
        <v>178176</v>
      </c>
      <c r="CB61" s="2054">
        <v>175983</v>
      </c>
      <c r="CC61" s="1999"/>
    </row>
    <row r="62" spans="1:81" ht="12.75" customHeight="1" x14ac:dyDescent="0.2">
      <c r="A62" s="1193"/>
      <c r="B62" s="1208" t="s">
        <v>80</v>
      </c>
      <c r="C62" s="957">
        <v>11915</v>
      </c>
      <c r="D62" s="1035">
        <v>0.1316225531350802</v>
      </c>
      <c r="E62" s="2564"/>
      <c r="F62" s="2961">
        <v>102439</v>
      </c>
      <c r="G62" s="1167">
        <v>96130</v>
      </c>
      <c r="H62" s="1262">
        <v>93486</v>
      </c>
      <c r="I62" s="1262">
        <v>91821</v>
      </c>
      <c r="J62" s="1272">
        <v>90524</v>
      </c>
      <c r="K62" s="1262">
        <v>94917</v>
      </c>
      <c r="L62" s="1262">
        <v>86564</v>
      </c>
      <c r="M62" s="1262">
        <v>56927</v>
      </c>
      <c r="N62" s="1272">
        <v>58786</v>
      </c>
      <c r="O62" s="1269">
        <v>62071</v>
      </c>
      <c r="P62" s="1269">
        <v>55054</v>
      </c>
      <c r="Q62" s="1262">
        <v>51233</v>
      </c>
      <c r="R62" s="1272">
        <v>52428</v>
      </c>
      <c r="S62" s="1262">
        <v>52775</v>
      </c>
      <c r="T62" s="1262">
        <v>51286</v>
      </c>
      <c r="U62" s="1262">
        <v>50117</v>
      </c>
      <c r="V62" s="1272">
        <v>54144</v>
      </c>
      <c r="W62" s="1262">
        <v>29816</v>
      </c>
      <c r="X62" s="1262">
        <v>26259</v>
      </c>
      <c r="Y62" s="1262">
        <v>28532</v>
      </c>
      <c r="Z62" s="1272">
        <v>30351</v>
      </c>
      <c r="AA62" s="1262">
        <v>30921</v>
      </c>
      <c r="AB62" s="1262">
        <v>27970</v>
      </c>
      <c r="AC62" s="1262">
        <v>26377</v>
      </c>
      <c r="AD62" s="1454">
        <v>27166</v>
      </c>
      <c r="AE62" s="1262">
        <v>31433</v>
      </c>
      <c r="AF62" s="1262">
        <v>31140</v>
      </c>
      <c r="AG62" s="1262">
        <v>33812</v>
      </c>
      <c r="AH62" s="1454">
        <v>34551</v>
      </c>
      <c r="AI62" s="1262">
        <v>41751</v>
      </c>
      <c r="AJ62" s="1262">
        <v>37244</v>
      </c>
      <c r="AK62" s="1262">
        <v>37327</v>
      </c>
      <c r="AL62" s="1454">
        <v>43517</v>
      </c>
      <c r="AM62" s="1262">
        <v>54200</v>
      </c>
      <c r="AN62" s="1262">
        <v>52012</v>
      </c>
      <c r="AO62" s="1262">
        <v>38601</v>
      </c>
      <c r="AP62" s="1454">
        <v>39500</v>
      </c>
      <c r="AQ62" s="1262">
        <v>46835</v>
      </c>
      <c r="AR62" s="1262">
        <v>42047</v>
      </c>
      <c r="AS62" s="1262">
        <v>35213</v>
      </c>
      <c r="AT62" s="1454">
        <v>35168</v>
      </c>
      <c r="AU62" s="1262">
        <v>28967</v>
      </c>
      <c r="AV62" s="1262">
        <v>34689</v>
      </c>
      <c r="AW62" s="1262">
        <v>35911</v>
      </c>
      <c r="AX62" s="1454">
        <v>44683</v>
      </c>
      <c r="AY62" s="1196">
        <v>43703</v>
      </c>
      <c r="AZ62" s="1270">
        <v>48132</v>
      </c>
      <c r="BA62" s="1270">
        <v>44039</v>
      </c>
      <c r="BB62" s="1231">
        <v>57148</v>
      </c>
      <c r="BC62" s="1237">
        <v>55349</v>
      </c>
      <c r="BD62" s="1231">
        <v>50178</v>
      </c>
      <c r="BE62" s="1231">
        <v>41346</v>
      </c>
      <c r="BF62" s="1231">
        <v>55217</v>
      </c>
      <c r="BG62" s="1229"/>
      <c r="BH62" s="1462">
        <v>371961</v>
      </c>
      <c r="BI62" s="1235">
        <v>297194</v>
      </c>
      <c r="BJ62" s="957">
        <v>74767</v>
      </c>
      <c r="BK62" s="1299">
        <v>0.25157641136765885</v>
      </c>
      <c r="BL62" s="1193"/>
      <c r="BM62" s="1846">
        <v>371961</v>
      </c>
      <c r="BN62" s="1751">
        <v>297194</v>
      </c>
      <c r="BO62" s="1751">
        <v>220786</v>
      </c>
      <c r="BP62" s="1751">
        <v>208322</v>
      </c>
      <c r="BQ62" s="1751">
        <v>214736</v>
      </c>
      <c r="BR62" s="1751">
        <v>198865</v>
      </c>
      <c r="BS62" s="1273">
        <v>202688</v>
      </c>
      <c r="BT62" s="1273">
        <v>159839</v>
      </c>
      <c r="BU62" s="2016">
        <v>184313</v>
      </c>
      <c r="BV62" s="2016">
        <v>159263</v>
      </c>
      <c r="BW62" s="2016">
        <v>144250</v>
      </c>
      <c r="BX62" s="2013">
        <v>193022</v>
      </c>
      <c r="BY62" s="2002">
        <v>202090</v>
      </c>
      <c r="BZ62" s="2002">
        <v>163976</v>
      </c>
      <c r="CA62" s="2002">
        <v>127504</v>
      </c>
      <c r="CB62" s="2002">
        <v>118638</v>
      </c>
      <c r="CC62" s="1999"/>
    </row>
    <row r="63" spans="1:81" ht="12.75" customHeight="1" x14ac:dyDescent="0.2">
      <c r="A63" s="1193"/>
      <c r="B63" s="1343" t="s">
        <v>332</v>
      </c>
      <c r="C63" s="957">
        <v>666</v>
      </c>
      <c r="D63" s="1035">
        <v>0.19898416492381238</v>
      </c>
      <c r="E63" s="2564"/>
      <c r="F63" s="2961">
        <v>4013</v>
      </c>
      <c r="G63" s="1167">
        <v>4419</v>
      </c>
      <c r="H63" s="1262">
        <v>3030</v>
      </c>
      <c r="I63" s="1262">
        <v>3671</v>
      </c>
      <c r="J63" s="1272">
        <v>3347</v>
      </c>
      <c r="K63" s="1262">
        <v>3230</v>
      </c>
      <c r="L63" s="1262">
        <v>3667</v>
      </c>
      <c r="M63" s="1262">
        <v>4091</v>
      </c>
      <c r="N63" s="1272">
        <v>4541</v>
      </c>
      <c r="O63" s="1269">
        <v>4279</v>
      </c>
      <c r="P63" s="1269">
        <v>4694</v>
      </c>
      <c r="Q63" s="1262">
        <v>4240</v>
      </c>
      <c r="R63" s="1272">
        <v>3583</v>
      </c>
      <c r="S63" s="1262">
        <v>5750</v>
      </c>
      <c r="T63" s="1262">
        <v>5214</v>
      </c>
      <c r="U63" s="1262">
        <v>5771</v>
      </c>
      <c r="V63" s="1272">
        <v>5119</v>
      </c>
      <c r="W63" s="1262">
        <v>4542</v>
      </c>
      <c r="X63" s="1262">
        <v>3794</v>
      </c>
      <c r="Y63" s="1262"/>
      <c r="Z63" s="1272"/>
      <c r="AA63" s="1262"/>
      <c r="AB63" s="1262"/>
      <c r="AC63" s="1262"/>
      <c r="AD63" s="1454"/>
      <c r="AE63" s="1262"/>
      <c r="AF63" s="1262"/>
      <c r="AG63" s="1262"/>
      <c r="AH63" s="1454"/>
      <c r="AI63" s="1262"/>
      <c r="AJ63" s="1262"/>
      <c r="AK63" s="1262"/>
      <c r="AL63" s="1454"/>
      <c r="AM63" s="1262"/>
      <c r="AN63" s="1262"/>
      <c r="AO63" s="1262"/>
      <c r="AP63" s="1454"/>
      <c r="AQ63" s="1262"/>
      <c r="AR63" s="1262"/>
      <c r="AS63" s="1262"/>
      <c r="AT63" s="1454"/>
      <c r="AU63" s="1262"/>
      <c r="AV63" s="1262"/>
      <c r="AW63" s="1262"/>
      <c r="AX63" s="1454"/>
      <c r="AY63" s="1196"/>
      <c r="AZ63" s="1270"/>
      <c r="BA63" s="1270"/>
      <c r="BB63" s="1231"/>
      <c r="BC63" s="1237"/>
      <c r="BD63" s="1231"/>
      <c r="BE63" s="1231"/>
      <c r="BF63" s="1231"/>
      <c r="BG63" s="1229"/>
      <c r="BH63" s="1462">
        <v>14467</v>
      </c>
      <c r="BI63" s="1235">
        <v>15529</v>
      </c>
      <c r="BJ63" s="957">
        <v>-1062</v>
      </c>
      <c r="BK63" s="1299">
        <v>-6.8388176959237559E-2</v>
      </c>
      <c r="BL63" s="1193"/>
      <c r="BM63" s="1846">
        <v>14467</v>
      </c>
      <c r="BN63" s="1751">
        <v>15529</v>
      </c>
      <c r="BO63" s="1751">
        <v>16796</v>
      </c>
      <c r="BP63" s="1751">
        <v>21854</v>
      </c>
      <c r="BQ63" s="1751">
        <v>21683</v>
      </c>
      <c r="BR63" s="1751">
        <v>24719</v>
      </c>
      <c r="BS63" s="1273">
        <v>42231</v>
      </c>
      <c r="BT63" s="1273">
        <v>35737</v>
      </c>
      <c r="BU63" s="2016"/>
      <c r="BV63" s="2016"/>
      <c r="BW63" s="2016"/>
      <c r="BX63" s="2013"/>
      <c r="BY63" s="2002"/>
      <c r="BZ63" s="2002"/>
      <c r="CA63" s="2002"/>
      <c r="CB63" s="2002"/>
      <c r="CC63" s="1999"/>
    </row>
    <row r="64" spans="1:81" x14ac:dyDescent="0.2">
      <c r="A64" s="1193"/>
      <c r="B64" s="1343" t="s">
        <v>72</v>
      </c>
      <c r="C64" s="1191">
        <v>4584</v>
      </c>
      <c r="D64" s="1192">
        <v>0.24506816359262229</v>
      </c>
      <c r="E64" s="2564"/>
      <c r="F64" s="2962">
        <v>23289</v>
      </c>
      <c r="G64" s="1181">
        <v>16581</v>
      </c>
      <c r="H64" s="1304">
        <v>19463</v>
      </c>
      <c r="I64" s="1304">
        <v>20634</v>
      </c>
      <c r="J64" s="1253">
        <v>18705</v>
      </c>
      <c r="K64" s="1304">
        <v>18231</v>
      </c>
      <c r="L64" s="1304">
        <v>19142</v>
      </c>
      <c r="M64" s="1304">
        <v>8545</v>
      </c>
      <c r="N64" s="1253">
        <v>11624</v>
      </c>
      <c r="O64" s="1304">
        <v>6983</v>
      </c>
      <c r="P64" s="1304">
        <v>7620</v>
      </c>
      <c r="Q64" s="1304">
        <v>8217</v>
      </c>
      <c r="R64" s="1253">
        <v>6709</v>
      </c>
      <c r="S64" s="1304">
        <v>1909</v>
      </c>
      <c r="T64" s="1304">
        <v>4156</v>
      </c>
      <c r="U64" s="1304">
        <v>4306</v>
      </c>
      <c r="V64" s="1253">
        <v>6020</v>
      </c>
      <c r="W64" s="1304">
        <v>-1279</v>
      </c>
      <c r="X64" s="1304">
        <v>-1786</v>
      </c>
      <c r="Y64" s="1304">
        <v>-1765</v>
      </c>
      <c r="Z64" s="1253">
        <v>-2272</v>
      </c>
      <c r="AA64" s="1304">
        <v>-3180</v>
      </c>
      <c r="AB64" s="1304">
        <v>-4658</v>
      </c>
      <c r="AC64" s="1304" t="e">
        <v>#REF!</v>
      </c>
      <c r="AD64" s="1458" t="e">
        <v>#REF!</v>
      </c>
      <c r="AE64" s="1304" t="e">
        <v>#REF!</v>
      </c>
      <c r="AF64" s="1304" t="e">
        <v>#REF!</v>
      </c>
      <c r="AG64" s="1304" t="e">
        <v>#REF!</v>
      </c>
      <c r="AH64" s="1253" t="e">
        <v>#REF!</v>
      </c>
      <c r="AI64" s="1304" t="e">
        <v>#REF!</v>
      </c>
      <c r="AJ64" s="1304" t="e">
        <v>#REF!</v>
      </c>
      <c r="AK64" s="1304" t="e">
        <v>#REF!</v>
      </c>
      <c r="AL64" s="1458" t="e">
        <v>#REF!</v>
      </c>
      <c r="AM64" s="1304" t="e">
        <v>#REF!</v>
      </c>
      <c r="AN64" s="1304" t="e">
        <v>#REF!</v>
      </c>
      <c r="AO64" s="1304"/>
      <c r="AP64" s="1458"/>
      <c r="AQ64" s="1304"/>
      <c r="AR64" s="1304"/>
      <c r="AS64" s="1304"/>
      <c r="AT64" s="1458"/>
      <c r="AU64" s="1304"/>
      <c r="AV64" s="1304"/>
      <c r="AW64" s="1304"/>
      <c r="AX64" s="1458"/>
      <c r="AY64" s="1307"/>
      <c r="AZ64" s="1304"/>
      <c r="BA64" s="1304"/>
      <c r="BB64" s="1253"/>
      <c r="BC64" s="1274"/>
      <c r="BD64" s="1253"/>
      <c r="BE64" s="1253"/>
      <c r="BF64" s="1253"/>
      <c r="BG64" s="1249"/>
      <c r="BH64" s="2230">
        <v>75383</v>
      </c>
      <c r="BI64" s="1254">
        <v>57542</v>
      </c>
      <c r="BJ64" s="1191">
        <v>17841</v>
      </c>
      <c r="BK64" s="1309">
        <v>0.31005178825901081</v>
      </c>
      <c r="BL64" s="1193"/>
      <c r="BM64" s="1827">
        <v>75383</v>
      </c>
      <c r="BN64" s="1274">
        <v>57542</v>
      </c>
      <c r="BO64" s="1274">
        <v>29529</v>
      </c>
      <c r="BP64" s="1274">
        <v>16391</v>
      </c>
      <c r="BQ64" s="1827">
        <v>14471</v>
      </c>
      <c r="BR64" s="1827">
        <v>452</v>
      </c>
      <c r="BS64" s="1478">
        <v>-13307</v>
      </c>
      <c r="BT64" s="1478">
        <v>3727</v>
      </c>
      <c r="BU64" s="2031">
        <v>12132</v>
      </c>
      <c r="BV64" s="2031" t="e">
        <v>#REF!</v>
      </c>
      <c r="BW64" s="2056" t="e">
        <v>#REF!</v>
      </c>
      <c r="BX64" s="2055" t="e">
        <v>#REF!</v>
      </c>
      <c r="BY64" s="2007"/>
      <c r="BZ64" s="2007"/>
      <c r="CA64" s="2007"/>
      <c r="CB64" s="2007"/>
      <c r="CC64" s="1999"/>
    </row>
    <row r="65" spans="1:81" ht="12.75" customHeight="1" x14ac:dyDescent="0.2">
      <c r="A65" s="1193"/>
      <c r="B65" s="1208"/>
      <c r="C65" s="1007"/>
      <c r="D65" s="959"/>
      <c r="E65" s="929"/>
      <c r="F65" s="929"/>
      <c r="G65" s="929"/>
      <c r="H65" s="959"/>
      <c r="I65" s="959"/>
      <c r="J65" s="959"/>
      <c r="K65" s="959"/>
      <c r="L65" s="959"/>
      <c r="M65" s="959"/>
      <c r="N65" s="959"/>
      <c r="O65" s="959"/>
      <c r="P65" s="959"/>
      <c r="Q65" s="959"/>
      <c r="R65" s="959"/>
      <c r="S65" s="959"/>
      <c r="T65" s="959"/>
      <c r="U65" s="959"/>
      <c r="V65" s="959"/>
      <c r="W65" s="959"/>
      <c r="X65" s="959"/>
      <c r="Y65" s="959"/>
      <c r="Z65" s="959"/>
      <c r="AA65" s="959"/>
      <c r="AB65" s="959"/>
      <c r="AC65" s="959"/>
      <c r="AD65" s="1208"/>
      <c r="AE65" s="959"/>
      <c r="AF65" s="959"/>
      <c r="AG65" s="959"/>
      <c r="AH65" s="1208"/>
      <c r="AI65" s="1269"/>
      <c r="AJ65" s="959"/>
      <c r="AK65" s="959"/>
      <c r="AL65" s="1208"/>
      <c r="AM65" s="959"/>
      <c r="AN65" s="959"/>
      <c r="AO65" s="959"/>
      <c r="AP65" s="1208"/>
      <c r="AQ65" s="959"/>
      <c r="AR65" s="959"/>
      <c r="AS65" s="959"/>
      <c r="AT65" s="1208"/>
      <c r="AU65" s="959"/>
      <c r="AV65" s="959"/>
      <c r="AW65" s="959"/>
      <c r="AX65" s="1208"/>
      <c r="AY65" s="1193"/>
      <c r="AZ65" s="1193"/>
      <c r="BA65" s="1193"/>
      <c r="BB65" s="1193"/>
      <c r="BC65" s="1193"/>
      <c r="BD65" s="1193"/>
      <c r="BE65" s="1193"/>
      <c r="BF65" s="1193"/>
      <c r="BG65" s="1208"/>
      <c r="BH65" s="1208"/>
      <c r="BI65" s="1208"/>
      <c r="BJ65" s="1007"/>
      <c r="BK65" s="959"/>
      <c r="BL65" s="1208"/>
      <c r="BM65" s="1208"/>
      <c r="BN65" s="1208"/>
      <c r="BO65" s="1208"/>
      <c r="BP65" s="1208"/>
      <c r="BQ65" s="1208"/>
      <c r="BR65" s="1208"/>
      <c r="BS65" s="1208"/>
      <c r="BT65" s="1208"/>
      <c r="BU65" s="1153"/>
      <c r="BV65" s="1153"/>
      <c r="BW65" s="1153"/>
      <c r="BX65" s="1154"/>
      <c r="BY65" s="1154"/>
      <c r="BZ65" s="914"/>
      <c r="CA65" s="914"/>
      <c r="CB65" s="914"/>
      <c r="CC65" s="1153"/>
    </row>
    <row r="66" spans="1:81" ht="12.75" customHeight="1" x14ac:dyDescent="0.2">
      <c r="A66" s="1193"/>
      <c r="B66" s="1203" t="s">
        <v>623</v>
      </c>
      <c r="C66" s="1805">
        <v>-1.3011261639979899</v>
      </c>
      <c r="D66" s="959"/>
      <c r="E66" s="929"/>
      <c r="F66" s="929">
        <v>0.56037027616559143</v>
      </c>
      <c r="G66" s="929">
        <v>0.56813796636216174</v>
      </c>
      <c r="H66" s="959">
        <v>0.56968934031160812</v>
      </c>
      <c r="I66" s="959">
        <v>0.57282606823622617</v>
      </c>
      <c r="J66" s="959">
        <v>0.57338153780557133</v>
      </c>
      <c r="K66" s="959">
        <v>0.59219955661723001</v>
      </c>
      <c r="L66" s="959">
        <v>0.57254532654311396</v>
      </c>
      <c r="M66" s="959">
        <v>0.56967065825223184</v>
      </c>
      <c r="N66" s="959">
        <v>0.53429573988339052</v>
      </c>
      <c r="O66" s="959">
        <v>0.57575716253255693</v>
      </c>
      <c r="P66" s="959">
        <v>0.52211732573328584</v>
      </c>
      <c r="Q66" s="959">
        <v>0.53707018370230808</v>
      </c>
      <c r="R66" s="959">
        <v>0.57104591836734697</v>
      </c>
      <c r="S66" s="959">
        <v>0.5665684879372539</v>
      </c>
      <c r="T66" s="959"/>
      <c r="U66" s="959"/>
      <c r="V66" s="959"/>
      <c r="W66" s="959"/>
      <c r="X66" s="959"/>
      <c r="Y66" s="959"/>
      <c r="Z66" s="959"/>
      <c r="AA66" s="959"/>
      <c r="AB66" s="959"/>
      <c r="AC66" s="959"/>
      <c r="AD66" s="1208"/>
      <c r="AE66" s="959"/>
      <c r="AF66" s="959"/>
      <c r="AG66" s="959"/>
      <c r="AH66" s="1208"/>
      <c r="AI66" s="1269"/>
      <c r="AJ66" s="959"/>
      <c r="AK66" s="959"/>
      <c r="AL66" s="1208"/>
      <c r="AM66" s="959"/>
      <c r="AN66" s="959"/>
      <c r="AO66" s="959"/>
      <c r="AP66" s="1208"/>
      <c r="AQ66" s="959"/>
      <c r="AR66" s="959"/>
      <c r="AS66" s="959"/>
      <c r="AT66" s="1208"/>
      <c r="AU66" s="959"/>
      <c r="AV66" s="959"/>
      <c r="AW66" s="959"/>
      <c r="AX66" s="1208"/>
      <c r="AY66" s="1193"/>
      <c r="AZ66" s="1193"/>
      <c r="BA66" s="1193"/>
      <c r="BB66" s="1193"/>
      <c r="BC66" s="1193"/>
      <c r="BD66" s="1193"/>
      <c r="BE66" s="1193"/>
      <c r="BF66" s="1193"/>
      <c r="BG66" s="1208"/>
      <c r="BH66" s="959">
        <v>0.57098466688753624</v>
      </c>
      <c r="BI66" s="959">
        <v>0.57044009020566355</v>
      </c>
      <c r="BJ66" s="1805">
        <v>5.4457668187268826E-2</v>
      </c>
      <c r="BK66" s="959"/>
      <c r="BL66" s="1208"/>
      <c r="BM66" s="959">
        <v>0.57098466688753624</v>
      </c>
      <c r="BN66" s="959">
        <v>0.57044009020566355</v>
      </c>
      <c r="BO66" s="959">
        <v>0.55189790012391848</v>
      </c>
      <c r="BP66" s="959">
        <v>0.55546362651936387</v>
      </c>
      <c r="BQ66" s="959">
        <v>0.55395193112519436</v>
      </c>
      <c r="BR66" s="959">
        <v>0.5560534914031674</v>
      </c>
      <c r="BS66" s="1208"/>
      <c r="BT66" s="1208"/>
      <c r="BU66" s="1153"/>
      <c r="BV66" s="1153"/>
      <c r="BW66" s="1153"/>
      <c r="BX66" s="1154"/>
      <c r="BY66" s="1154"/>
      <c r="BZ66" s="914"/>
      <c r="CA66" s="914"/>
      <c r="CB66" s="914"/>
      <c r="CC66" s="1153"/>
    </row>
    <row r="67" spans="1:81" ht="12.75" customHeight="1" x14ac:dyDescent="0.2">
      <c r="A67" s="1193"/>
      <c r="B67" s="1203" t="s">
        <v>75</v>
      </c>
      <c r="C67" s="1805">
        <v>-0.15379272414640932</v>
      </c>
      <c r="D67" s="959"/>
      <c r="E67" s="929"/>
      <c r="F67" s="929">
        <v>0.22919508867667121</v>
      </c>
      <c r="G67" s="929">
        <v>0.25257406300691537</v>
      </c>
      <c r="H67" s="959">
        <v>0.23637037739590785</v>
      </c>
      <c r="I67" s="959">
        <v>0.21787541119129222</v>
      </c>
      <c r="J67" s="959">
        <v>0.2307330159181353</v>
      </c>
      <c r="K67" s="959">
        <v>0.2233927374589699</v>
      </c>
      <c r="L67" s="959">
        <v>0.21891143152331929</v>
      </c>
      <c r="M67" s="959">
        <v>0.2486810517085232</v>
      </c>
      <c r="N67" s="959">
        <v>0.25003001961281368</v>
      </c>
      <c r="O67" s="959">
        <v>0.2706694121336915</v>
      </c>
      <c r="P67" s="959">
        <v>0.29509559434746468</v>
      </c>
      <c r="Q67" s="959">
        <v>0.26734181190139739</v>
      </c>
      <c r="R67" s="959">
        <v>0.26485969387755104</v>
      </c>
      <c r="S67" s="959">
        <v>0.30669821623589372</v>
      </c>
      <c r="T67" s="959">
        <v>0.30051437615404908</v>
      </c>
      <c r="U67" s="959">
        <v>0.2839817922052032</v>
      </c>
      <c r="V67" s="959">
        <v>0.26815556883108926</v>
      </c>
      <c r="W67" s="959">
        <v>0.3015810635146165</v>
      </c>
      <c r="X67" s="959">
        <v>0.34365160788198251</v>
      </c>
      <c r="Y67" s="959">
        <v>0.31406264816512314</v>
      </c>
      <c r="Z67" s="959">
        <v>0.31929163060946963</v>
      </c>
      <c r="AA67" s="959">
        <v>0.31784107946026985</v>
      </c>
      <c r="AB67" s="959">
        <v>0.39835491900862224</v>
      </c>
      <c r="AC67" s="959">
        <v>0.45582271740466146</v>
      </c>
      <c r="AD67" s="959">
        <v>0.38398778034423664</v>
      </c>
      <c r="AE67" s="959">
        <v>0.32892654315240666</v>
      </c>
      <c r="AF67" s="959">
        <v>0.27796639182904909</v>
      </c>
      <c r="AG67" s="959">
        <v>0.29628078405092978</v>
      </c>
      <c r="AH67" s="959">
        <v>0.32134794788805177</v>
      </c>
      <c r="AI67" s="959">
        <v>0.21590498125130861</v>
      </c>
      <c r="AJ67" s="959">
        <v>0.25269794260842254</v>
      </c>
      <c r="AK67" s="959">
        <v>0.21564160971905846</v>
      </c>
      <c r="AL67" s="959">
        <v>0.20723582133143492</v>
      </c>
      <c r="AM67" s="959">
        <v>0.18037522007042253</v>
      </c>
      <c r="AN67" s="959">
        <v>0.18236417440487471</v>
      </c>
      <c r="AO67" s="959">
        <v>0.27443364242573925</v>
      </c>
      <c r="AP67" s="959">
        <v>0.26133836083631667</v>
      </c>
      <c r="AQ67" s="959">
        <v>0.27384979087106748</v>
      </c>
      <c r="AR67" s="959">
        <v>0.26397077300755806</v>
      </c>
      <c r="AS67" s="959">
        <v>0.28613782450545616</v>
      </c>
      <c r="AT67" s="959">
        <v>0.3055617767823815</v>
      </c>
      <c r="AU67" s="959">
        <v>0.30438867266138775</v>
      </c>
      <c r="AV67" s="959">
        <v>0.52001073601336034</v>
      </c>
      <c r="AW67" s="959">
        <v>0.28095064318949003</v>
      </c>
      <c r="AX67" s="959">
        <v>0.24116294747031269</v>
      </c>
      <c r="AY67" s="1036">
        <v>0.27273561867689994</v>
      </c>
      <c r="AZ67" s="1036">
        <v>0.26800000000000002</v>
      </c>
      <c r="BA67" s="1036">
        <v>0.26400000000000001</v>
      </c>
      <c r="BB67" s="1036">
        <v>0.20299999999999996</v>
      </c>
      <c r="BC67" s="1036">
        <v>0.19</v>
      </c>
      <c r="BD67" s="1036">
        <v>0.22199999999999998</v>
      </c>
      <c r="BE67" s="1036">
        <v>0.24399999999999999</v>
      </c>
      <c r="BF67" s="1036">
        <v>0.255</v>
      </c>
      <c r="BG67" s="1208"/>
      <c r="BH67" s="959">
        <v>0.23445522085874956</v>
      </c>
      <c r="BI67" s="959">
        <v>0.23221206433230254</v>
      </c>
      <c r="BJ67" s="1805">
        <v>0.2243156526447021</v>
      </c>
      <c r="BK67" s="959"/>
      <c r="BL67" s="1208"/>
      <c r="BM67" s="959">
        <v>0.23445522085874956</v>
      </c>
      <c r="BN67" s="959">
        <v>0.23221206433230254</v>
      </c>
      <c r="BO67" s="959">
        <v>0.27467232723474511</v>
      </c>
      <c r="BP67" s="959">
        <v>0.28942640337109182</v>
      </c>
      <c r="BQ67" s="959">
        <v>0.30194507553110927</v>
      </c>
      <c r="BR67" s="959">
        <v>0.33159402953096823</v>
      </c>
      <c r="BS67" s="959">
        <v>0.30225117869540441</v>
      </c>
      <c r="BT67" s="959">
        <v>0.22168758122055363</v>
      </c>
      <c r="BU67" s="929">
        <v>0.21533668885084253</v>
      </c>
      <c r="BV67" s="929">
        <v>0.28056734706970476</v>
      </c>
      <c r="BW67" s="929">
        <v>0.3191426451149092</v>
      </c>
      <c r="BX67" s="923">
        <v>0.24833920048810446</v>
      </c>
      <c r="BY67" s="923">
        <v>0.22599999999999998</v>
      </c>
      <c r="BZ67" s="2022">
        <v>0.20299999999999996</v>
      </c>
      <c r="CA67" s="2022">
        <v>0.18</v>
      </c>
      <c r="CB67" s="2022">
        <v>0.14600000000000002</v>
      </c>
      <c r="CC67" s="1153"/>
    </row>
    <row r="68" spans="1:81" ht="12.75" customHeight="1" x14ac:dyDescent="0.2">
      <c r="A68" s="1193"/>
      <c r="B68" s="1203" t="s">
        <v>76</v>
      </c>
      <c r="C68" s="1805">
        <v>-1.4549188881443964</v>
      </c>
      <c r="D68" s="959"/>
      <c r="E68" s="929"/>
      <c r="F68" s="929">
        <v>0.7895653648422627</v>
      </c>
      <c r="G68" s="929">
        <v>0.82071202936907706</v>
      </c>
      <c r="H68" s="959">
        <v>0.80605971770751605</v>
      </c>
      <c r="I68" s="959">
        <v>0.79070147942751834</v>
      </c>
      <c r="J68" s="959">
        <v>0.80411455372370666</v>
      </c>
      <c r="K68" s="959">
        <v>0.81559229407619993</v>
      </c>
      <c r="L68" s="959">
        <v>0.79145675806643323</v>
      </c>
      <c r="M68" s="959">
        <v>0.81835170996075501</v>
      </c>
      <c r="N68" s="959">
        <v>0.7843257594962042</v>
      </c>
      <c r="O68" s="959">
        <v>0.84642657466624849</v>
      </c>
      <c r="P68" s="959">
        <v>0.81721292008075053</v>
      </c>
      <c r="Q68" s="959">
        <v>0.80441199560370547</v>
      </c>
      <c r="R68" s="959">
        <v>0.83590561224489801</v>
      </c>
      <c r="S68" s="959">
        <v>0.87326670417314756</v>
      </c>
      <c r="T68" s="959">
        <v>0.84552228963334208</v>
      </c>
      <c r="U68" s="959">
        <v>0.83259128816825601</v>
      </c>
      <c r="V68" s="959">
        <v>0.82937365010799136</v>
      </c>
      <c r="W68" s="959">
        <v>0.90135735663109529</v>
      </c>
      <c r="X68" s="959">
        <v>0.92896310185021402</v>
      </c>
      <c r="Y68" s="959">
        <v>0.901855422448399</v>
      </c>
      <c r="Z68" s="959">
        <v>0.93803313141303002</v>
      </c>
      <c r="AA68" s="959">
        <v>0.96579835082458776</v>
      </c>
      <c r="AB68" s="959">
        <v>1.0090551607200837</v>
      </c>
      <c r="AC68" s="959">
        <v>1.0804489411379183</v>
      </c>
      <c r="AD68" s="959">
        <v>1.01207063557112</v>
      </c>
      <c r="AE68" s="959">
        <v>0.97548335040188683</v>
      </c>
      <c r="AF68" s="959">
        <v>0.88841973124875184</v>
      </c>
      <c r="AG68" s="959">
        <v>0.94410007259730833</v>
      </c>
      <c r="AH68" s="959">
        <v>0.93972856093779744</v>
      </c>
      <c r="AI68" s="959">
        <v>0.79469707063593276</v>
      </c>
      <c r="AJ68" s="959">
        <v>0.83561059881986044</v>
      </c>
      <c r="AK68" s="959">
        <v>0.78729013751792798</v>
      </c>
      <c r="AL68" s="959">
        <v>0.7943522625632039</v>
      </c>
      <c r="AM68" s="959">
        <v>0.74548855633802813</v>
      </c>
      <c r="AN68" s="959">
        <v>0.75820347235382435</v>
      </c>
      <c r="AO68" s="959">
        <v>0.86667864119086646</v>
      </c>
      <c r="AP68" s="959">
        <v>0.83674031393649251</v>
      </c>
      <c r="AQ68" s="959">
        <v>0.8517003091471177</v>
      </c>
      <c r="AR68" s="959">
        <v>0.81276941217404752</v>
      </c>
      <c r="AS68" s="959">
        <v>0.8772983207932632</v>
      </c>
      <c r="AT68" s="959">
        <v>0.87515242005723526</v>
      </c>
      <c r="AU68" s="959">
        <v>0.77753321701784994</v>
      </c>
      <c r="AV68" s="959">
        <v>1.0345043540498629</v>
      </c>
      <c r="AW68" s="959">
        <v>0.81906304169327615</v>
      </c>
      <c r="AX68" s="959">
        <v>0.77235406979759047</v>
      </c>
      <c r="AY68" s="1036">
        <v>0.8024346804252428</v>
      </c>
      <c r="AZ68" s="1036">
        <v>0.78700000000000003</v>
      </c>
      <c r="BA68" s="1036">
        <v>0.76700000000000002</v>
      </c>
      <c r="BB68" s="1036">
        <v>0.751</v>
      </c>
      <c r="BC68" s="1036">
        <v>0.72899999999999998</v>
      </c>
      <c r="BD68" s="1036">
        <v>0.72899999999999998</v>
      </c>
      <c r="BE68" s="1036">
        <v>0.74299999999999999</v>
      </c>
      <c r="BF68" s="1036">
        <v>0.76400000000000001</v>
      </c>
      <c r="BG68" s="1208"/>
      <c r="BH68" s="959">
        <v>0.80543988774628583</v>
      </c>
      <c r="BI68" s="959">
        <v>0.80265215453796601</v>
      </c>
      <c r="BJ68" s="1805">
        <v>0.27877332083198203</v>
      </c>
      <c r="BK68" s="959"/>
      <c r="BL68" s="1208"/>
      <c r="BM68" s="959">
        <v>0.80543988774628583</v>
      </c>
      <c r="BN68" s="959">
        <v>0.80265215453796601</v>
      </c>
      <c r="BO68" s="959">
        <v>0.82657022735866359</v>
      </c>
      <c r="BP68" s="959">
        <v>0.8448900298904557</v>
      </c>
      <c r="BQ68" s="959">
        <v>0.85589700665630353</v>
      </c>
      <c r="BR68" s="959">
        <v>0.88764752093413557</v>
      </c>
      <c r="BS68" s="959">
        <v>0.87511873305355503</v>
      </c>
      <c r="BT68" s="959">
        <v>0.80198993492320736</v>
      </c>
      <c r="BU68" s="929">
        <v>0.79087659676720345</v>
      </c>
      <c r="BV68" s="929">
        <v>0.85146434566897977</v>
      </c>
      <c r="BW68" s="929">
        <v>0.83630945479000951</v>
      </c>
      <c r="BX68" s="923">
        <v>0.77479357917849134</v>
      </c>
      <c r="BY68" s="923">
        <v>0.74099999999999999</v>
      </c>
      <c r="BZ68" s="2022">
        <v>0.72799999999999998</v>
      </c>
      <c r="CA68" s="2022">
        <v>0.71599999999999997</v>
      </c>
      <c r="CB68" s="2022">
        <v>0.67400000000000004</v>
      </c>
      <c r="CC68" s="1153"/>
    </row>
    <row r="69" spans="1:81" ht="12.75" customHeight="1" x14ac:dyDescent="0.2">
      <c r="A69" s="1193"/>
      <c r="B69" s="1203" t="s">
        <v>77</v>
      </c>
      <c r="C69" s="1805">
        <v>1.3349360483988519</v>
      </c>
      <c r="D69" s="959"/>
      <c r="E69" s="929"/>
      <c r="F69" s="929">
        <v>0.17950378060905958</v>
      </c>
      <c r="G69" s="929">
        <v>0.14156065909673013</v>
      </c>
      <c r="H69" s="959">
        <v>0.16781486303554954</v>
      </c>
      <c r="I69" s="959">
        <v>0.17768630625355217</v>
      </c>
      <c r="J69" s="959">
        <v>0.16615442012507106</v>
      </c>
      <c r="K69" s="959">
        <v>0.156653319355892</v>
      </c>
      <c r="L69" s="959">
        <v>0.17501577171696853</v>
      </c>
      <c r="M69" s="959">
        <v>0.12283829047050875</v>
      </c>
      <c r="N69" s="959">
        <v>0.15508799082066951</v>
      </c>
      <c r="O69" s="959">
        <v>9.5223160105273208E-2</v>
      </c>
      <c r="P69" s="959">
        <v>0.11311008193801211</v>
      </c>
      <c r="Q69" s="959">
        <v>0.12901554404145077</v>
      </c>
      <c r="R69" s="959">
        <v>0.10696747448979592</v>
      </c>
      <c r="S69" s="959">
        <v>3.1588178839725985E-2</v>
      </c>
      <c r="T69" s="959">
        <v>6.8517541545766295E-2</v>
      </c>
      <c r="U69" s="959">
        <v>7.1535368973651856E-2</v>
      </c>
      <c r="V69" s="959">
        <v>9.2213899483785972E-2</v>
      </c>
      <c r="W69" s="959">
        <v>-3.866501405725687E-2</v>
      </c>
      <c r="X69" s="959">
        <v>-6.3183217179042697E-2</v>
      </c>
      <c r="Y69" s="959">
        <v>9.814457755160097E-2</v>
      </c>
      <c r="Z69" s="959">
        <v>6.196686858696996E-2</v>
      </c>
      <c r="AA69" s="959">
        <v>3.4201649175412296E-2</v>
      </c>
      <c r="AB69" s="959">
        <v>-9.0551607200836971E-3</v>
      </c>
      <c r="AC69" s="959" t="e">
        <v>#REF!</v>
      </c>
      <c r="AD69" s="959" t="e">
        <v>#REF!</v>
      </c>
      <c r="AE69" s="959" t="e">
        <v>#REF!</v>
      </c>
      <c r="AF69" s="959" t="e">
        <v>#REF!</v>
      </c>
      <c r="AG69" s="959" t="e">
        <v>#REF!</v>
      </c>
      <c r="AH69" s="959" t="e">
        <v>#REF!</v>
      </c>
      <c r="AI69" s="959" t="e">
        <v>#REF!</v>
      </c>
      <c r="AJ69" s="959" t="e">
        <v>#REF!</v>
      </c>
      <c r="AK69" s="959" t="e">
        <v>#REF!</v>
      </c>
      <c r="AL69" s="959" t="e">
        <v>#REF!</v>
      </c>
      <c r="AM69" s="959" t="e">
        <v>#REF!</v>
      </c>
      <c r="AN69" s="959" t="e">
        <v>#REF!</v>
      </c>
      <c r="AO69" s="959" t="e">
        <v>#REF!</v>
      </c>
      <c r="AP69" s="959" t="e">
        <v>#REF!</v>
      </c>
      <c r="AQ69" s="959">
        <v>0.14829969085288233</v>
      </c>
      <c r="AR69" s="959">
        <v>0.18723058782595248</v>
      </c>
      <c r="AS69" s="959">
        <v>0.12270167920673676</v>
      </c>
      <c r="AT69" s="959">
        <v>0.12484757994276471</v>
      </c>
      <c r="AU69" s="959">
        <v>0.22246678298215006</v>
      </c>
      <c r="AV69" s="959">
        <v>-3.4504354049862816E-2</v>
      </c>
      <c r="AW69" s="959">
        <v>0.18093695830672385</v>
      </c>
      <c r="AX69" s="959">
        <v>0.22764593020240956</v>
      </c>
      <c r="AY69" s="1036">
        <v>0.19756531957475718</v>
      </c>
      <c r="AZ69" s="1036">
        <v>0.21299999999999997</v>
      </c>
      <c r="BA69" s="1036">
        <v>0.23299999999999998</v>
      </c>
      <c r="BB69" s="1036">
        <v>0.249</v>
      </c>
      <c r="BC69" s="1036">
        <v>0.27100000000000002</v>
      </c>
      <c r="BD69" s="1036">
        <v>0.27100000000000002</v>
      </c>
      <c r="BE69" s="1036">
        <v>0.25700000000000001</v>
      </c>
      <c r="BF69" s="1036">
        <v>0.23599999999999999</v>
      </c>
      <c r="BG69" s="1208"/>
      <c r="BH69" s="959">
        <v>0.16323344398466039</v>
      </c>
      <c r="BI69" s="959">
        <v>0.15540761346603107</v>
      </c>
      <c r="BJ69" s="1805">
        <v>0.7825830518629312</v>
      </c>
      <c r="BK69" s="959"/>
      <c r="BL69" s="1208"/>
      <c r="BM69" s="959">
        <v>0.16323344398466039</v>
      </c>
      <c r="BN69" s="959">
        <v>0.15540761346603107</v>
      </c>
      <c r="BO69" s="959">
        <v>0.11054954681761515</v>
      </c>
      <c r="BP69" s="959">
        <v>6.6476860244882724E-2</v>
      </c>
      <c r="BQ69" s="959">
        <v>5.7678663956315518E-2</v>
      </c>
      <c r="BR69" s="959">
        <v>2.017532896498777E-3</v>
      </c>
      <c r="BS69" s="959">
        <v>-5.745384522390895E-2</v>
      </c>
      <c r="BT69" s="959">
        <v>1.8700170092773315E-2</v>
      </c>
      <c r="BU69" s="929">
        <v>0.20912340323279655</v>
      </c>
      <c r="BV69" s="929" t="e">
        <v>#REF!</v>
      </c>
      <c r="BW69" s="929" t="e">
        <v>#REF!</v>
      </c>
      <c r="BX69" s="923">
        <v>0.22520642082150871</v>
      </c>
      <c r="BY69" s="923">
        <v>0.25900000000000001</v>
      </c>
      <c r="BZ69" s="2022">
        <v>0.27200000000000002</v>
      </c>
      <c r="CA69" s="2022">
        <v>0.28400000000000003</v>
      </c>
      <c r="CB69" s="2022">
        <v>0.32599999999999996</v>
      </c>
      <c r="CC69" s="1153"/>
    </row>
    <row r="70" spans="1:81" ht="12.75" customHeight="1" x14ac:dyDescent="0.2">
      <c r="A70" s="1193"/>
      <c r="B70" s="1203"/>
      <c r="C70" s="1805"/>
      <c r="D70" s="959"/>
      <c r="E70" s="929"/>
      <c r="F70" s="929"/>
      <c r="G70" s="929"/>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K70" s="959"/>
      <c r="AL70" s="959"/>
      <c r="AM70" s="959"/>
      <c r="AN70" s="959"/>
      <c r="AO70" s="959"/>
      <c r="AP70" s="959"/>
      <c r="AQ70" s="959"/>
      <c r="AR70" s="959"/>
      <c r="AS70" s="959"/>
      <c r="AT70" s="959"/>
      <c r="AU70" s="959"/>
      <c r="AV70" s="959"/>
      <c r="AW70" s="959"/>
      <c r="AX70" s="959"/>
      <c r="AY70" s="1036"/>
      <c r="AZ70" s="1036"/>
      <c r="BA70" s="1036"/>
      <c r="BB70" s="1036"/>
      <c r="BC70" s="1036"/>
      <c r="BD70" s="1036"/>
      <c r="BE70" s="1036"/>
      <c r="BF70" s="1036"/>
      <c r="BG70" s="1208"/>
      <c r="BH70" s="1208"/>
      <c r="BI70" s="1208"/>
      <c r="BJ70" s="1805"/>
      <c r="BK70" s="959"/>
      <c r="BL70" s="1208"/>
      <c r="BM70" s="1036"/>
      <c r="BN70" s="1036"/>
      <c r="BO70" s="1036"/>
      <c r="BP70" s="1036"/>
      <c r="BQ70" s="1036"/>
      <c r="BR70" s="1036"/>
      <c r="BS70" s="1036"/>
      <c r="BT70" s="1036"/>
      <c r="BU70" s="923"/>
      <c r="BV70" s="923"/>
      <c r="BW70" s="923"/>
      <c r="BX70" s="923"/>
      <c r="BY70" s="923"/>
      <c r="BZ70" s="2022"/>
      <c r="CA70" s="2022"/>
      <c r="CB70" s="2022"/>
      <c r="CC70" s="1153"/>
    </row>
    <row r="71" spans="1:81" ht="12.75" customHeight="1" x14ac:dyDescent="0.2">
      <c r="A71" s="1349" t="s">
        <v>194</v>
      </c>
      <c r="B71" s="1203"/>
      <c r="C71" s="1208"/>
      <c r="D71" s="1208"/>
      <c r="E71" s="1153"/>
      <c r="F71" s="900"/>
      <c r="G71" s="900"/>
      <c r="H71" s="1208"/>
      <c r="I71" s="1208"/>
      <c r="J71" s="1208"/>
      <c r="K71" s="946"/>
      <c r="L71" s="946"/>
      <c r="M71" s="1208"/>
      <c r="N71" s="1208"/>
      <c r="O71" s="1208"/>
      <c r="P71" s="1208"/>
      <c r="Q71" s="1208"/>
      <c r="R71" s="1208"/>
      <c r="S71" s="1208"/>
      <c r="T71" s="1208"/>
      <c r="U71" s="1208"/>
      <c r="V71" s="1208"/>
      <c r="W71" s="1208"/>
      <c r="X71" s="1208"/>
      <c r="Y71" s="1208"/>
      <c r="Z71" s="1208"/>
      <c r="AA71" s="1208"/>
      <c r="AB71" s="1208"/>
      <c r="AC71" s="1208"/>
      <c r="AD71" s="1208"/>
      <c r="AE71" s="1208"/>
      <c r="AF71" s="1208"/>
      <c r="AG71" s="1208"/>
      <c r="AH71" s="1208"/>
      <c r="AI71" s="1208"/>
      <c r="AJ71" s="1208"/>
      <c r="AK71" s="1208"/>
      <c r="AL71" s="1208"/>
      <c r="AM71" s="1208"/>
      <c r="AN71" s="1208"/>
      <c r="AO71" s="1208"/>
      <c r="AP71" s="1208"/>
      <c r="AQ71" s="1208"/>
      <c r="AR71" s="1208"/>
      <c r="AS71" s="1208"/>
      <c r="AT71" s="1208"/>
      <c r="AU71" s="1208"/>
      <c r="AV71" s="1208"/>
      <c r="AW71" s="1208"/>
      <c r="AX71" s="1208"/>
      <c r="AY71" s="1208"/>
      <c r="AZ71" s="1208"/>
      <c r="BA71" s="1208"/>
      <c r="BB71" s="946"/>
      <c r="BC71" s="1208"/>
      <c r="BD71" s="946"/>
      <c r="BE71" s="946"/>
      <c r="BF71" s="1208"/>
      <c r="BG71" s="1208"/>
      <c r="BH71" s="1208"/>
      <c r="BI71" s="1208"/>
      <c r="BJ71" s="1208"/>
      <c r="BK71" s="1208"/>
      <c r="BL71" s="1208"/>
      <c r="BM71" s="1208"/>
      <c r="BN71" s="1208"/>
      <c r="BO71" s="1208"/>
      <c r="BP71" s="1208"/>
      <c r="BQ71" s="1208"/>
      <c r="BR71" s="1208"/>
      <c r="BS71" s="1208"/>
      <c r="BT71" s="1208"/>
      <c r="BU71" s="1153"/>
      <c r="BV71" s="1153"/>
      <c r="BW71" s="1153"/>
      <c r="BX71" s="1153"/>
      <c r="BY71" s="1153"/>
      <c r="BZ71" s="914"/>
      <c r="CA71" s="2022"/>
      <c r="CB71" s="2022"/>
      <c r="CC71" s="1153"/>
    </row>
    <row r="72" spans="1:81" ht="12.75" customHeight="1" x14ac:dyDescent="0.2">
      <c r="C72" s="3073" t="s">
        <v>671</v>
      </c>
      <c r="D72" s="3074"/>
      <c r="E72" s="901"/>
      <c r="F72" s="2958"/>
      <c r="G72" s="902"/>
      <c r="H72" s="982"/>
      <c r="I72" s="982"/>
      <c r="J72" s="1218"/>
      <c r="K72" s="982"/>
      <c r="L72" s="982"/>
      <c r="M72" s="982"/>
      <c r="N72" s="1218"/>
      <c r="O72" s="982"/>
      <c r="P72" s="982"/>
      <c r="Q72" s="982"/>
      <c r="R72" s="1218"/>
      <c r="S72" s="982"/>
      <c r="T72" s="982"/>
      <c r="U72" s="982"/>
      <c r="V72" s="1218"/>
      <c r="W72" s="982"/>
      <c r="X72" s="982"/>
      <c r="Y72" s="982"/>
      <c r="Z72" s="1218"/>
      <c r="AA72" s="982"/>
      <c r="AB72" s="982"/>
      <c r="AC72" s="982"/>
      <c r="AD72" s="1218"/>
      <c r="AE72" s="982"/>
      <c r="AF72" s="982"/>
      <c r="AG72" s="982"/>
      <c r="AH72" s="1218"/>
      <c r="AI72" s="1219"/>
      <c r="AJ72" s="1220"/>
      <c r="AK72" s="982"/>
      <c r="AL72" s="1218"/>
      <c r="AM72" s="1219"/>
      <c r="AN72" s="1220"/>
      <c r="AO72" s="982"/>
      <c r="AP72" s="1218"/>
      <c r="AR72" s="1220"/>
      <c r="AS72" s="941"/>
      <c r="AT72" s="1218"/>
      <c r="AU72" s="1220"/>
      <c r="AW72" s="982"/>
      <c r="AX72" s="1218"/>
      <c r="AY72" s="1220"/>
      <c r="AZ72" s="1220"/>
      <c r="BA72" s="1220"/>
      <c r="BB72" s="1220"/>
      <c r="BC72" s="1221"/>
      <c r="BD72" s="1218"/>
      <c r="BE72" s="1218"/>
      <c r="BF72" s="1218"/>
      <c r="BG72" s="1222"/>
      <c r="BH72" s="987" t="s">
        <v>660</v>
      </c>
      <c r="BI72" s="988"/>
      <c r="BJ72" s="988" t="s">
        <v>563</v>
      </c>
      <c r="BK72" s="989"/>
      <c r="BL72" s="1208"/>
      <c r="BM72" s="991"/>
      <c r="BN72" s="991"/>
      <c r="BO72" s="991"/>
      <c r="BP72" s="991"/>
      <c r="BQ72" s="991"/>
      <c r="BR72" s="991"/>
      <c r="BS72" s="991"/>
      <c r="BT72" s="991"/>
      <c r="BU72" s="1992"/>
      <c r="BV72" s="1992"/>
      <c r="BW72" s="1992"/>
      <c r="BX72" s="2052"/>
      <c r="BY72" s="2053"/>
      <c r="BZ72" s="1992"/>
      <c r="CA72" s="2022"/>
      <c r="CB72" s="2022"/>
      <c r="CC72" s="1999"/>
    </row>
    <row r="73" spans="1:81" ht="12.75" customHeight="1" x14ac:dyDescent="0.2">
      <c r="C73" s="3075" t="s">
        <v>38</v>
      </c>
      <c r="D73" s="3077"/>
      <c r="E73" s="1801"/>
      <c r="F73" s="2968" t="s">
        <v>670</v>
      </c>
      <c r="G73" s="907" t="s">
        <v>558</v>
      </c>
      <c r="H73" s="992" t="s">
        <v>559</v>
      </c>
      <c r="I73" s="992" t="s">
        <v>560</v>
      </c>
      <c r="J73" s="993" t="s">
        <v>561</v>
      </c>
      <c r="K73" s="992" t="s">
        <v>508</v>
      </c>
      <c r="L73" s="992" t="s">
        <v>507</v>
      </c>
      <c r="M73" s="992" t="s">
        <v>506</v>
      </c>
      <c r="N73" s="993" t="s">
        <v>505</v>
      </c>
      <c r="O73" s="992" t="s">
        <v>382</v>
      </c>
      <c r="P73" s="992" t="s">
        <v>383</v>
      </c>
      <c r="Q73" s="992" t="s">
        <v>384</v>
      </c>
      <c r="R73" s="993" t="s">
        <v>385</v>
      </c>
      <c r="S73" s="992" t="s">
        <v>368</v>
      </c>
      <c r="T73" s="992" t="s">
        <v>367</v>
      </c>
      <c r="U73" s="992" t="s">
        <v>366</v>
      </c>
      <c r="V73" s="993" t="s">
        <v>364</v>
      </c>
      <c r="W73" s="992" t="s">
        <v>348</v>
      </c>
      <c r="X73" s="992" t="s">
        <v>349</v>
      </c>
      <c r="Y73" s="992" t="s">
        <v>350</v>
      </c>
      <c r="Z73" s="993" t="s">
        <v>351</v>
      </c>
      <c r="AA73" s="992" t="s">
        <v>315</v>
      </c>
      <c r="AB73" s="992" t="s">
        <v>314</v>
      </c>
      <c r="AC73" s="992" t="s">
        <v>313</v>
      </c>
      <c r="AD73" s="993" t="s">
        <v>311</v>
      </c>
      <c r="AE73" s="992" t="s">
        <v>270</v>
      </c>
      <c r="AF73" s="992" t="s">
        <v>271</v>
      </c>
      <c r="AG73" s="992" t="s">
        <v>272</v>
      </c>
      <c r="AH73" s="993" t="s">
        <v>273</v>
      </c>
      <c r="AI73" s="994" t="s">
        <v>223</v>
      </c>
      <c r="AJ73" s="992" t="s">
        <v>224</v>
      </c>
      <c r="AK73" s="992" t="s">
        <v>225</v>
      </c>
      <c r="AL73" s="993" t="s">
        <v>222</v>
      </c>
      <c r="AM73" s="994" t="s">
        <v>189</v>
      </c>
      <c r="AN73" s="992" t="s">
        <v>190</v>
      </c>
      <c r="AO73" s="992" t="s">
        <v>191</v>
      </c>
      <c r="AP73" s="993" t="s">
        <v>192</v>
      </c>
      <c r="AQ73" s="992" t="s">
        <v>121</v>
      </c>
      <c r="AR73" s="992" t="s">
        <v>120</v>
      </c>
      <c r="AS73" s="992" t="s">
        <v>119</v>
      </c>
      <c r="AT73" s="993" t="s">
        <v>118</v>
      </c>
      <c r="AU73" s="992" t="s">
        <v>81</v>
      </c>
      <c r="AV73" s="992" t="s">
        <v>82</v>
      </c>
      <c r="AW73" s="992" t="s">
        <v>83</v>
      </c>
      <c r="AX73" s="993" t="s">
        <v>29</v>
      </c>
      <c r="AY73" s="992" t="s">
        <v>30</v>
      </c>
      <c r="AZ73" s="992" t="s">
        <v>31</v>
      </c>
      <c r="BA73" s="992" t="s">
        <v>32</v>
      </c>
      <c r="BB73" s="992" t="s">
        <v>33</v>
      </c>
      <c r="BC73" s="995" t="s">
        <v>34</v>
      </c>
      <c r="BD73" s="993" t="s">
        <v>35</v>
      </c>
      <c r="BE73" s="993" t="s">
        <v>36</v>
      </c>
      <c r="BF73" s="993" t="s">
        <v>37</v>
      </c>
      <c r="BG73" s="996"/>
      <c r="BH73" s="992" t="s">
        <v>558</v>
      </c>
      <c r="BI73" s="992" t="s">
        <v>508</v>
      </c>
      <c r="BJ73" s="3194" t="s">
        <v>38</v>
      </c>
      <c r="BK73" s="3076"/>
      <c r="BL73" s="1208"/>
      <c r="BM73" s="994" t="s">
        <v>562</v>
      </c>
      <c r="BN73" s="994" t="s">
        <v>509</v>
      </c>
      <c r="BO73" s="994" t="s">
        <v>502</v>
      </c>
      <c r="BP73" s="994" t="s">
        <v>379</v>
      </c>
      <c r="BQ73" s="994" t="s">
        <v>360</v>
      </c>
      <c r="BR73" s="994" t="s">
        <v>317</v>
      </c>
      <c r="BS73" s="994" t="s">
        <v>275</v>
      </c>
      <c r="BT73" s="994" t="s">
        <v>227</v>
      </c>
      <c r="BU73" s="1948" t="s">
        <v>123</v>
      </c>
      <c r="BV73" s="1948" t="s">
        <v>122</v>
      </c>
      <c r="BW73" s="1948" t="s">
        <v>42</v>
      </c>
      <c r="BX73" s="1948" t="s">
        <v>39</v>
      </c>
      <c r="BY73" s="1993" t="s">
        <v>40</v>
      </c>
      <c r="BZ73" s="1993" t="s">
        <v>142</v>
      </c>
      <c r="CA73" s="2022"/>
      <c r="CB73" s="2022"/>
      <c r="CC73" s="1999"/>
    </row>
    <row r="74" spans="1:81" ht="12.75" customHeight="1" x14ac:dyDescent="0.2">
      <c r="A74" s="1193"/>
      <c r="B74" s="946" t="s">
        <v>300</v>
      </c>
      <c r="C74" s="957">
        <v>9661</v>
      </c>
      <c r="D74" s="1035">
        <v>0.1003500462227208</v>
      </c>
      <c r="E74" s="1147"/>
      <c r="F74" s="2010">
        <v>105934</v>
      </c>
      <c r="G74" s="1169">
        <v>96422</v>
      </c>
      <c r="H74" s="1269">
        <v>93717</v>
      </c>
      <c r="I74" s="1269">
        <v>94552</v>
      </c>
      <c r="J74" s="1245">
        <v>96273</v>
      </c>
      <c r="K74" s="1269">
        <v>94390</v>
      </c>
      <c r="L74" s="1269">
        <v>89157</v>
      </c>
      <c r="M74" s="1269">
        <v>60089</v>
      </c>
      <c r="N74" s="1245">
        <v>63180</v>
      </c>
      <c r="O74" s="1262">
        <v>59943</v>
      </c>
      <c r="P74" s="1262">
        <v>57055</v>
      </c>
      <c r="Q74" s="1269">
        <v>54463</v>
      </c>
      <c r="R74" s="1245">
        <v>54746</v>
      </c>
      <c r="S74" s="1262">
        <v>55282</v>
      </c>
      <c r="T74" s="1262">
        <v>55292</v>
      </c>
      <c r="U74" s="1269">
        <v>53545</v>
      </c>
      <c r="V74" s="1245">
        <v>56318</v>
      </c>
      <c r="W74" s="1262">
        <v>23865</v>
      </c>
      <c r="X74" s="1262">
        <v>22098</v>
      </c>
      <c r="Y74" s="1269">
        <v>23441</v>
      </c>
      <c r="Z74" s="1245">
        <v>24224</v>
      </c>
      <c r="AA74" s="1262">
        <v>23606</v>
      </c>
      <c r="AB74" s="1262">
        <v>21276</v>
      </c>
      <c r="AC74" s="1269">
        <v>19001</v>
      </c>
      <c r="AD74" s="1245">
        <v>21312</v>
      </c>
      <c r="AE74" s="1269">
        <v>22467</v>
      </c>
      <c r="AF74" s="1269">
        <v>24460</v>
      </c>
      <c r="AG74" s="1269">
        <v>26063</v>
      </c>
      <c r="AH74" s="1245">
        <v>27328</v>
      </c>
      <c r="AI74" s="1269">
        <v>36033</v>
      </c>
      <c r="AJ74" s="1269">
        <v>31389</v>
      </c>
      <c r="AK74" s="1269">
        <v>34266</v>
      </c>
      <c r="AL74" s="1272">
        <v>38087</v>
      </c>
      <c r="AM74" s="1262">
        <v>46851</v>
      </c>
      <c r="AN74" s="1262">
        <v>45775</v>
      </c>
      <c r="AO74" s="1262">
        <v>32880</v>
      </c>
      <c r="AP74" s="1272">
        <v>34953</v>
      </c>
      <c r="AQ74" s="1262">
        <v>38197</v>
      </c>
      <c r="AR74" s="1262">
        <v>34040</v>
      </c>
      <c r="AS74" s="1262">
        <v>30370</v>
      </c>
      <c r="AT74" s="1272">
        <v>29756</v>
      </c>
      <c r="AU74" s="1462">
        <v>24593</v>
      </c>
      <c r="AV74" s="1295">
        <v>27916</v>
      </c>
      <c r="AW74" s="1294">
        <v>32886</v>
      </c>
      <c r="AX74" s="1272">
        <v>42504</v>
      </c>
      <c r="AY74" s="1454">
        <v>29584</v>
      </c>
      <c r="AZ74" s="1208"/>
      <c r="BA74" s="1208"/>
      <c r="BB74" s="946"/>
      <c r="BC74" s="1208"/>
      <c r="BD74" s="946"/>
      <c r="BE74" s="946"/>
      <c r="BF74" s="1208"/>
      <c r="BG74" s="1229"/>
      <c r="BH74" s="1246">
        <v>380964</v>
      </c>
      <c r="BI74" s="1246">
        <v>306816</v>
      </c>
      <c r="BJ74" s="1269">
        <v>74148</v>
      </c>
      <c r="BK74" s="1299">
        <v>0.24166927409261577</v>
      </c>
      <c r="BL74" s="1208"/>
      <c r="BM74" s="1751">
        <v>380964</v>
      </c>
      <c r="BN74" s="1751">
        <v>306816</v>
      </c>
      <c r="BO74" s="1751">
        <v>226207</v>
      </c>
      <c r="BP74" s="1751">
        <v>220437</v>
      </c>
      <c r="BQ74" s="1751">
        <v>214902</v>
      </c>
      <c r="BR74" s="1751">
        <v>194406</v>
      </c>
      <c r="BS74" s="1273">
        <v>190025</v>
      </c>
      <c r="BT74" s="1273">
        <v>139775</v>
      </c>
      <c r="BU74" s="2016">
        <v>160459</v>
      </c>
      <c r="BV74" s="2016">
        <v>132363</v>
      </c>
      <c r="BW74" s="2016">
        <v>127899</v>
      </c>
      <c r="BX74" s="2034">
        <v>170684</v>
      </c>
      <c r="BY74" s="2054">
        <v>177862</v>
      </c>
      <c r="BZ74" s="2024">
        <v>150224</v>
      </c>
      <c r="CA74" s="2022"/>
      <c r="CB74" s="2022"/>
      <c r="CC74" s="1999"/>
    </row>
    <row r="75" spans="1:81" ht="12.75" customHeight="1" x14ac:dyDescent="0.2">
      <c r="A75" s="1193"/>
      <c r="B75" s="946" t="s">
        <v>60</v>
      </c>
      <c r="C75" s="957">
        <v>4788</v>
      </c>
      <c r="D75" s="1035">
        <v>0.4547440402697312</v>
      </c>
      <c r="E75" s="1147"/>
      <c r="F75" s="2010">
        <v>15317</v>
      </c>
      <c r="G75" s="1169">
        <v>13018</v>
      </c>
      <c r="H75" s="1269">
        <v>14579</v>
      </c>
      <c r="I75" s="1269">
        <v>12400</v>
      </c>
      <c r="J75" s="1245">
        <v>10529</v>
      </c>
      <c r="K75" s="1269">
        <v>16705</v>
      </c>
      <c r="L75" s="1269">
        <v>16431</v>
      </c>
      <c r="M75" s="1269">
        <v>5964</v>
      </c>
      <c r="N75" s="1245">
        <v>8275</v>
      </c>
      <c r="O75" s="1262">
        <v>9802</v>
      </c>
      <c r="P75" s="1262">
        <v>7189</v>
      </c>
      <c r="Q75" s="1269">
        <v>5672</v>
      </c>
      <c r="R75" s="1245">
        <v>4546</v>
      </c>
      <c r="S75" s="1262">
        <v>1846</v>
      </c>
      <c r="T75" s="1262">
        <v>2130</v>
      </c>
      <c r="U75" s="1269">
        <v>2673</v>
      </c>
      <c r="V75" s="1245">
        <v>4989</v>
      </c>
      <c r="W75" s="1262">
        <v>6020</v>
      </c>
      <c r="X75" s="1262">
        <v>3461</v>
      </c>
      <c r="Y75" s="1269">
        <v>5562</v>
      </c>
      <c r="Z75" s="1245">
        <v>5812</v>
      </c>
      <c r="AA75" s="1262">
        <v>5669</v>
      </c>
      <c r="AB75" s="1262">
        <v>3868</v>
      </c>
      <c r="AC75" s="1269">
        <v>3124</v>
      </c>
      <c r="AD75" s="1245">
        <v>3031</v>
      </c>
      <c r="AE75" s="1269">
        <v>5593</v>
      </c>
      <c r="AF75" s="1269">
        <v>6233</v>
      </c>
      <c r="AG75" s="1269">
        <v>6520</v>
      </c>
      <c r="AH75" s="1245">
        <v>5567</v>
      </c>
      <c r="AI75" s="1269">
        <v>10998</v>
      </c>
      <c r="AJ75" s="1269">
        <v>8459</v>
      </c>
      <c r="AK75" s="1269">
        <v>8442</v>
      </c>
      <c r="AL75" s="1272">
        <v>11661</v>
      </c>
      <c r="AM75" s="1262">
        <v>19176</v>
      </c>
      <c r="AN75" s="1262">
        <v>18914</v>
      </c>
      <c r="AO75" s="1262">
        <v>8124</v>
      </c>
      <c r="AP75" s="1272">
        <v>9445</v>
      </c>
      <c r="AQ75" s="1262">
        <v>10808</v>
      </c>
      <c r="AR75" s="1262">
        <v>10384</v>
      </c>
      <c r="AS75" s="1262">
        <v>6254</v>
      </c>
      <c r="AT75" s="1272">
        <v>5954</v>
      </c>
      <c r="AU75" s="1462">
        <v>5426</v>
      </c>
      <c r="AV75" s="1262">
        <v>1798</v>
      </c>
      <c r="AW75" s="1272">
        <v>5110</v>
      </c>
      <c r="AX75" s="1272">
        <v>8533</v>
      </c>
      <c r="AY75" s="1454">
        <v>68274</v>
      </c>
      <c r="AZ75" s="1208"/>
      <c r="BA75" s="1208"/>
      <c r="BB75" s="946"/>
      <c r="BC75" s="1208"/>
      <c r="BD75" s="946"/>
      <c r="BE75" s="946"/>
      <c r="BF75" s="1208"/>
      <c r="BG75" s="1229"/>
      <c r="BH75" s="1246">
        <v>50526</v>
      </c>
      <c r="BI75" s="1246">
        <v>47375</v>
      </c>
      <c r="BJ75" s="1246">
        <v>3151</v>
      </c>
      <c r="BK75" s="1299">
        <v>6.6511873350923484E-2</v>
      </c>
      <c r="BL75" s="1208"/>
      <c r="BM75" s="1751">
        <v>50526</v>
      </c>
      <c r="BN75" s="1751">
        <v>47375</v>
      </c>
      <c r="BO75" s="1751">
        <v>27209</v>
      </c>
      <c r="BP75" s="1751">
        <v>11638</v>
      </c>
      <c r="BQ75" s="1751">
        <v>20980</v>
      </c>
      <c r="BR75" s="1751">
        <v>16000</v>
      </c>
      <c r="BS75" s="1273">
        <v>24367</v>
      </c>
      <c r="BT75" s="1273">
        <v>39560</v>
      </c>
      <c r="BU75" s="2016">
        <v>55659</v>
      </c>
      <c r="BV75" s="2016">
        <v>33400</v>
      </c>
      <c r="BW75" s="2016">
        <v>20867</v>
      </c>
      <c r="BX75" s="2013">
        <v>49804</v>
      </c>
      <c r="BY75" s="2002">
        <v>62132</v>
      </c>
      <c r="BZ75" s="2003">
        <v>49772</v>
      </c>
      <c r="CA75" s="2022"/>
      <c r="CB75" s="2022"/>
      <c r="CC75" s="1999"/>
    </row>
    <row r="76" spans="1:81" ht="12.75" customHeight="1" x14ac:dyDescent="0.2">
      <c r="A76" s="1193"/>
      <c r="B76" s="946" t="s">
        <v>208</v>
      </c>
      <c r="C76" s="957">
        <v>69</v>
      </c>
      <c r="D76" s="1035">
        <v>0.25274725274725274</v>
      </c>
      <c r="E76" s="1147"/>
      <c r="F76" s="2010">
        <v>342</v>
      </c>
      <c r="G76" s="1169">
        <v>82</v>
      </c>
      <c r="H76" s="1269">
        <v>649</v>
      </c>
      <c r="I76" s="1269">
        <v>480</v>
      </c>
      <c r="J76" s="1245">
        <v>273</v>
      </c>
      <c r="K76" s="1269">
        <v>0</v>
      </c>
      <c r="L76" s="1269">
        <v>-140</v>
      </c>
      <c r="M76" s="1269">
        <v>140</v>
      </c>
      <c r="N76" s="1245">
        <v>0</v>
      </c>
      <c r="O76" s="1077">
        <v>0</v>
      </c>
      <c r="P76" s="1077">
        <v>0</v>
      </c>
      <c r="Q76" s="1269">
        <v>231</v>
      </c>
      <c r="R76" s="1245">
        <v>235</v>
      </c>
      <c r="S76" s="1077">
        <v>0</v>
      </c>
      <c r="T76" s="1262">
        <v>8</v>
      </c>
      <c r="U76" s="1269">
        <v>0</v>
      </c>
      <c r="V76" s="1245">
        <v>0</v>
      </c>
      <c r="W76" s="1262">
        <v>3</v>
      </c>
      <c r="X76" s="1262">
        <v>30</v>
      </c>
      <c r="Y76" s="1269">
        <v>54</v>
      </c>
      <c r="Z76" s="1245">
        <v>0</v>
      </c>
      <c r="AA76" s="1262">
        <v>0</v>
      </c>
      <c r="AB76" s="1262">
        <v>211</v>
      </c>
      <c r="AC76" s="1269">
        <v>18</v>
      </c>
      <c r="AD76" s="1245">
        <v>0</v>
      </c>
      <c r="AE76" s="1269">
        <v>11</v>
      </c>
      <c r="AF76" s="1269">
        <v>7</v>
      </c>
      <c r="AG76" s="1269">
        <v>12</v>
      </c>
      <c r="AH76" s="1245">
        <v>438</v>
      </c>
      <c r="AI76" s="1246">
        <v>36</v>
      </c>
      <c r="AJ76" s="1246">
        <v>0</v>
      </c>
      <c r="AK76" s="1269">
        <v>3</v>
      </c>
      <c r="AL76" s="1233">
        <v>0</v>
      </c>
      <c r="AM76" s="1236">
        <v>0</v>
      </c>
      <c r="AN76" s="1236">
        <v>50</v>
      </c>
      <c r="AO76" s="1262">
        <v>250</v>
      </c>
      <c r="AP76" s="1233">
        <v>70</v>
      </c>
      <c r="AQ76" s="1236">
        <v>0</v>
      </c>
      <c r="AR76" s="1236">
        <v>0</v>
      </c>
      <c r="AS76" s="1236">
        <v>0</v>
      </c>
      <c r="AT76" s="1233">
        <v>0</v>
      </c>
      <c r="AU76" s="1236">
        <v>0</v>
      </c>
      <c r="AV76" s="1236">
        <v>0</v>
      </c>
      <c r="AW76" s="1233">
        <v>0</v>
      </c>
      <c r="AX76" s="1233">
        <v>0</v>
      </c>
      <c r="AY76" s="1236">
        <v>0</v>
      </c>
      <c r="AZ76" s="1236"/>
      <c r="BA76" s="1236"/>
      <c r="BB76" s="1236"/>
      <c r="BC76" s="1236"/>
      <c r="BD76" s="1236"/>
      <c r="BE76" s="1236"/>
      <c r="BF76" s="1236"/>
      <c r="BG76" s="1234"/>
      <c r="BH76" s="1246">
        <v>1484</v>
      </c>
      <c r="BI76" s="1246">
        <v>0</v>
      </c>
      <c r="BJ76" s="1246">
        <v>1484</v>
      </c>
      <c r="BK76" s="1300" t="s">
        <v>41</v>
      </c>
      <c r="BL76" s="1236"/>
      <c r="BM76" s="1751">
        <v>1484</v>
      </c>
      <c r="BN76" s="1751">
        <v>0</v>
      </c>
      <c r="BO76" s="1751">
        <v>466</v>
      </c>
      <c r="BP76" s="1751">
        <v>8</v>
      </c>
      <c r="BQ76" s="1751">
        <v>87</v>
      </c>
      <c r="BR76" s="1751">
        <v>229</v>
      </c>
      <c r="BS76" s="1273">
        <v>468</v>
      </c>
      <c r="BT76" s="1234">
        <v>39</v>
      </c>
      <c r="BU76" s="2001">
        <v>370</v>
      </c>
      <c r="BV76" s="2001">
        <v>0</v>
      </c>
      <c r="BW76" s="1157">
        <v>0</v>
      </c>
      <c r="BX76" s="2001">
        <v>0</v>
      </c>
      <c r="BY76" s="2001">
        <v>0</v>
      </c>
      <c r="BZ76" s="2001">
        <v>0</v>
      </c>
      <c r="CA76" s="2022"/>
      <c r="CB76" s="2022"/>
      <c r="CC76" s="1999"/>
    </row>
    <row r="77" spans="1:81" ht="12.75" customHeight="1" x14ac:dyDescent="0.2">
      <c r="A77" s="1193"/>
      <c r="B77" s="946" t="s">
        <v>61</v>
      </c>
      <c r="C77" s="957">
        <v>-17</v>
      </c>
      <c r="D77" s="1035">
        <v>-1.2142857142857142</v>
      </c>
      <c r="E77" s="1147"/>
      <c r="F77" s="2010">
        <v>-3</v>
      </c>
      <c r="G77" s="1169">
        <v>61</v>
      </c>
      <c r="H77" s="1269">
        <v>53</v>
      </c>
      <c r="I77" s="1269">
        <v>-28</v>
      </c>
      <c r="J77" s="1245">
        <v>14</v>
      </c>
      <c r="K77" s="1269">
        <v>24</v>
      </c>
      <c r="L77" s="1269">
        <v>23</v>
      </c>
      <c r="M77" s="1269">
        <v>102</v>
      </c>
      <c r="N77" s="1245">
        <v>52</v>
      </c>
      <c r="O77" s="1269">
        <v>114</v>
      </c>
      <c r="P77" s="1269">
        <v>100</v>
      </c>
      <c r="Q77" s="1269">
        <v>90</v>
      </c>
      <c r="R77" s="1245">
        <v>216</v>
      </c>
      <c r="S77" s="1269">
        <v>147</v>
      </c>
      <c r="T77" s="1269">
        <v>-64</v>
      </c>
      <c r="U77" s="1269">
        <v>74</v>
      </c>
      <c r="V77" s="1245">
        <v>82</v>
      </c>
      <c r="W77" s="1269">
        <v>106</v>
      </c>
      <c r="X77" s="1262">
        <v>64</v>
      </c>
      <c r="Y77" s="1269">
        <v>80</v>
      </c>
      <c r="Z77" s="1245">
        <v>11</v>
      </c>
      <c r="AA77" s="1269">
        <v>-200</v>
      </c>
      <c r="AB77" s="1262">
        <v>87</v>
      </c>
      <c r="AC77" s="1269">
        <v>124</v>
      </c>
      <c r="AD77" s="1245">
        <v>-345</v>
      </c>
      <c r="AE77" s="1269">
        <v>-94</v>
      </c>
      <c r="AF77" s="1269">
        <v>-61</v>
      </c>
      <c r="AG77" s="1269">
        <v>81</v>
      </c>
      <c r="AH77" s="1245">
        <v>-199</v>
      </c>
      <c r="AI77" s="1269">
        <v>-17</v>
      </c>
      <c r="AJ77" s="1269">
        <v>37</v>
      </c>
      <c r="AK77" s="1269">
        <v>47</v>
      </c>
      <c r="AL77" s="1272">
        <v>353</v>
      </c>
      <c r="AM77" s="1262">
        <v>714</v>
      </c>
      <c r="AN77" s="1262">
        <v>526</v>
      </c>
      <c r="AO77" s="1262">
        <v>321</v>
      </c>
      <c r="AP77" s="1272">
        <v>104</v>
      </c>
      <c r="AQ77" s="1262">
        <v>408</v>
      </c>
      <c r="AR77" s="1262">
        <v>4280</v>
      </c>
      <c r="AS77" s="1262">
        <v>850</v>
      </c>
      <c r="AT77" s="1272">
        <v>1696</v>
      </c>
      <c r="AU77" s="1462">
        <v>198</v>
      </c>
      <c r="AV77" s="1262">
        <v>-649</v>
      </c>
      <c r="AW77" s="1272">
        <v>-226</v>
      </c>
      <c r="AX77" s="1272">
        <v>548</v>
      </c>
      <c r="AY77" s="1454">
        <v>5363</v>
      </c>
      <c r="AZ77" s="1208"/>
      <c r="BA77" s="1208"/>
      <c r="BB77" s="946"/>
      <c r="BC77" s="1208"/>
      <c r="BD77" s="946"/>
      <c r="BE77" s="946"/>
      <c r="BF77" s="1208"/>
      <c r="BG77" s="1229"/>
      <c r="BH77" s="1246">
        <v>100</v>
      </c>
      <c r="BI77" s="1246">
        <v>201</v>
      </c>
      <c r="BJ77" s="1246">
        <v>-101</v>
      </c>
      <c r="BK77" s="1300">
        <v>-0.50248756218905477</v>
      </c>
      <c r="BL77" s="1208"/>
      <c r="BM77" s="1751">
        <v>100</v>
      </c>
      <c r="BN77" s="1751">
        <v>201</v>
      </c>
      <c r="BO77" s="1751">
        <v>520</v>
      </c>
      <c r="BP77" s="1751">
        <v>239</v>
      </c>
      <c r="BQ77" s="1751">
        <v>261</v>
      </c>
      <c r="BR77" s="1751">
        <v>-334</v>
      </c>
      <c r="BS77" s="1249">
        <v>-273</v>
      </c>
      <c r="BT77" s="1273">
        <v>420</v>
      </c>
      <c r="BU77" s="2016">
        <v>1665</v>
      </c>
      <c r="BV77" s="2016">
        <v>7234</v>
      </c>
      <c r="BW77" s="2006">
        <v>-129</v>
      </c>
      <c r="BX77" s="2013">
        <v>210</v>
      </c>
      <c r="BY77" s="2002">
        <v>4992</v>
      </c>
      <c r="BZ77" s="2003">
        <v>5670</v>
      </c>
      <c r="CA77" s="2022"/>
      <c r="CB77" s="2022"/>
      <c r="CC77" s="1999"/>
    </row>
    <row r="78" spans="1:81" ht="12.75" customHeight="1" x14ac:dyDescent="0.2">
      <c r="A78" s="1193"/>
      <c r="B78" s="946" t="s">
        <v>62</v>
      </c>
      <c r="C78" s="957">
        <v>2461</v>
      </c>
      <c r="D78" s="1035">
        <v>0.52495733788395904</v>
      </c>
      <c r="E78" s="1147"/>
      <c r="F78" s="2010">
        <v>7149</v>
      </c>
      <c r="G78" s="1169">
        <v>5823</v>
      </c>
      <c r="H78" s="1269">
        <v>5578</v>
      </c>
      <c r="I78" s="1269">
        <v>8047</v>
      </c>
      <c r="J78" s="1245">
        <v>4688</v>
      </c>
      <c r="K78" s="1269">
        <v>3847</v>
      </c>
      <c r="L78" s="1269">
        <v>3162</v>
      </c>
      <c r="M78" s="1269">
        <v>2632</v>
      </c>
      <c r="N78" s="1245">
        <v>2431</v>
      </c>
      <c r="O78" s="1262">
        <v>2337</v>
      </c>
      <c r="P78" s="1262">
        <v>2212</v>
      </c>
      <c r="Q78" s="1269">
        <v>2178</v>
      </c>
      <c r="R78" s="1245">
        <v>2154</v>
      </c>
      <c r="S78" s="1262">
        <v>1944</v>
      </c>
      <c r="T78" s="1262">
        <v>2330</v>
      </c>
      <c r="U78" s="1269">
        <v>2889</v>
      </c>
      <c r="V78" s="1245">
        <v>2741</v>
      </c>
      <c r="W78" s="1262">
        <v>2128</v>
      </c>
      <c r="X78" s="1262">
        <v>2296</v>
      </c>
      <c r="Y78" s="1269">
        <v>2238</v>
      </c>
      <c r="Z78" s="1245">
        <v>2068</v>
      </c>
      <c r="AA78" s="1262">
        <v>1890</v>
      </c>
      <c r="AB78" s="1262">
        <v>1840</v>
      </c>
      <c r="AC78" s="1269">
        <v>1802</v>
      </c>
      <c r="AD78" s="1245">
        <v>1939</v>
      </c>
      <c r="AE78" s="1269">
        <v>2260</v>
      </c>
      <c r="AF78" s="1269">
        <v>2506</v>
      </c>
      <c r="AG78" s="1269">
        <v>2765</v>
      </c>
      <c r="AH78" s="1245">
        <v>3176</v>
      </c>
      <c r="AI78" s="1269">
        <v>3237</v>
      </c>
      <c r="AJ78" s="1269">
        <v>3426</v>
      </c>
      <c r="AK78" s="1269">
        <v>3371</v>
      </c>
      <c r="AL78" s="1272">
        <v>3392</v>
      </c>
      <c r="AM78" s="1262">
        <v>3221</v>
      </c>
      <c r="AN78" s="1262">
        <v>2965</v>
      </c>
      <c r="AO78" s="1262">
        <v>2556</v>
      </c>
      <c r="AP78" s="1272">
        <v>2302</v>
      </c>
      <c r="AQ78" s="1262">
        <v>2191</v>
      </c>
      <c r="AR78" s="1262">
        <v>2171</v>
      </c>
      <c r="AS78" s="1262">
        <v>2224</v>
      </c>
      <c r="AT78" s="1272">
        <v>2325</v>
      </c>
      <c r="AU78" s="1462">
        <v>6358</v>
      </c>
      <c r="AV78" s="1262">
        <v>4010</v>
      </c>
      <c r="AW78" s="1272">
        <v>5644</v>
      </c>
      <c r="AX78" s="1272">
        <v>5891</v>
      </c>
      <c r="AY78" s="1454">
        <v>1512</v>
      </c>
      <c r="AZ78" s="1208"/>
      <c r="BA78" s="1208"/>
      <c r="BB78" s="946"/>
      <c r="BC78" s="1208"/>
      <c r="BD78" s="946"/>
      <c r="BE78" s="946"/>
      <c r="BF78" s="1208"/>
      <c r="BG78" s="1229"/>
      <c r="BH78" s="1246">
        <v>24136</v>
      </c>
      <c r="BI78" s="1246">
        <v>12072</v>
      </c>
      <c r="BJ78" s="1246">
        <v>12064</v>
      </c>
      <c r="BK78" s="1299">
        <v>0.99933730947647448</v>
      </c>
      <c r="BL78" s="1208"/>
      <c r="BM78" s="1751">
        <v>24136</v>
      </c>
      <c r="BN78" s="1751">
        <v>12072</v>
      </c>
      <c r="BO78" s="1751">
        <v>8881</v>
      </c>
      <c r="BP78" s="1751">
        <v>9904</v>
      </c>
      <c r="BQ78" s="1751">
        <v>10712</v>
      </c>
      <c r="BR78" s="1751">
        <v>9893</v>
      </c>
      <c r="BS78" s="1273">
        <v>12102</v>
      </c>
      <c r="BT78" s="1273">
        <v>13426</v>
      </c>
      <c r="BU78" s="2016">
        <v>11044</v>
      </c>
      <c r="BV78" s="2016">
        <v>8911</v>
      </c>
      <c r="BW78" s="2016">
        <v>21903</v>
      </c>
      <c r="BX78" s="2013">
        <v>27650</v>
      </c>
      <c r="BY78" s="2002">
        <v>26877</v>
      </c>
      <c r="BZ78" s="2003">
        <v>18354</v>
      </c>
      <c r="CA78" s="2022"/>
      <c r="CB78" s="2022"/>
      <c r="CC78" s="1999"/>
    </row>
    <row r="79" spans="1:81" ht="12.75" customHeight="1" x14ac:dyDescent="0.2">
      <c r="A79" s="1350"/>
      <c r="B79" s="946" t="s">
        <v>63</v>
      </c>
      <c r="C79" s="957">
        <v>203</v>
      </c>
      <c r="D79" s="1035">
        <v>0.25406758448060074</v>
      </c>
      <c r="E79" s="2854"/>
      <c r="F79" s="2962">
        <v>1002</v>
      </c>
      <c r="G79" s="1181">
        <v>1724</v>
      </c>
      <c r="H79" s="1304">
        <v>1403</v>
      </c>
      <c r="I79" s="1304">
        <v>675</v>
      </c>
      <c r="J79" s="1245">
        <v>799</v>
      </c>
      <c r="K79" s="1304">
        <v>1412</v>
      </c>
      <c r="L79" s="1304">
        <v>740</v>
      </c>
      <c r="M79" s="1304">
        <v>636</v>
      </c>
      <c r="N79" s="1245">
        <v>1013</v>
      </c>
      <c r="O79" s="1302">
        <v>1137</v>
      </c>
      <c r="P79" s="1302">
        <v>812</v>
      </c>
      <c r="Q79" s="1304">
        <v>1056</v>
      </c>
      <c r="R79" s="1245">
        <v>823</v>
      </c>
      <c r="S79" s="1302">
        <v>1215</v>
      </c>
      <c r="T79" s="1302">
        <v>960</v>
      </c>
      <c r="U79" s="1304">
        <v>1013</v>
      </c>
      <c r="V79" s="1245">
        <v>1153</v>
      </c>
      <c r="W79" s="1302">
        <v>957</v>
      </c>
      <c r="X79" s="1302">
        <v>318</v>
      </c>
      <c r="Y79" s="1304">
        <v>262</v>
      </c>
      <c r="Z79" s="1245">
        <v>241</v>
      </c>
      <c r="AA79" s="1302">
        <v>1051</v>
      </c>
      <c r="AB79" s="1302">
        <v>437</v>
      </c>
      <c r="AC79" s="1304">
        <v>344</v>
      </c>
      <c r="AD79" s="1245">
        <v>905</v>
      </c>
      <c r="AE79" s="1269">
        <v>1986</v>
      </c>
      <c r="AF79" s="1269">
        <v>1906</v>
      </c>
      <c r="AG79" s="1269">
        <v>373</v>
      </c>
      <c r="AH79" s="1245">
        <v>457</v>
      </c>
      <c r="AI79" s="1269">
        <v>2250</v>
      </c>
      <c r="AJ79" s="1269">
        <v>1260</v>
      </c>
      <c r="AK79" s="1304">
        <v>1283</v>
      </c>
      <c r="AL79" s="1301">
        <v>1290</v>
      </c>
      <c r="AM79" s="1262">
        <v>2742</v>
      </c>
      <c r="AN79" s="1262">
        <v>369</v>
      </c>
      <c r="AO79" s="1302">
        <v>408</v>
      </c>
      <c r="AP79" s="1301">
        <v>333</v>
      </c>
      <c r="AQ79" s="1262">
        <v>3386</v>
      </c>
      <c r="AR79" s="1262">
        <v>858</v>
      </c>
      <c r="AS79" s="1302">
        <v>440</v>
      </c>
      <c r="AT79" s="1301">
        <v>454</v>
      </c>
      <c r="AU79" s="1462">
        <v>680</v>
      </c>
      <c r="AV79" s="1302">
        <v>457</v>
      </c>
      <c r="AW79" s="1301">
        <v>430</v>
      </c>
      <c r="AX79" s="1301">
        <v>377</v>
      </c>
      <c r="AY79" s="1457">
        <v>60</v>
      </c>
      <c r="AZ79" s="990"/>
      <c r="BA79" s="990"/>
      <c r="BB79" s="990"/>
      <c r="BC79" s="990"/>
      <c r="BD79" s="990"/>
      <c r="BE79" s="990"/>
      <c r="BF79" s="990"/>
      <c r="BG79" s="1229"/>
      <c r="BH79" s="1246">
        <v>4601</v>
      </c>
      <c r="BI79" s="1246">
        <v>3801</v>
      </c>
      <c r="BJ79" s="1254">
        <v>800</v>
      </c>
      <c r="BK79" s="1354">
        <v>0.2104709287029729</v>
      </c>
      <c r="BL79" s="1193"/>
      <c r="BM79" s="1751">
        <v>4601</v>
      </c>
      <c r="BN79" s="1751">
        <v>3801</v>
      </c>
      <c r="BO79" s="1751">
        <v>3828</v>
      </c>
      <c r="BP79" s="1751">
        <v>4341</v>
      </c>
      <c r="BQ79" s="1751">
        <v>3948</v>
      </c>
      <c r="BR79" s="1751">
        <v>3842</v>
      </c>
      <c r="BS79" s="1273">
        <v>4923</v>
      </c>
      <c r="BT79" s="1461">
        <v>6083</v>
      </c>
      <c r="BU79" s="2056">
        <v>3852</v>
      </c>
      <c r="BV79" s="2056">
        <v>5138</v>
      </c>
      <c r="BW79" s="2056">
        <v>1944</v>
      </c>
      <c r="BX79" s="2055">
        <v>779</v>
      </c>
      <c r="BY79" s="2007">
        <v>756</v>
      </c>
      <c r="BZ79" s="2018">
        <v>1174</v>
      </c>
      <c r="CA79" s="2022"/>
      <c r="CB79" s="2022"/>
      <c r="CC79" s="1999"/>
    </row>
    <row r="80" spans="1:81" ht="12.75" customHeight="1" x14ac:dyDescent="0.2">
      <c r="A80" s="1350"/>
      <c r="B80" s="946"/>
      <c r="C80" s="1189">
        <v>17165</v>
      </c>
      <c r="D80" s="1190">
        <v>0.15247477259806708</v>
      </c>
      <c r="E80" s="1149"/>
      <c r="F80" s="2012">
        <v>129741</v>
      </c>
      <c r="G80" s="1172">
        <v>117130</v>
      </c>
      <c r="H80" s="1281">
        <v>115979</v>
      </c>
      <c r="I80" s="1281">
        <v>116126</v>
      </c>
      <c r="J80" s="1466">
        <v>112576</v>
      </c>
      <c r="K80" s="1276">
        <v>116378</v>
      </c>
      <c r="L80" s="1276">
        <v>109373</v>
      </c>
      <c r="M80" s="1281">
        <v>69563</v>
      </c>
      <c r="N80" s="1466">
        <v>74951</v>
      </c>
      <c r="O80" s="1281">
        <v>73333</v>
      </c>
      <c r="P80" s="1281">
        <v>67368</v>
      </c>
      <c r="Q80" s="1281">
        <v>63690</v>
      </c>
      <c r="R80" s="1466">
        <v>62720</v>
      </c>
      <c r="S80" s="1281">
        <v>60434</v>
      </c>
      <c r="T80" s="1281">
        <v>60656</v>
      </c>
      <c r="U80" s="1281">
        <v>60194</v>
      </c>
      <c r="V80" s="1466">
        <v>65283</v>
      </c>
      <c r="W80" s="1465">
        <v>33079</v>
      </c>
      <c r="X80" s="1465">
        <v>28267</v>
      </c>
      <c r="Y80" s="1281">
        <v>31637</v>
      </c>
      <c r="Z80" s="1466">
        <v>32356</v>
      </c>
      <c r="AA80" s="1465">
        <v>32016</v>
      </c>
      <c r="AB80" s="1465">
        <v>27719</v>
      </c>
      <c r="AC80" s="1281">
        <v>24413</v>
      </c>
      <c r="AD80" s="1782">
        <v>26842</v>
      </c>
      <c r="AE80" s="1281">
        <v>32223</v>
      </c>
      <c r="AF80" s="1281">
        <v>35051</v>
      </c>
      <c r="AG80" s="1281">
        <v>35814</v>
      </c>
      <c r="AH80" s="1782">
        <v>36767</v>
      </c>
      <c r="AI80" s="1281">
        <v>52537</v>
      </c>
      <c r="AJ80" s="1281">
        <v>44571</v>
      </c>
      <c r="AK80" s="1281">
        <v>47412</v>
      </c>
      <c r="AL80" s="1466">
        <v>54783</v>
      </c>
      <c r="AM80" s="1465">
        <v>72704</v>
      </c>
      <c r="AN80" s="1465">
        <v>68599</v>
      </c>
      <c r="AO80" s="1465">
        <v>44539</v>
      </c>
      <c r="AP80" s="1466">
        <v>47207</v>
      </c>
      <c r="AQ80" s="1465">
        <v>54990</v>
      </c>
      <c r="AR80" s="1465">
        <v>51733</v>
      </c>
      <c r="AS80" s="1465">
        <v>40138</v>
      </c>
      <c r="AT80" s="1466">
        <v>40185</v>
      </c>
      <c r="AU80" s="1467">
        <v>37255</v>
      </c>
      <c r="AV80" s="1465">
        <v>33532</v>
      </c>
      <c r="AW80" s="1466">
        <v>43844</v>
      </c>
      <c r="AX80" s="1466">
        <v>57853</v>
      </c>
      <c r="AY80" s="1466">
        <v>104793</v>
      </c>
      <c r="AZ80" s="941"/>
      <c r="BA80" s="941"/>
      <c r="BB80" s="941"/>
      <c r="BC80" s="941"/>
      <c r="BD80" s="941"/>
      <c r="BE80" s="941"/>
      <c r="BF80" s="941"/>
      <c r="BG80" s="1222"/>
      <c r="BH80" s="1465">
        <v>461811</v>
      </c>
      <c r="BI80" s="1465">
        <v>370265</v>
      </c>
      <c r="BJ80" s="1468">
        <v>91546</v>
      </c>
      <c r="BK80" s="1352">
        <v>0.24724454107193497</v>
      </c>
      <c r="BM80" s="2901">
        <v>461811</v>
      </c>
      <c r="BN80" s="1470">
        <v>370265</v>
      </c>
      <c r="BO80" s="1470">
        <v>267111</v>
      </c>
      <c r="BP80" s="1470">
        <v>246567</v>
      </c>
      <c r="BQ80" s="1467">
        <v>250890</v>
      </c>
      <c r="BR80" s="1467">
        <v>224036</v>
      </c>
      <c r="BS80" s="1467">
        <v>231612</v>
      </c>
      <c r="BT80" s="1467">
        <v>199303</v>
      </c>
      <c r="BU80" s="2057">
        <v>233049</v>
      </c>
      <c r="BV80" s="2057">
        <v>187046</v>
      </c>
      <c r="BW80" s="2059">
        <v>172484</v>
      </c>
      <c r="BX80" s="1336">
        <v>249127</v>
      </c>
      <c r="BY80" s="2059">
        <v>272619</v>
      </c>
      <c r="BZ80" s="2004">
        <v>225194</v>
      </c>
      <c r="CA80" s="2022"/>
      <c r="CB80" s="2022"/>
      <c r="CC80" s="1999"/>
    </row>
    <row r="81" spans="1:81" ht="12.75" customHeight="1" x14ac:dyDescent="0.2">
      <c r="A81" s="946" t="s">
        <v>357</v>
      </c>
      <c r="B81" s="972"/>
      <c r="C81" s="972"/>
      <c r="D81" s="972"/>
      <c r="E81" s="938"/>
      <c r="F81" s="938"/>
      <c r="G81" s="938"/>
      <c r="H81" s="972"/>
      <c r="I81" s="972"/>
      <c r="J81" s="972"/>
      <c r="K81" s="972"/>
      <c r="L81" s="972"/>
      <c r="M81" s="972"/>
      <c r="N81" s="972"/>
      <c r="O81" s="972"/>
      <c r="P81" s="972"/>
      <c r="Q81" s="972"/>
      <c r="R81" s="972"/>
      <c r="S81" s="972"/>
      <c r="T81" s="972"/>
      <c r="U81" s="972"/>
      <c r="V81" s="990"/>
      <c r="W81" s="972"/>
      <c r="X81" s="972"/>
      <c r="Y81" s="972"/>
      <c r="Z81" s="990"/>
      <c r="AA81" s="972"/>
      <c r="AB81" s="972"/>
      <c r="AC81" s="972"/>
      <c r="AD81" s="990"/>
      <c r="AE81" s="972"/>
      <c r="AF81" s="972"/>
      <c r="AG81" s="972"/>
      <c r="AH81" s="990"/>
      <c r="AI81" s="972"/>
      <c r="AJ81" s="972"/>
      <c r="AK81" s="972"/>
      <c r="AL81" s="990"/>
      <c r="AM81" s="972"/>
      <c r="AN81" s="972"/>
      <c r="AO81" s="972"/>
      <c r="AP81" s="990"/>
      <c r="AQ81" s="972"/>
      <c r="AR81" s="972"/>
      <c r="AS81" s="972"/>
      <c r="AT81" s="990"/>
      <c r="AU81" s="972"/>
      <c r="AV81" s="972"/>
      <c r="AW81" s="972"/>
      <c r="AX81" s="990"/>
      <c r="AY81" s="990"/>
      <c r="AZ81" s="990"/>
      <c r="BA81" s="990"/>
      <c r="BB81" s="990"/>
      <c r="BC81" s="990"/>
      <c r="BD81" s="990"/>
      <c r="BE81" s="990"/>
      <c r="BF81" s="990"/>
      <c r="BG81" s="1184"/>
      <c r="BH81" s="1184"/>
      <c r="BI81" s="1184"/>
      <c r="BJ81" s="1193"/>
      <c r="BK81" s="1193"/>
      <c r="BX81" s="897"/>
      <c r="BY81" s="897"/>
      <c r="CB81" s="1145"/>
      <c r="CC81" s="1145"/>
    </row>
    <row r="82" spans="1:81" x14ac:dyDescent="0.2">
      <c r="A82" s="971" t="s">
        <v>28</v>
      </c>
      <c r="B82" s="1184"/>
      <c r="C82" s="1184"/>
      <c r="D82" s="1184"/>
      <c r="S82" s="1006"/>
      <c r="T82" s="1006"/>
      <c r="U82" s="1006"/>
      <c r="V82" s="1006"/>
      <c r="W82" s="1006"/>
      <c r="X82" s="1006"/>
      <c r="Y82" s="1006"/>
      <c r="Z82" s="1006"/>
      <c r="AA82" s="1006"/>
      <c r="AB82" s="1006"/>
      <c r="AC82" s="1006"/>
      <c r="AD82" s="1006"/>
      <c r="AE82" s="1006"/>
      <c r="AF82" s="1006"/>
      <c r="AG82" s="1006"/>
      <c r="AH82" s="1006"/>
      <c r="AI82" s="1006"/>
      <c r="AJ82" s="1006"/>
      <c r="AK82" s="1006"/>
      <c r="AL82" s="1006"/>
      <c r="AM82" s="1006"/>
      <c r="AN82" s="1006"/>
      <c r="AO82" s="1006"/>
      <c r="AP82" s="1006"/>
      <c r="AQ82" s="1006"/>
      <c r="AR82" s="1006"/>
      <c r="AS82" s="1006"/>
      <c r="AT82" s="1006"/>
      <c r="AU82" s="1006"/>
      <c r="AV82" s="1006"/>
      <c r="AW82" s="1006"/>
      <c r="AX82" s="1006"/>
      <c r="AY82" s="1006"/>
      <c r="AZ82" s="1006"/>
      <c r="BA82" s="1006"/>
      <c r="BB82" s="1006"/>
      <c r="BC82" s="1006"/>
      <c r="BD82" s="1006"/>
      <c r="BE82" s="1006"/>
      <c r="BF82" s="1006"/>
      <c r="BG82" s="1006"/>
      <c r="BH82" s="1006"/>
      <c r="BI82" s="1006"/>
      <c r="BJ82" s="1006"/>
      <c r="BK82" s="1006"/>
      <c r="BL82" s="1006"/>
      <c r="BM82" s="1006"/>
      <c r="BT82" s="1006"/>
      <c r="BU82" s="914"/>
      <c r="BV82" s="914"/>
      <c r="BW82" s="914"/>
      <c r="BX82" s="914"/>
      <c r="BY82" s="914"/>
      <c r="BZ82" s="914"/>
      <c r="CA82" s="1154"/>
      <c r="CB82" s="1145"/>
      <c r="CC82" s="1145"/>
    </row>
    <row r="83" spans="1:81" x14ac:dyDescent="0.2">
      <c r="A83" s="946" t="s">
        <v>709</v>
      </c>
      <c r="C83" s="1822"/>
      <c r="S83" s="1215"/>
      <c r="T83" s="1215"/>
      <c r="U83" s="1215"/>
      <c r="V83" s="1006"/>
      <c r="W83" s="1215"/>
      <c r="X83" s="1215"/>
      <c r="Y83" s="1215"/>
      <c r="Z83" s="1006"/>
      <c r="BX83" s="914"/>
      <c r="BY83" s="914"/>
      <c r="BZ83" s="2163"/>
      <c r="CA83" s="2163"/>
      <c r="CB83" s="1145"/>
      <c r="CC83" s="1145"/>
    </row>
    <row r="84" spans="1:81" x14ac:dyDescent="0.2">
      <c r="C84" s="1823"/>
      <c r="S84" s="1215"/>
      <c r="T84" s="1357"/>
      <c r="U84" s="1215"/>
      <c r="V84" s="1215"/>
      <c r="W84" s="1215"/>
      <c r="X84" s="1215"/>
      <c r="Y84" s="1215"/>
      <c r="Z84" s="1215"/>
      <c r="BX84" s="914"/>
      <c r="BY84" s="914"/>
      <c r="BZ84" s="2163"/>
      <c r="CA84" s="2163"/>
      <c r="CB84" s="1145"/>
      <c r="CC84" s="1145"/>
    </row>
    <row r="85" spans="1:81" x14ac:dyDescent="0.2">
      <c r="A85" s="941"/>
      <c r="C85" s="1822"/>
      <c r="T85" s="1215"/>
      <c r="U85" s="1215"/>
      <c r="V85" s="1006"/>
      <c r="X85" s="1215"/>
      <c r="Y85" s="1215"/>
      <c r="Z85" s="1006"/>
      <c r="BX85" s="914"/>
      <c r="BY85" s="914"/>
      <c r="CA85" s="2163"/>
    </row>
    <row r="86" spans="1:81" x14ac:dyDescent="0.2">
      <c r="A86" s="946"/>
      <c r="T86" s="1215"/>
      <c r="U86" s="1215"/>
      <c r="V86" s="1834"/>
      <c r="X86" s="1215"/>
      <c r="Y86" s="1215"/>
      <c r="Z86" s="1835"/>
      <c r="BJ86" s="1312"/>
      <c r="BX86" s="897"/>
      <c r="BY86" s="897"/>
      <c r="CA86" s="2163"/>
    </row>
    <row r="87" spans="1:81" x14ac:dyDescent="0.2">
      <c r="T87" s="1215"/>
      <c r="U87" s="1215"/>
      <c r="V87" s="1835"/>
      <c r="X87" s="1215"/>
      <c r="Y87" s="1215"/>
      <c r="Z87" s="1835"/>
      <c r="AA87" s="1215"/>
      <c r="AB87" s="1215"/>
      <c r="AC87" s="1215"/>
      <c r="AD87" s="1006"/>
      <c r="AH87" s="1006"/>
      <c r="AL87" s="1006"/>
      <c r="AP87" s="1006"/>
      <c r="AT87" s="1006"/>
      <c r="AX87" s="1006"/>
      <c r="BF87" s="1006"/>
      <c r="BG87" s="1184"/>
      <c r="BH87" s="1184"/>
      <c r="BI87" s="1184"/>
      <c r="BX87" s="897"/>
      <c r="BY87" s="897"/>
      <c r="CA87" s="2163"/>
    </row>
    <row r="88" spans="1:81" x14ac:dyDescent="0.2">
      <c r="T88" s="1215"/>
      <c r="U88" s="1215"/>
      <c r="V88" s="1215"/>
      <c r="X88" s="1215"/>
      <c r="Y88" s="1215"/>
      <c r="Z88" s="1215"/>
      <c r="AA88" s="1215"/>
      <c r="AB88" s="1215"/>
      <c r="AC88" s="1215"/>
      <c r="AD88" s="1215"/>
      <c r="AE88" s="1215"/>
      <c r="AF88" s="1215"/>
      <c r="AG88" s="1215"/>
      <c r="AH88" s="1215"/>
      <c r="AL88" s="1006"/>
      <c r="AP88" s="1006"/>
      <c r="AT88" s="1006"/>
      <c r="AX88" s="1006"/>
      <c r="BF88" s="1006"/>
      <c r="BG88" s="1184"/>
      <c r="BH88" s="1184"/>
      <c r="BI88" s="1184"/>
      <c r="BN88" s="1312"/>
      <c r="BO88" s="1312"/>
      <c r="BP88" s="1312"/>
      <c r="BQ88" s="1312"/>
      <c r="BR88" s="1312"/>
      <c r="BS88" s="1312"/>
      <c r="BX88" s="897"/>
      <c r="BY88" s="897"/>
    </row>
    <row r="89" spans="1:81" x14ac:dyDescent="0.2">
      <c r="T89" s="1215"/>
      <c r="U89" s="1215"/>
      <c r="V89" s="1835"/>
      <c r="X89" s="1215"/>
      <c r="Y89" s="1215"/>
      <c r="Z89" s="1835"/>
      <c r="AB89" s="1215"/>
      <c r="AC89" s="1215"/>
      <c r="AD89" s="1006"/>
      <c r="AH89" s="1006"/>
      <c r="AL89" s="1006"/>
      <c r="AP89" s="1006"/>
      <c r="AT89" s="1006"/>
      <c r="AX89" s="1006"/>
      <c r="BF89" s="1006"/>
      <c r="BG89" s="1184"/>
      <c r="BH89" s="1184"/>
      <c r="BI89" s="1184"/>
      <c r="BN89" s="1312"/>
      <c r="BO89" s="1312"/>
      <c r="BP89" s="1312"/>
      <c r="BQ89" s="1312"/>
      <c r="BR89" s="1312"/>
      <c r="BS89" s="1312"/>
      <c r="BX89" s="919"/>
      <c r="BY89" s="919"/>
    </row>
    <row r="90" spans="1:81" x14ac:dyDescent="0.2">
      <c r="E90" s="1144"/>
      <c r="F90" s="896"/>
      <c r="G90" s="896"/>
      <c r="H90" s="1183"/>
      <c r="I90" s="1183"/>
      <c r="J90" s="1183"/>
      <c r="K90" s="940"/>
      <c r="L90" s="940"/>
      <c r="M90" s="1183"/>
      <c r="N90" s="1183"/>
      <c r="O90" s="1183"/>
      <c r="P90" s="1183"/>
      <c r="Q90" s="1183"/>
      <c r="R90" s="1183"/>
      <c r="S90" s="1183"/>
      <c r="T90" s="1183"/>
      <c r="U90" s="1183"/>
      <c r="V90" s="1835"/>
      <c r="W90" s="1183"/>
      <c r="X90" s="1183"/>
      <c r="Y90" s="1183"/>
      <c r="Z90" s="1835"/>
      <c r="AB90" s="1215"/>
      <c r="AC90" s="1215"/>
      <c r="AD90" s="1835"/>
      <c r="AE90" s="1835"/>
      <c r="AF90" s="1835"/>
      <c r="AG90" s="1215"/>
      <c r="AH90" s="1006"/>
      <c r="AL90" s="1006"/>
      <c r="AP90" s="1006"/>
      <c r="AT90" s="1006"/>
      <c r="AX90" s="1006"/>
      <c r="BF90" s="1006"/>
      <c r="BG90" s="1184"/>
      <c r="BH90" s="1184"/>
      <c r="BI90" s="1184"/>
      <c r="BX90" s="923"/>
      <c r="BY90" s="923"/>
    </row>
    <row r="91" spans="1:81" x14ac:dyDescent="0.2">
      <c r="E91" s="1144"/>
      <c r="F91" s="896"/>
      <c r="G91" s="896"/>
      <c r="H91" s="1183"/>
      <c r="I91" s="1183"/>
      <c r="J91" s="1183"/>
      <c r="K91" s="940"/>
      <c r="L91" s="940"/>
      <c r="M91" s="1183"/>
      <c r="N91" s="1183"/>
      <c r="O91" s="1183"/>
      <c r="P91" s="1183"/>
      <c r="Q91" s="1183"/>
      <c r="R91" s="1183"/>
      <c r="S91" s="1183"/>
      <c r="T91" s="1183"/>
      <c r="U91" s="1183"/>
      <c r="V91" s="1835"/>
      <c r="W91" s="1183"/>
      <c r="X91" s="1183"/>
      <c r="Y91" s="1183"/>
      <c r="Z91" s="1835"/>
      <c r="AB91" s="1215"/>
      <c r="AC91" s="1215"/>
      <c r="AD91" s="1835"/>
      <c r="AE91" s="1835"/>
      <c r="AF91" s="1835"/>
      <c r="AG91" s="1215"/>
      <c r="AH91" s="1141"/>
      <c r="AL91" s="941"/>
      <c r="AP91" s="941"/>
      <c r="AT91" s="941"/>
      <c r="AX91" s="941"/>
      <c r="BF91" s="976"/>
      <c r="BG91" s="1184"/>
      <c r="BH91" s="1184"/>
      <c r="BI91" s="1184"/>
      <c r="BN91" s="1312"/>
      <c r="BO91" s="1312"/>
      <c r="BP91" s="1312"/>
      <c r="BQ91" s="1312"/>
      <c r="BR91" s="1312"/>
      <c r="BS91" s="1312"/>
      <c r="BX91" s="923"/>
      <c r="BY91" s="923"/>
    </row>
    <row r="92" spans="1:81" x14ac:dyDescent="0.2">
      <c r="E92" s="1144"/>
      <c r="F92" s="896"/>
      <c r="G92" s="896"/>
      <c r="H92" s="1183"/>
      <c r="I92" s="1183"/>
      <c r="J92" s="1183"/>
      <c r="K92" s="940"/>
      <c r="L92" s="940"/>
      <c r="M92" s="1183"/>
      <c r="N92" s="1183"/>
      <c r="O92" s="1183"/>
      <c r="P92" s="1183"/>
      <c r="Q92" s="1183"/>
      <c r="R92" s="1183"/>
      <c r="S92" s="1183"/>
      <c r="T92" s="1183"/>
      <c r="U92" s="1183"/>
      <c r="V92" s="1835"/>
      <c r="W92" s="1183"/>
      <c r="X92" s="1183"/>
      <c r="Y92" s="1183"/>
      <c r="Z92" s="1835"/>
      <c r="AB92" s="1215"/>
      <c r="AC92" s="1215"/>
      <c r="AD92" s="1835"/>
      <c r="AE92" s="1835"/>
      <c r="AF92" s="1835"/>
      <c r="AG92" s="1215"/>
      <c r="AH92" s="941"/>
      <c r="AL92" s="941"/>
      <c r="AP92" s="941"/>
      <c r="AT92" s="941"/>
      <c r="AX92" s="941"/>
      <c r="BF92" s="1836"/>
      <c r="BG92" s="1184"/>
      <c r="BH92" s="1184"/>
      <c r="BI92" s="1184"/>
      <c r="BN92" s="1312"/>
      <c r="BO92" s="1312"/>
      <c r="BP92" s="1312"/>
      <c r="BQ92" s="1312"/>
      <c r="BR92" s="1312"/>
      <c r="BS92" s="1312"/>
      <c r="BX92" s="935"/>
      <c r="BY92" s="935"/>
    </row>
    <row r="93" spans="1:81" x14ac:dyDescent="0.2">
      <c r="E93" s="1144"/>
      <c r="F93" s="896"/>
      <c r="G93" s="896"/>
      <c r="H93" s="1183"/>
      <c r="I93" s="1183"/>
      <c r="J93" s="1183"/>
      <c r="K93" s="940"/>
      <c r="L93" s="940"/>
      <c r="M93" s="1183"/>
      <c r="N93" s="1183"/>
      <c r="O93" s="1183"/>
      <c r="P93" s="1183"/>
      <c r="Q93" s="1183"/>
      <c r="R93" s="1183"/>
      <c r="S93" s="1183"/>
      <c r="T93" s="1183"/>
      <c r="U93" s="1183"/>
      <c r="V93" s="1215"/>
      <c r="W93" s="1183"/>
      <c r="X93" s="1183"/>
      <c r="Y93" s="1183"/>
      <c r="Z93" s="1215"/>
      <c r="AB93" s="1215"/>
      <c r="AC93" s="1215"/>
      <c r="AD93" s="1835"/>
      <c r="AE93" s="1835"/>
      <c r="AF93" s="1835"/>
      <c r="AG93" s="1215"/>
      <c r="AH93" s="1141"/>
      <c r="AL93" s="941"/>
      <c r="AP93" s="941"/>
      <c r="AT93" s="941"/>
      <c r="AX93" s="941"/>
      <c r="BF93" s="1836"/>
      <c r="BG93" s="1184"/>
      <c r="BH93" s="1184"/>
      <c r="BI93" s="1184"/>
      <c r="BN93" s="1312"/>
      <c r="BO93" s="1312"/>
      <c r="BP93" s="1312"/>
      <c r="BQ93" s="1312"/>
      <c r="BR93" s="1312"/>
      <c r="BS93" s="1312"/>
      <c r="BX93" s="935"/>
      <c r="BY93" s="935"/>
    </row>
    <row r="94" spans="1:81" x14ac:dyDescent="0.2">
      <c r="E94" s="1144"/>
      <c r="F94" s="896"/>
      <c r="G94" s="896"/>
      <c r="H94" s="1183"/>
      <c r="I94" s="1183"/>
      <c r="J94" s="1183"/>
      <c r="K94" s="940"/>
      <c r="L94" s="940"/>
      <c r="M94" s="1183"/>
      <c r="N94" s="1183"/>
      <c r="O94" s="1183"/>
      <c r="P94" s="1183"/>
      <c r="Q94" s="1183"/>
      <c r="R94" s="1183"/>
      <c r="S94" s="1183"/>
      <c r="T94" s="1183"/>
      <c r="U94" s="1183"/>
      <c r="V94" s="1215"/>
      <c r="W94" s="1183"/>
      <c r="X94" s="1183"/>
      <c r="Y94" s="1183"/>
      <c r="Z94" s="1215"/>
      <c r="AA94" s="1183"/>
      <c r="AB94" s="1183"/>
      <c r="AC94" s="1183"/>
      <c r="AD94" s="1835"/>
      <c r="AE94" s="1835"/>
      <c r="AF94" s="1835"/>
      <c r="AG94" s="1215"/>
      <c r="AH94" s="1215"/>
      <c r="AX94" s="959"/>
      <c r="AY94" s="1036"/>
      <c r="AZ94" s="1036"/>
      <c r="BA94" s="1036"/>
      <c r="BB94" s="1036"/>
      <c r="BC94" s="1036"/>
      <c r="BD94" s="1036"/>
      <c r="BE94" s="1036"/>
      <c r="BF94" s="952"/>
      <c r="BG94" s="1184"/>
      <c r="BH94" s="1184"/>
      <c r="BI94" s="1184"/>
      <c r="BN94" s="1312"/>
      <c r="BO94" s="1312"/>
      <c r="BP94" s="1312"/>
      <c r="BQ94" s="1312"/>
      <c r="BR94" s="1312"/>
      <c r="BS94" s="1312"/>
      <c r="BX94" s="1145"/>
      <c r="BY94" s="1145"/>
    </row>
    <row r="95" spans="1:81" x14ac:dyDescent="0.2">
      <c r="E95" s="1144"/>
      <c r="F95" s="896"/>
      <c r="G95" s="896"/>
      <c r="H95" s="1183"/>
      <c r="I95" s="1183"/>
      <c r="J95" s="1183"/>
      <c r="K95" s="940"/>
      <c r="L95" s="940"/>
      <c r="M95" s="1183"/>
      <c r="N95" s="1183"/>
      <c r="O95" s="1183"/>
      <c r="P95" s="1183"/>
      <c r="Q95" s="1183"/>
      <c r="R95" s="1183"/>
      <c r="S95" s="1183"/>
      <c r="T95" s="1183"/>
      <c r="U95" s="1183"/>
      <c r="V95" s="1215"/>
      <c r="W95" s="1183"/>
      <c r="X95" s="1183"/>
      <c r="Y95" s="1183"/>
      <c r="Z95" s="1215"/>
      <c r="AA95" s="1183"/>
      <c r="AB95" s="1183"/>
      <c r="AC95" s="1183"/>
      <c r="AD95" s="1835"/>
      <c r="AE95" s="1835"/>
      <c r="AF95" s="1835"/>
      <c r="AG95" s="1215"/>
      <c r="AH95" s="1215"/>
      <c r="AX95" s="959"/>
      <c r="AY95" s="1036"/>
      <c r="AZ95" s="1036"/>
      <c r="BA95" s="1036"/>
      <c r="BB95" s="1036"/>
      <c r="BC95" s="1036"/>
      <c r="BD95" s="1036"/>
      <c r="BE95" s="1036"/>
      <c r="BF95" s="952"/>
      <c r="BG95" s="1184"/>
      <c r="BH95" s="1184"/>
      <c r="BI95" s="1184"/>
      <c r="BN95" s="1312"/>
      <c r="BO95" s="1312"/>
      <c r="BP95" s="1312"/>
      <c r="BQ95" s="1312"/>
      <c r="BR95" s="1312"/>
      <c r="BS95" s="1312"/>
      <c r="BX95" s="1145"/>
      <c r="BY95" s="1145"/>
    </row>
    <row r="96" spans="1:81" x14ac:dyDescent="0.2">
      <c r="E96" s="1144"/>
      <c r="F96" s="896"/>
      <c r="G96" s="896"/>
      <c r="H96" s="1183"/>
      <c r="I96" s="1183"/>
      <c r="J96" s="1183"/>
      <c r="K96" s="940"/>
      <c r="L96" s="940"/>
      <c r="M96" s="1183"/>
      <c r="N96" s="1183"/>
      <c r="O96" s="1183"/>
      <c r="P96" s="1183"/>
      <c r="Q96" s="1183"/>
      <c r="R96" s="1183"/>
      <c r="S96" s="1183"/>
      <c r="T96" s="1183"/>
      <c r="U96" s="1183"/>
      <c r="W96" s="1183"/>
      <c r="X96" s="1183"/>
      <c r="Y96" s="1183"/>
      <c r="AA96" s="1183"/>
      <c r="AB96" s="1183"/>
      <c r="AC96" s="1183"/>
      <c r="AD96" s="1835"/>
      <c r="AE96" s="1835"/>
      <c r="AF96" s="1835"/>
      <c r="AG96" s="1215"/>
      <c r="AH96" s="1215"/>
      <c r="AX96" s="1036"/>
      <c r="AY96" s="1036"/>
      <c r="AZ96" s="1036"/>
      <c r="BA96" s="1036"/>
      <c r="BB96" s="1036"/>
      <c r="BC96" s="1036"/>
      <c r="BD96" s="1036"/>
      <c r="BE96" s="1036"/>
      <c r="BF96" s="1036"/>
      <c r="BG96" s="1184"/>
      <c r="BH96" s="1184"/>
      <c r="BI96" s="1184"/>
      <c r="BN96" s="1312"/>
      <c r="BO96" s="1312"/>
      <c r="BP96" s="1312"/>
      <c r="BQ96" s="1312"/>
      <c r="BR96" s="1312"/>
      <c r="BS96" s="1312"/>
      <c r="BX96" s="1145"/>
      <c r="BY96" s="1145"/>
    </row>
    <row r="97" spans="5:77" x14ac:dyDescent="0.2">
      <c r="E97" s="1144"/>
      <c r="F97" s="896"/>
      <c r="G97" s="896"/>
      <c r="H97" s="1183"/>
      <c r="I97" s="1183"/>
      <c r="J97" s="1183"/>
      <c r="K97" s="940"/>
      <c r="L97" s="940"/>
      <c r="M97" s="1183"/>
      <c r="N97" s="1183"/>
      <c r="O97" s="1183"/>
      <c r="P97" s="1183"/>
      <c r="Q97" s="1183"/>
      <c r="R97" s="1183"/>
      <c r="S97" s="1183"/>
      <c r="T97" s="1183"/>
      <c r="U97" s="1183"/>
      <c r="W97" s="1183"/>
      <c r="X97" s="1183"/>
      <c r="Y97" s="1183"/>
      <c r="AA97" s="1183"/>
      <c r="AB97" s="1183"/>
      <c r="AC97" s="1183"/>
      <c r="AD97" s="1215"/>
      <c r="AH97" s="1215"/>
      <c r="AX97" s="1090"/>
      <c r="AY97" s="1090"/>
      <c r="AZ97" s="1090"/>
      <c r="BA97" s="1090"/>
      <c r="BB97" s="1090"/>
      <c r="BC97" s="1090"/>
      <c r="BD97" s="1090"/>
      <c r="BE97" s="1090"/>
      <c r="BF97" s="1090"/>
      <c r="BG97" s="1184"/>
      <c r="BH97" s="1184"/>
      <c r="BI97" s="1184"/>
      <c r="BN97" s="1312"/>
      <c r="BO97" s="1312"/>
      <c r="BP97" s="1312"/>
      <c r="BQ97" s="1312"/>
      <c r="BR97" s="1312"/>
      <c r="BS97" s="1312"/>
      <c r="BX97" s="1145"/>
      <c r="BY97" s="1145"/>
    </row>
    <row r="98" spans="5:77" x14ac:dyDescent="0.2">
      <c r="E98" s="1144"/>
      <c r="F98" s="896"/>
      <c r="G98" s="896"/>
      <c r="H98" s="1183"/>
      <c r="I98" s="1183"/>
      <c r="J98" s="1183"/>
      <c r="K98" s="940"/>
      <c r="L98" s="940"/>
      <c r="M98" s="1183"/>
      <c r="N98" s="1183"/>
      <c r="O98" s="1183"/>
      <c r="P98" s="1183"/>
      <c r="Q98" s="1183"/>
      <c r="R98" s="1183"/>
      <c r="S98" s="1183"/>
      <c r="T98" s="1183"/>
      <c r="U98" s="1183"/>
      <c r="W98" s="1183"/>
      <c r="X98" s="1183"/>
      <c r="Y98" s="1183"/>
      <c r="AA98" s="1183"/>
      <c r="AB98" s="1183"/>
      <c r="AC98" s="1183"/>
      <c r="AD98" s="1215"/>
      <c r="AX98" s="1090"/>
      <c r="AY98" s="1090"/>
      <c r="AZ98" s="1090"/>
      <c r="BA98" s="1090"/>
      <c r="BB98" s="1090"/>
      <c r="BC98" s="1090"/>
      <c r="BD98" s="1090"/>
      <c r="BE98" s="1090"/>
      <c r="BF98" s="1090"/>
      <c r="BG98" s="1184"/>
      <c r="BH98" s="1184"/>
      <c r="BI98" s="1184"/>
      <c r="BX98" s="1145"/>
      <c r="BY98" s="1145"/>
    </row>
    <row r="99" spans="5:77" x14ac:dyDescent="0.2">
      <c r="E99" s="1144"/>
      <c r="F99" s="896"/>
      <c r="G99" s="896"/>
      <c r="H99" s="1183"/>
      <c r="I99" s="1183"/>
      <c r="J99" s="1183"/>
      <c r="K99" s="940"/>
      <c r="L99" s="940"/>
      <c r="M99" s="1183"/>
      <c r="N99" s="1183"/>
      <c r="O99" s="1183"/>
      <c r="P99" s="1183"/>
      <c r="Q99" s="1183"/>
      <c r="R99" s="1183"/>
      <c r="S99" s="1183"/>
      <c r="T99" s="1183"/>
      <c r="U99" s="1183"/>
      <c r="W99" s="1183"/>
      <c r="X99" s="1183"/>
      <c r="Y99" s="1183"/>
      <c r="AA99" s="1183"/>
      <c r="AB99" s="1183"/>
      <c r="AC99" s="1183"/>
      <c r="AD99" s="1215"/>
      <c r="AH99" s="1215"/>
      <c r="AX99" s="1184"/>
      <c r="AY99" s="1184"/>
      <c r="AZ99" s="1184"/>
      <c r="BA99" s="1184"/>
      <c r="BB99" s="1184"/>
      <c r="BC99" s="1184"/>
      <c r="BD99" s="1184"/>
      <c r="BE99" s="1184"/>
      <c r="BF99" s="1184"/>
      <c r="BG99" s="1184"/>
      <c r="BH99" s="1184"/>
      <c r="BI99" s="1184"/>
      <c r="BJ99" s="1006"/>
      <c r="BK99" s="952"/>
      <c r="BN99" s="1312"/>
      <c r="BO99" s="1312"/>
      <c r="BP99" s="1312"/>
      <c r="BQ99" s="1312"/>
      <c r="BR99" s="1312"/>
      <c r="BS99" s="1312"/>
    </row>
    <row r="100" spans="5:77" x14ac:dyDescent="0.2">
      <c r="AA100" s="1183"/>
      <c r="AB100" s="1183"/>
      <c r="AC100" s="1183"/>
      <c r="AX100" s="1184"/>
      <c r="AY100" s="1184"/>
      <c r="AZ100" s="1184"/>
      <c r="BA100" s="1184"/>
      <c r="BB100" s="1184"/>
      <c r="BC100" s="1184"/>
      <c r="BD100" s="1184"/>
      <c r="BE100" s="1184"/>
      <c r="BF100" s="1184"/>
      <c r="BG100" s="1184"/>
      <c r="BH100" s="1184"/>
      <c r="BI100" s="1184"/>
      <c r="BN100" s="1312"/>
      <c r="BO100" s="1312"/>
      <c r="BP100" s="1312"/>
      <c r="BQ100" s="1312"/>
      <c r="BR100" s="1312"/>
      <c r="BS100" s="1312"/>
    </row>
    <row r="101" spans="5:77" x14ac:dyDescent="0.2">
      <c r="AA101" s="1183"/>
      <c r="AB101" s="1183"/>
      <c r="AC101" s="1183"/>
      <c r="AX101" s="1184"/>
      <c r="AY101" s="1184"/>
      <c r="AZ101" s="1184"/>
      <c r="BA101" s="1184"/>
      <c r="BB101" s="1184"/>
      <c r="BC101" s="1184"/>
      <c r="BD101" s="1184"/>
      <c r="BE101" s="1184"/>
      <c r="BF101" s="1184"/>
      <c r="BG101" s="1184"/>
      <c r="BH101" s="1184"/>
      <c r="BI101" s="1184"/>
      <c r="BN101" s="1312"/>
      <c r="BO101" s="1312"/>
      <c r="BP101" s="1312"/>
      <c r="BQ101" s="1312"/>
      <c r="BR101" s="1312"/>
      <c r="BS101" s="1312"/>
    </row>
    <row r="102" spans="5:77" x14ac:dyDescent="0.2">
      <c r="AA102" s="1183"/>
      <c r="AB102" s="1183"/>
      <c r="AC102" s="1183"/>
      <c r="AE102" s="1183"/>
      <c r="AF102" s="1183"/>
      <c r="AG102" s="1183"/>
      <c r="AX102" s="1184"/>
      <c r="AY102" s="1184"/>
      <c r="AZ102" s="1184"/>
      <c r="BA102" s="1184"/>
      <c r="BB102" s="1184"/>
      <c r="BC102" s="1184"/>
      <c r="BD102" s="1184"/>
      <c r="BE102" s="1184"/>
      <c r="BF102" s="1184"/>
      <c r="BG102" s="1184"/>
      <c r="BH102" s="1184"/>
      <c r="BI102" s="1184"/>
      <c r="BN102" s="1312"/>
      <c r="BO102" s="1312"/>
      <c r="BP102" s="1312"/>
      <c r="BQ102" s="1312"/>
      <c r="BR102" s="1312"/>
      <c r="BS102" s="1312"/>
    </row>
    <row r="103" spans="5:77" x14ac:dyDescent="0.2">
      <c r="AA103" s="1183"/>
      <c r="AB103" s="1183"/>
      <c r="AC103" s="1183"/>
      <c r="AE103" s="1183"/>
      <c r="AF103" s="1183"/>
      <c r="AG103" s="1183"/>
      <c r="AX103" s="1184"/>
      <c r="AY103" s="1184"/>
      <c r="AZ103" s="1184"/>
      <c r="BA103" s="1184"/>
      <c r="BB103" s="1184"/>
      <c r="BC103" s="1184"/>
      <c r="BD103" s="1184"/>
      <c r="BE103" s="1184"/>
      <c r="BF103" s="1184"/>
      <c r="BG103" s="1184"/>
      <c r="BH103" s="1184"/>
      <c r="BI103" s="1184"/>
      <c r="BN103" s="1312"/>
      <c r="BO103" s="1312"/>
      <c r="BP103" s="1312"/>
      <c r="BQ103" s="1312"/>
      <c r="BR103" s="1312"/>
      <c r="BS103" s="1312"/>
    </row>
  </sheetData>
  <mergeCells count="10">
    <mergeCell ref="A36:B36"/>
    <mergeCell ref="C59:D59"/>
    <mergeCell ref="C60:D60"/>
    <mergeCell ref="BJ60:BK60"/>
    <mergeCell ref="C72:D72"/>
    <mergeCell ref="C73:D73"/>
    <mergeCell ref="BJ73:BK73"/>
    <mergeCell ref="C10:D10"/>
    <mergeCell ref="C11:D11"/>
    <mergeCell ref="BJ11:BK11"/>
  </mergeCells>
  <conditionalFormatting sqref="A71 AY67:BF70 A79:A80 BT70:BY70 A57:A58 BX46:CA46 A47 BT40:BY41 A39 BT52:BX52 AI52:AP52 AE40:BF41 BT47:BV47 BX67:BY69 BH44:BI46 A42:A44 B39:B52 BX42:BY45 BH40:BI42 BP42:BW46 L42:BF46 BM40:BO46 K42 F42:J46">
    <cfRule type="cellIs" dxfId="106" priority="64" stopIfTrue="1" operator="equal">
      <formula>0</formula>
    </cfRule>
  </conditionalFormatting>
  <conditionalFormatting sqref="BS70 BS52 BS47">
    <cfRule type="cellIs" dxfId="105" priority="63" stopIfTrue="1" operator="equal">
      <formula>0</formula>
    </cfRule>
  </conditionalFormatting>
  <conditionalFormatting sqref="X40:AD41">
    <cfRule type="cellIs" dxfId="104" priority="62" stopIfTrue="1" operator="equal">
      <formula>0</formula>
    </cfRule>
  </conditionalFormatting>
  <conditionalFormatting sqref="BR70 BR52 BR47">
    <cfRule type="cellIs" dxfId="103" priority="61" stopIfTrue="1" operator="equal">
      <formula>0</formula>
    </cfRule>
  </conditionalFormatting>
  <conditionalFormatting sqref="V40:W41">
    <cfRule type="cellIs" dxfId="102" priority="60" stopIfTrue="1" operator="equal">
      <formula>0</formula>
    </cfRule>
  </conditionalFormatting>
  <conditionalFormatting sqref="BQ70 BQ52 BQ47">
    <cfRule type="cellIs" dxfId="101" priority="57" stopIfTrue="1" operator="equal">
      <formula>0</formula>
    </cfRule>
  </conditionalFormatting>
  <conditionalFormatting sqref="P40:U41">
    <cfRule type="cellIs" dxfId="100" priority="55" stopIfTrue="1" operator="equal">
      <formula>0</formula>
    </cfRule>
  </conditionalFormatting>
  <conditionalFormatting sqref="BP70 BP52">
    <cfRule type="cellIs" dxfId="99" priority="53" stopIfTrue="1" operator="equal">
      <formula>0</formula>
    </cfRule>
  </conditionalFormatting>
  <conditionalFormatting sqref="R40:R41">
    <cfRule type="cellIs" dxfId="98" priority="50" stopIfTrue="1" operator="equal">
      <formula>0</formula>
    </cfRule>
  </conditionalFormatting>
  <conditionalFormatting sqref="P40:Q41">
    <cfRule type="cellIs" dxfId="97" priority="48" stopIfTrue="1" operator="equal">
      <formula>0</formula>
    </cfRule>
  </conditionalFormatting>
  <conditionalFormatting sqref="O40:O41">
    <cfRule type="cellIs" dxfId="96" priority="47" stopIfTrue="1" operator="equal">
      <formula>0</formula>
    </cfRule>
  </conditionalFormatting>
  <conditionalFormatting sqref="O40:O41">
    <cfRule type="cellIs" dxfId="95" priority="45" stopIfTrue="1" operator="equal">
      <formula>0</formula>
    </cfRule>
  </conditionalFormatting>
  <conditionalFormatting sqref="BO70">
    <cfRule type="cellIs" dxfId="94" priority="43" stopIfTrue="1" operator="equal">
      <formula>0</formula>
    </cfRule>
  </conditionalFormatting>
  <conditionalFormatting sqref="L40:V41">
    <cfRule type="cellIs" dxfId="93" priority="41" stopIfTrue="1" operator="equal">
      <formula>0</formula>
    </cfRule>
  </conditionalFormatting>
  <conditionalFormatting sqref="N40:N41">
    <cfRule type="cellIs" dxfId="92" priority="39" stopIfTrue="1" operator="equal">
      <formula>0</formula>
    </cfRule>
  </conditionalFormatting>
  <conditionalFormatting sqref="L40:V41">
    <cfRule type="cellIs" dxfId="91" priority="37" stopIfTrue="1" operator="equal">
      <formula>0</formula>
    </cfRule>
  </conditionalFormatting>
  <conditionalFormatting sqref="BP40:BS41">
    <cfRule type="cellIs" dxfId="90" priority="33" stopIfTrue="1" operator="equal">
      <formula>0</formula>
    </cfRule>
  </conditionalFormatting>
  <conditionalFormatting sqref="K40:K41">
    <cfRule type="cellIs" dxfId="89" priority="27" stopIfTrue="1" operator="equal">
      <formula>0</formula>
    </cfRule>
  </conditionalFormatting>
  <conditionalFormatting sqref="K44:K46">
    <cfRule type="cellIs" dxfId="88" priority="26" stopIfTrue="1" operator="equal">
      <formula>0</formula>
    </cfRule>
  </conditionalFormatting>
  <conditionalFormatting sqref="K40:K41">
    <cfRule type="cellIs" dxfId="87" priority="25" stopIfTrue="1" operator="equal">
      <formula>0</formula>
    </cfRule>
  </conditionalFormatting>
  <conditionalFormatting sqref="BN70">
    <cfRule type="cellIs" dxfId="86" priority="29" stopIfTrue="1" operator="equal">
      <formula>0</formula>
    </cfRule>
  </conditionalFormatting>
  <conditionalFormatting sqref="B66">
    <cfRule type="cellIs" dxfId="85" priority="24" stopIfTrue="1" operator="equal">
      <formula>0</formula>
    </cfRule>
  </conditionalFormatting>
  <conditionalFormatting sqref="I40:J41">
    <cfRule type="cellIs" dxfId="84" priority="23" stopIfTrue="1" operator="equal">
      <formula>0</formula>
    </cfRule>
  </conditionalFormatting>
  <conditionalFormatting sqref="K43">
    <cfRule type="cellIs" dxfId="83" priority="22" stopIfTrue="1" operator="equal">
      <formula>0</formula>
    </cfRule>
  </conditionalFormatting>
  <conditionalFormatting sqref="J40:J41">
    <cfRule type="cellIs" dxfId="82" priority="21" stopIfTrue="1" operator="equal">
      <formula>0</formula>
    </cfRule>
  </conditionalFormatting>
  <conditionalFormatting sqref="K43">
    <cfRule type="cellIs" dxfId="81" priority="20" stopIfTrue="1" operator="equal">
      <formula>0</formula>
    </cfRule>
  </conditionalFormatting>
  <conditionalFormatting sqref="I40:J41">
    <cfRule type="cellIs" dxfId="80" priority="19" stopIfTrue="1" operator="equal">
      <formula>0</formula>
    </cfRule>
  </conditionalFormatting>
  <conditionalFormatting sqref="G40:G41">
    <cfRule type="cellIs" dxfId="79" priority="18" stopIfTrue="1" operator="equal">
      <formula>0</formula>
    </cfRule>
  </conditionalFormatting>
  <conditionalFormatting sqref="G40:G41">
    <cfRule type="cellIs" dxfId="78" priority="16" stopIfTrue="1" operator="equal">
      <formula>0</formula>
    </cfRule>
  </conditionalFormatting>
  <conditionalFormatting sqref="BH43">
    <cfRule type="cellIs" dxfId="77" priority="15" stopIfTrue="1" operator="equal">
      <formula>0</formula>
    </cfRule>
  </conditionalFormatting>
  <conditionalFormatting sqref="BH43">
    <cfRule type="cellIs" dxfId="76" priority="14" stopIfTrue="1" operator="equal">
      <formula>0</formula>
    </cfRule>
  </conditionalFormatting>
  <conditionalFormatting sqref="BI43">
    <cfRule type="cellIs" dxfId="75" priority="13" stopIfTrue="1" operator="equal">
      <formula>0</formula>
    </cfRule>
  </conditionalFormatting>
  <conditionalFormatting sqref="BI43">
    <cfRule type="cellIs" dxfId="74" priority="12" stopIfTrue="1" operator="equal">
      <formula>0</formula>
    </cfRule>
  </conditionalFormatting>
  <conditionalFormatting sqref="H40:H41">
    <cfRule type="cellIs" dxfId="73" priority="8" stopIfTrue="1" operator="equal">
      <formula>0</formula>
    </cfRule>
  </conditionalFormatting>
  <conditionalFormatting sqref="H40:H41">
    <cfRule type="cellIs" dxfId="72" priority="6" stopIfTrue="1" operator="equal">
      <formula>0</formula>
    </cfRule>
  </conditionalFormatting>
  <conditionalFormatting sqref="BM70">
    <cfRule type="cellIs" dxfId="71" priority="5" stopIfTrue="1" operator="equal">
      <formula>0</formula>
    </cfRule>
  </conditionalFormatting>
  <conditionalFormatting sqref="F40:F41">
    <cfRule type="cellIs" dxfId="70" priority="3" stopIfTrue="1" operator="equal">
      <formula>0</formula>
    </cfRule>
  </conditionalFormatting>
  <conditionalFormatting sqref="F40:F41">
    <cfRule type="cellIs" dxfId="69" priority="1" stopIfTrue="1" operator="equal">
      <formula>0</formula>
    </cfRule>
  </conditionalFormatting>
  <printOptions horizontalCentered="1" verticalCentered="1"/>
  <pageMargins left="0" right="0" top="0" bottom="0" header="0" footer="0"/>
  <pageSetup scale="57" orientation="landscape" r:id="rId1"/>
  <headerFooter alignWithMargins="0">
    <oddFooter>&amp;L&amp;F&amp;CPage 10</oddFooter>
  </headerFooter>
  <colBreaks count="1" manualBreakCount="1">
    <brk id="78" max="8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BI101"/>
  <sheetViews>
    <sheetView workbookViewId="0"/>
  </sheetViews>
  <sheetFormatPr defaultColWidth="9.140625" defaultRowHeight="12.75" outlineLevelRow="1" x14ac:dyDescent="0.2"/>
  <cols>
    <col min="1" max="1" width="2.7109375" style="480" customWidth="1"/>
    <col min="2" max="2" width="48.140625" style="480" customWidth="1"/>
    <col min="3" max="4" width="9.7109375" style="480" customWidth="1"/>
    <col min="5" max="5" width="1.5703125" style="481" customWidth="1"/>
    <col min="6" max="8" width="9.28515625" style="481" hidden="1" customWidth="1"/>
    <col min="9" max="9" width="9.42578125" style="481" customWidth="1"/>
    <col min="10" max="12" width="9.28515625" style="481" customWidth="1"/>
    <col min="13" max="14" width="9.42578125" style="481" customWidth="1"/>
    <col min="15" max="16" width="9.28515625" style="481" customWidth="1"/>
    <col min="17" max="17" width="9.42578125" style="481" customWidth="1"/>
    <col min="18" max="18" width="9.42578125" style="481" hidden="1" customWidth="1"/>
    <col min="19" max="26" width="9.28515625" style="481" hidden="1" customWidth="1"/>
    <col min="27" max="28" width="9.7109375" style="481" hidden="1" customWidth="1"/>
    <col min="29" max="37" width="9.7109375" style="480" hidden="1" customWidth="1"/>
    <col min="38" max="38" width="1.5703125" style="480" customWidth="1"/>
    <col min="39" max="41" width="10" style="480" hidden="1" customWidth="1"/>
    <col min="42" max="42" width="9.7109375" style="480" hidden="1" customWidth="1"/>
    <col min="43" max="43" width="1.5703125" style="480" hidden="1" customWidth="1"/>
    <col min="44" max="46" width="9.5703125" style="480" customWidth="1"/>
    <col min="47" max="48" width="9.7109375" style="480" customWidth="1"/>
    <col min="49" max="53" width="9.7109375" style="480" hidden="1" customWidth="1"/>
    <col min="54" max="54" width="1.5703125" style="480" customWidth="1"/>
    <col min="55" max="16384" width="9.140625" style="480"/>
  </cols>
  <sheetData>
    <row r="1" spans="1:61" ht="9" customHeight="1" x14ac:dyDescent="0.2"/>
    <row r="3" spans="1:61" x14ac:dyDescent="0.2">
      <c r="AR3" s="347"/>
    </row>
    <row r="4" spans="1:61" x14ac:dyDescent="0.2">
      <c r="AR4" s="347"/>
    </row>
    <row r="5" spans="1:61" ht="6.75" customHeight="1" x14ac:dyDescent="0.2">
      <c r="A5" s="481"/>
      <c r="B5" s="481"/>
      <c r="C5" s="481"/>
      <c r="D5" s="481"/>
      <c r="AC5" s="481"/>
      <c r="AD5" s="481"/>
      <c r="AE5" s="481"/>
      <c r="AM5" s="347"/>
    </row>
    <row r="6" spans="1:61" ht="18" customHeight="1" x14ac:dyDescent="0.2">
      <c r="A6" s="81" t="s">
        <v>303</v>
      </c>
      <c r="B6" s="481"/>
      <c r="C6" s="481"/>
      <c r="D6" s="481"/>
      <c r="F6" s="325"/>
      <c r="G6" s="325"/>
      <c r="H6" s="325"/>
      <c r="I6" s="325"/>
      <c r="J6" s="325"/>
      <c r="K6" s="325"/>
      <c r="L6" s="325"/>
      <c r="M6" s="325"/>
      <c r="AC6" s="481"/>
      <c r="AD6" s="481"/>
      <c r="AE6" s="481"/>
      <c r="AM6" s="347"/>
    </row>
    <row r="7" spans="1:61" ht="18" customHeight="1" x14ac:dyDescent="0.2">
      <c r="A7" s="107" t="s">
        <v>289</v>
      </c>
      <c r="B7" s="4"/>
      <c r="C7" s="4"/>
      <c r="D7" s="4"/>
      <c r="E7" s="4"/>
      <c r="F7" s="4"/>
      <c r="G7" s="4"/>
      <c r="H7" s="4"/>
      <c r="I7" s="4"/>
      <c r="J7" s="4"/>
      <c r="K7" s="4"/>
      <c r="L7" s="4"/>
      <c r="M7" s="4"/>
      <c r="N7" s="4"/>
      <c r="O7" s="4"/>
      <c r="P7" s="4"/>
      <c r="Q7" s="4"/>
      <c r="R7" s="4"/>
      <c r="S7" s="4"/>
      <c r="T7" s="4"/>
      <c r="U7" s="4"/>
      <c r="V7" s="4"/>
      <c r="W7" s="4"/>
      <c r="X7" s="4"/>
      <c r="Y7" s="4"/>
      <c r="Z7" s="4"/>
      <c r="AA7" s="4"/>
      <c r="AB7" s="4"/>
      <c r="AC7" s="481"/>
      <c r="AD7" s="481"/>
      <c r="AE7" s="481"/>
      <c r="AM7" s="354"/>
    </row>
    <row r="8" spans="1:61" ht="15" x14ac:dyDescent="0.2">
      <c r="A8" s="510" t="s">
        <v>256</v>
      </c>
      <c r="B8" s="4"/>
      <c r="C8" s="4"/>
      <c r="D8" s="4"/>
      <c r="E8" s="4"/>
      <c r="F8" s="4"/>
      <c r="G8" s="4"/>
      <c r="H8" s="4"/>
      <c r="I8" s="4"/>
      <c r="J8" s="4"/>
      <c r="K8" s="4"/>
      <c r="L8" s="4"/>
      <c r="M8" s="4"/>
      <c r="N8" s="4"/>
      <c r="O8" s="4"/>
      <c r="P8" s="4"/>
      <c r="Q8" s="4"/>
      <c r="R8" s="4"/>
      <c r="S8" s="4"/>
      <c r="T8" s="4"/>
      <c r="U8" s="4"/>
      <c r="V8" s="4"/>
      <c r="W8" s="4"/>
      <c r="X8" s="4"/>
      <c r="Y8" s="4"/>
      <c r="Z8" s="4"/>
      <c r="AA8" s="4"/>
      <c r="AB8" s="4"/>
      <c r="AC8" s="481"/>
      <c r="AD8" s="481"/>
      <c r="AE8" s="481"/>
    </row>
    <row r="9" spans="1:61" ht="9.75" customHeight="1" x14ac:dyDescent="0.2">
      <c r="A9" s="2"/>
      <c r="B9" s="2"/>
      <c r="C9" s="2"/>
      <c r="D9" s="2"/>
      <c r="E9" s="2"/>
      <c r="F9" s="281"/>
      <c r="G9" s="281"/>
      <c r="H9" s="281"/>
      <c r="I9" s="2"/>
      <c r="J9" s="281"/>
      <c r="K9" s="281"/>
      <c r="L9" s="281"/>
      <c r="M9" s="2"/>
      <c r="N9" s="281"/>
      <c r="O9" s="2"/>
      <c r="P9" s="281"/>
      <c r="Q9" s="2"/>
      <c r="R9" s="281"/>
      <c r="S9" s="2"/>
      <c r="T9" s="281"/>
      <c r="U9" s="2"/>
      <c r="V9" s="281"/>
      <c r="W9" s="2"/>
      <c r="X9" s="281"/>
      <c r="Y9" s="2"/>
      <c r="Z9" s="281"/>
      <c r="AA9" s="2"/>
      <c r="AB9" s="2"/>
      <c r="AC9" s="481"/>
      <c r="AD9" s="481"/>
      <c r="AE9" s="481"/>
      <c r="AO9" s="366"/>
      <c r="AP9" s="366"/>
      <c r="AY9" s="481"/>
      <c r="AZ9" s="481"/>
      <c r="BA9" s="481"/>
    </row>
    <row r="10" spans="1:61" x14ac:dyDescent="0.2">
      <c r="A10" s="5" t="s">
        <v>1</v>
      </c>
      <c r="B10" s="6"/>
      <c r="C10" s="3204"/>
      <c r="D10" s="3205"/>
      <c r="E10" s="184"/>
      <c r="F10" s="273"/>
      <c r="G10" s="273"/>
      <c r="H10" s="273"/>
      <c r="I10" s="17"/>
      <c r="J10" s="273"/>
      <c r="K10" s="273"/>
      <c r="L10" s="273"/>
      <c r="M10" s="17"/>
      <c r="N10" s="15"/>
      <c r="O10" s="16"/>
      <c r="P10" s="273"/>
      <c r="Q10" s="17"/>
      <c r="R10" s="15"/>
      <c r="S10" s="16"/>
      <c r="T10" s="273"/>
      <c r="U10" s="17"/>
      <c r="W10" s="16"/>
      <c r="X10" s="2"/>
      <c r="Y10" s="17"/>
      <c r="Z10" s="16"/>
      <c r="AB10" s="273"/>
      <c r="AC10" s="17"/>
      <c r="AD10" s="16"/>
      <c r="AE10" s="16"/>
      <c r="AF10" s="16"/>
      <c r="AG10" s="16"/>
      <c r="AH10" s="20"/>
      <c r="AI10" s="17"/>
      <c r="AJ10" s="17"/>
      <c r="AK10" s="17"/>
      <c r="AL10" s="22"/>
      <c r="AM10" s="445" t="s">
        <v>299</v>
      </c>
      <c r="AN10" s="433"/>
      <c r="AO10" s="433" t="s">
        <v>284</v>
      </c>
      <c r="AP10" s="434"/>
      <c r="AQ10" s="13"/>
      <c r="AR10" s="46"/>
      <c r="AS10" s="46"/>
      <c r="AT10" s="46"/>
      <c r="AU10" s="46"/>
      <c r="AV10" s="46"/>
      <c r="AW10" s="15"/>
      <c r="AX10" s="20"/>
      <c r="AY10" s="46"/>
      <c r="AZ10" s="572"/>
      <c r="BA10" s="573"/>
      <c r="BB10" s="23"/>
    </row>
    <row r="11" spans="1:61" ht="13.5" x14ac:dyDescent="0.2">
      <c r="A11" s="5" t="s">
        <v>2</v>
      </c>
      <c r="B11" s="6"/>
      <c r="C11" s="3201"/>
      <c r="D11" s="3202"/>
      <c r="E11" s="355"/>
      <c r="F11" s="19" t="s">
        <v>315</v>
      </c>
      <c r="G11" s="19" t="s">
        <v>314</v>
      </c>
      <c r="H11" s="19" t="s">
        <v>313</v>
      </c>
      <c r="I11" s="12" t="s">
        <v>311</v>
      </c>
      <c r="J11" s="19" t="s">
        <v>270</v>
      </c>
      <c r="K11" s="19" t="s">
        <v>271</v>
      </c>
      <c r="L11" s="19" t="s">
        <v>272</v>
      </c>
      <c r="M11" s="12" t="s">
        <v>273</v>
      </c>
      <c r="N11" s="18" t="s">
        <v>223</v>
      </c>
      <c r="O11" s="19" t="s">
        <v>224</v>
      </c>
      <c r="P11" s="19" t="s">
        <v>225</v>
      </c>
      <c r="Q11" s="12" t="s">
        <v>222</v>
      </c>
      <c r="R11" s="18" t="s">
        <v>189</v>
      </c>
      <c r="S11" s="19" t="s">
        <v>190</v>
      </c>
      <c r="T11" s="19" t="s">
        <v>191</v>
      </c>
      <c r="U11" s="12" t="s">
        <v>192</v>
      </c>
      <c r="V11" s="19" t="s">
        <v>121</v>
      </c>
      <c r="W11" s="19" t="s">
        <v>120</v>
      </c>
      <c r="X11" s="19" t="s">
        <v>119</v>
      </c>
      <c r="Y11" s="12" t="s">
        <v>118</v>
      </c>
      <c r="Z11" s="19" t="s">
        <v>81</v>
      </c>
      <c r="AA11" s="19" t="s">
        <v>82</v>
      </c>
      <c r="AB11" s="19" t="s">
        <v>83</v>
      </c>
      <c r="AC11" s="12" t="s">
        <v>29</v>
      </c>
      <c r="AD11" s="19" t="s">
        <v>30</v>
      </c>
      <c r="AE11" s="19" t="s">
        <v>31</v>
      </c>
      <c r="AF11" s="19" t="s">
        <v>32</v>
      </c>
      <c r="AG11" s="19" t="s">
        <v>33</v>
      </c>
      <c r="AH11" s="21" t="s">
        <v>34</v>
      </c>
      <c r="AI11" s="12" t="s">
        <v>35</v>
      </c>
      <c r="AJ11" s="12" t="s">
        <v>36</v>
      </c>
      <c r="AK11" s="12" t="s">
        <v>37</v>
      </c>
      <c r="AL11" s="184"/>
      <c r="AM11" s="19" t="s">
        <v>271</v>
      </c>
      <c r="AN11" s="19" t="s">
        <v>224</v>
      </c>
      <c r="AO11" s="3206" t="s">
        <v>38</v>
      </c>
      <c r="AP11" s="3207"/>
      <c r="AQ11" s="568"/>
      <c r="AR11" s="18" t="s">
        <v>275</v>
      </c>
      <c r="AS11" s="18" t="s">
        <v>227</v>
      </c>
      <c r="AT11" s="18"/>
      <c r="AU11" s="18"/>
      <c r="AV11" s="18"/>
      <c r="AW11" s="18"/>
      <c r="AX11" s="21"/>
      <c r="AY11" s="21"/>
      <c r="AZ11" s="21"/>
      <c r="BA11" s="18"/>
      <c r="BB11" s="23"/>
      <c r="BC11" s="481"/>
      <c r="BD11" s="481"/>
      <c r="BG11" s="481"/>
      <c r="BH11" s="481"/>
      <c r="BI11" s="481"/>
    </row>
    <row r="12" spans="1:61" x14ac:dyDescent="0.2">
      <c r="A12" s="5"/>
      <c r="B12" s="6"/>
      <c r="C12" s="571"/>
      <c r="D12" s="569"/>
      <c r="E12" s="355"/>
      <c r="F12" s="421" t="s">
        <v>240</v>
      </c>
      <c r="G12" s="421" t="s">
        <v>240</v>
      </c>
      <c r="H12" s="421" t="s">
        <v>240</v>
      </c>
      <c r="I12" s="422" t="s">
        <v>240</v>
      </c>
      <c r="J12" s="421" t="s">
        <v>240</v>
      </c>
      <c r="K12" s="421" t="s">
        <v>240</v>
      </c>
      <c r="L12" s="421" t="s">
        <v>240</v>
      </c>
      <c r="M12" s="422" t="s">
        <v>240</v>
      </c>
      <c r="N12" s="420" t="s">
        <v>240</v>
      </c>
      <c r="O12" s="421" t="s">
        <v>240</v>
      </c>
      <c r="P12" s="421" t="s">
        <v>240</v>
      </c>
      <c r="Q12" s="422" t="s">
        <v>240</v>
      </c>
      <c r="R12" s="420" t="s">
        <v>240</v>
      </c>
      <c r="S12" s="421" t="s">
        <v>240</v>
      </c>
      <c r="T12" s="421" t="s">
        <v>240</v>
      </c>
      <c r="U12" s="422" t="s">
        <v>240</v>
      </c>
      <c r="V12" s="420" t="s">
        <v>241</v>
      </c>
      <c r="W12" s="421" t="s">
        <v>241</v>
      </c>
      <c r="X12" s="421" t="s">
        <v>241</v>
      </c>
      <c r="Y12" s="422" t="s">
        <v>241</v>
      </c>
      <c r="Z12" s="13"/>
      <c r="AA12" s="13"/>
      <c r="AB12" s="13"/>
      <c r="AC12" s="159"/>
      <c r="AD12" s="13"/>
      <c r="AE12" s="13"/>
      <c r="AF12" s="13"/>
      <c r="AG12" s="13"/>
      <c r="AH12" s="184"/>
      <c r="AI12" s="159"/>
      <c r="AJ12" s="159"/>
      <c r="AK12" s="159"/>
      <c r="AL12" s="184"/>
      <c r="AM12" s="420" t="s">
        <v>240</v>
      </c>
      <c r="AN12" s="421" t="s">
        <v>240</v>
      </c>
      <c r="AO12" s="435"/>
      <c r="AP12" s="436"/>
      <c r="AQ12" s="568"/>
      <c r="AR12" s="420" t="s">
        <v>240</v>
      </c>
      <c r="AS12" s="420" t="s">
        <v>240</v>
      </c>
      <c r="AT12" s="420"/>
      <c r="AU12" s="420"/>
      <c r="AV12" s="420"/>
      <c r="AW12" s="420"/>
      <c r="AX12" s="423"/>
      <c r="AY12" s="184"/>
      <c r="AZ12" s="184"/>
      <c r="BA12" s="158"/>
      <c r="BB12" s="23"/>
      <c r="BC12" s="481"/>
      <c r="BD12" s="481"/>
      <c r="BG12" s="481"/>
      <c r="BH12" s="481"/>
      <c r="BI12" s="481"/>
    </row>
    <row r="13" spans="1:61" ht="12.75" customHeight="1" x14ac:dyDescent="0.2">
      <c r="A13" s="408" t="s">
        <v>59</v>
      </c>
      <c r="B13" s="7"/>
      <c r="C13" s="105"/>
      <c r="D13" s="107"/>
      <c r="E13" s="47"/>
      <c r="F13" s="483"/>
      <c r="G13" s="483"/>
      <c r="H13" s="483"/>
      <c r="I13" s="107"/>
      <c r="J13" s="483"/>
      <c r="K13" s="483"/>
      <c r="L13" s="483"/>
      <c r="M13" s="107"/>
      <c r="N13" s="483"/>
      <c r="O13" s="483"/>
      <c r="P13" s="483"/>
      <c r="Q13" s="107"/>
      <c r="R13" s="483"/>
      <c r="S13" s="483"/>
      <c r="T13" s="483"/>
      <c r="U13" s="107"/>
      <c r="V13" s="483"/>
      <c r="W13" s="483"/>
      <c r="X13" s="483"/>
      <c r="Y13" s="107"/>
      <c r="Z13" s="483"/>
      <c r="AA13" s="483"/>
      <c r="AB13" s="483"/>
      <c r="AC13" s="107"/>
      <c r="AD13" s="126"/>
      <c r="AE13" s="483"/>
      <c r="AF13" s="483"/>
      <c r="AH13" s="20"/>
      <c r="AI13" s="24"/>
      <c r="AJ13" s="24"/>
      <c r="AK13" s="17"/>
      <c r="AL13" s="47"/>
      <c r="AM13" s="483"/>
      <c r="AN13" s="483"/>
      <c r="AO13" s="483"/>
      <c r="AP13" s="107"/>
      <c r="AQ13" s="482"/>
      <c r="AR13" s="47"/>
      <c r="AS13" s="47"/>
      <c r="AT13" s="47"/>
      <c r="AU13" s="47"/>
      <c r="AV13" s="47"/>
      <c r="AW13" s="105"/>
      <c r="AX13" s="47"/>
      <c r="AY13" s="225"/>
      <c r="AZ13" s="225"/>
      <c r="BA13" s="467"/>
      <c r="BB13" s="23"/>
      <c r="BC13" s="481"/>
      <c r="BD13" s="481"/>
      <c r="BG13" s="481"/>
    </row>
    <row r="14" spans="1:61" ht="12.75" customHeight="1" x14ac:dyDescent="0.2">
      <c r="A14" s="6"/>
      <c r="B14" s="489" t="s">
        <v>283</v>
      </c>
      <c r="C14" s="459"/>
      <c r="D14" s="498"/>
      <c r="E14" s="497"/>
      <c r="F14" s="502"/>
      <c r="G14" s="502"/>
      <c r="H14" s="502"/>
      <c r="I14" s="143">
        <v>755</v>
      </c>
      <c r="J14" s="502">
        <v>1298</v>
      </c>
      <c r="K14" s="502">
        <v>178</v>
      </c>
      <c r="L14" s="502">
        <v>1153</v>
      </c>
      <c r="M14" s="143">
        <v>844</v>
      </c>
      <c r="N14" s="488">
        <v>0</v>
      </c>
      <c r="O14" s="488">
        <v>0</v>
      </c>
      <c r="P14" s="488">
        <v>0</v>
      </c>
      <c r="Q14" s="109">
        <v>0</v>
      </c>
      <c r="R14" s="488">
        <v>0</v>
      </c>
      <c r="S14" s="488">
        <v>0</v>
      </c>
      <c r="T14" s="488">
        <v>0</v>
      </c>
      <c r="U14" s="109">
        <v>0</v>
      </c>
      <c r="V14" s="502"/>
      <c r="W14" s="502"/>
      <c r="X14" s="502"/>
      <c r="Y14" s="143"/>
      <c r="Z14" s="502"/>
      <c r="AA14" s="502"/>
      <c r="AB14" s="502"/>
      <c r="AC14" s="143"/>
      <c r="AD14" s="114"/>
      <c r="AE14" s="139"/>
      <c r="AF14" s="139"/>
      <c r="AG14" s="488"/>
      <c r="AH14" s="409"/>
      <c r="AI14" s="109"/>
      <c r="AJ14" s="109"/>
      <c r="AK14" s="109"/>
      <c r="AL14" s="47"/>
      <c r="AM14" s="488">
        <f>SUM(K14:M14)</f>
        <v>2175</v>
      </c>
      <c r="AN14" s="488">
        <f>SUM(O14:Q14)</f>
        <v>0</v>
      </c>
      <c r="AO14" s="507">
        <f>AR14-AS14</f>
        <v>3473</v>
      </c>
      <c r="AP14" s="324" t="s">
        <v>41</v>
      </c>
      <c r="AQ14" s="482"/>
      <c r="AR14" s="499">
        <f>SUM(J14:M14)</f>
        <v>3473</v>
      </c>
      <c r="AS14" s="410"/>
      <c r="AT14" s="410"/>
      <c r="AU14" s="410"/>
      <c r="AV14" s="410"/>
      <c r="AW14" s="410"/>
      <c r="AX14" s="499"/>
      <c r="AY14" s="226"/>
      <c r="AZ14" s="226"/>
      <c r="BA14" s="226"/>
      <c r="BB14" s="483"/>
      <c r="BD14" s="481"/>
      <c r="BG14" s="481"/>
    </row>
    <row r="15" spans="1:61" ht="12.75" customHeight="1" x14ac:dyDescent="0.2">
      <c r="A15" s="7"/>
      <c r="B15" s="6"/>
      <c r="C15" s="110"/>
      <c r="D15" s="111"/>
      <c r="E15" s="497"/>
      <c r="F15" s="269">
        <f t="shared" ref="F15:N15" si="0">SUM(F14:F14)</f>
        <v>0</v>
      </c>
      <c r="G15" s="269">
        <f t="shared" si="0"/>
        <v>0</v>
      </c>
      <c r="H15" s="269">
        <f t="shared" si="0"/>
        <v>0</v>
      </c>
      <c r="I15" s="148">
        <f t="shared" si="0"/>
        <v>755</v>
      </c>
      <c r="J15" s="269">
        <f t="shared" si="0"/>
        <v>1298</v>
      </c>
      <c r="K15" s="269">
        <f t="shared" si="0"/>
        <v>178</v>
      </c>
      <c r="L15" s="269">
        <f t="shared" si="0"/>
        <v>1153</v>
      </c>
      <c r="M15" s="148">
        <f t="shared" si="0"/>
        <v>844</v>
      </c>
      <c r="N15" s="269">
        <f t="shared" si="0"/>
        <v>0</v>
      </c>
      <c r="O15" s="269">
        <f>SUM(O14:O14)</f>
        <v>0</v>
      </c>
      <c r="P15" s="269">
        <f>SUM(P14:P14)</f>
        <v>0</v>
      </c>
      <c r="Q15" s="269">
        <f>SUM(Q14:Q14)</f>
        <v>0</v>
      </c>
      <c r="R15" s="269">
        <v>72704</v>
      </c>
      <c r="S15" s="269">
        <v>68599</v>
      </c>
      <c r="T15" s="269">
        <v>44539</v>
      </c>
      <c r="U15" s="148">
        <v>47207</v>
      </c>
      <c r="V15" s="269">
        <v>54990</v>
      </c>
      <c r="W15" s="269">
        <v>51733</v>
      </c>
      <c r="X15" s="269">
        <v>40138</v>
      </c>
      <c r="Y15" s="148">
        <v>40185</v>
      </c>
      <c r="Z15" s="269">
        <v>37255</v>
      </c>
      <c r="AA15" s="269">
        <v>33532</v>
      </c>
      <c r="AB15" s="269">
        <v>43844</v>
      </c>
      <c r="AC15" s="148">
        <v>57853</v>
      </c>
      <c r="AD15" s="117">
        <v>54463</v>
      </c>
      <c r="AE15" s="147">
        <v>61166</v>
      </c>
      <c r="AF15" s="147">
        <v>57415</v>
      </c>
      <c r="AG15" s="147">
        <v>76083</v>
      </c>
      <c r="AH15" s="112">
        <v>75876</v>
      </c>
      <c r="AI15" s="148">
        <v>68831</v>
      </c>
      <c r="AJ15" s="148">
        <v>55626</v>
      </c>
      <c r="AK15" s="148">
        <v>72286</v>
      </c>
      <c r="AL15" s="47"/>
      <c r="AM15" s="517">
        <f>SUM(AM14:AM14)</f>
        <v>2175</v>
      </c>
      <c r="AN15" s="517">
        <f>SUM(AN14:AN14)</f>
        <v>0</v>
      </c>
      <c r="AO15" s="269">
        <f>AR15-AS15</f>
        <v>3473</v>
      </c>
      <c r="AP15" s="111" t="e">
        <f>IF(OR((AO15/AS15)&gt;3,(AO15/AS15)&lt;-3),"n.m.",(AO15/AS15))</f>
        <v>#DIV/0!</v>
      </c>
      <c r="AQ15" s="482"/>
      <c r="AR15" s="130">
        <f>SUM(AR14:AR14)</f>
        <v>3473</v>
      </c>
      <c r="AS15" s="130"/>
      <c r="AT15" s="130"/>
      <c r="AU15" s="130"/>
      <c r="AV15" s="130"/>
      <c r="AW15" s="130"/>
      <c r="AX15" s="130"/>
      <c r="AY15" s="227"/>
      <c r="AZ15" s="227"/>
      <c r="BA15" s="227"/>
      <c r="BB15" s="483"/>
      <c r="BD15" s="481"/>
      <c r="BG15" s="481"/>
    </row>
    <row r="16" spans="1:61" ht="12.75" customHeight="1" x14ac:dyDescent="0.2">
      <c r="A16" s="408" t="s">
        <v>5</v>
      </c>
      <c r="B16" s="6"/>
      <c r="C16" s="459"/>
      <c r="D16" s="498"/>
      <c r="E16" s="497"/>
      <c r="F16" s="502"/>
      <c r="G16" s="502"/>
      <c r="H16" s="502"/>
      <c r="I16" s="143"/>
      <c r="J16" s="502"/>
      <c r="K16" s="502"/>
      <c r="L16" s="502"/>
      <c r="M16" s="143"/>
      <c r="N16" s="502"/>
      <c r="O16" s="502"/>
      <c r="P16" s="502"/>
      <c r="Q16" s="143"/>
      <c r="R16" s="502"/>
      <c r="S16" s="502"/>
      <c r="T16" s="502"/>
      <c r="U16" s="143"/>
      <c r="V16" s="502"/>
      <c r="W16" s="502"/>
      <c r="X16" s="502"/>
      <c r="Y16" s="143"/>
      <c r="Z16" s="502"/>
      <c r="AA16" s="502"/>
      <c r="AB16" s="502"/>
      <c r="AC16" s="143"/>
      <c r="AD16" s="114"/>
      <c r="AE16" s="139"/>
      <c r="AF16" s="139"/>
      <c r="AG16" s="139"/>
      <c r="AH16" s="486"/>
      <c r="AI16" s="143"/>
      <c r="AJ16" s="143"/>
      <c r="AK16" s="143"/>
      <c r="AL16" s="47"/>
      <c r="AM16" s="488"/>
      <c r="AN16" s="488"/>
      <c r="AO16" s="507"/>
      <c r="AP16" s="498"/>
      <c r="AQ16" s="482"/>
      <c r="AR16" s="131"/>
      <c r="AS16" s="131"/>
      <c r="AT16" s="131"/>
      <c r="AU16" s="131"/>
      <c r="AV16" s="131"/>
      <c r="AW16" s="499"/>
      <c r="AX16" s="499"/>
      <c r="AY16" s="226"/>
      <c r="AZ16" s="226"/>
      <c r="BA16" s="226"/>
      <c r="BB16" s="483"/>
      <c r="BD16" s="481"/>
      <c r="BG16" s="481"/>
    </row>
    <row r="17" spans="1:59" ht="12.75" customHeight="1" x14ac:dyDescent="0.2">
      <c r="A17" s="408"/>
      <c r="B17" s="6" t="s">
        <v>292</v>
      </c>
      <c r="C17" s="459"/>
      <c r="D17" s="498"/>
      <c r="E17" s="497"/>
      <c r="F17" s="502"/>
      <c r="G17" s="502"/>
      <c r="H17" s="502"/>
      <c r="I17" s="143">
        <v>681</v>
      </c>
      <c r="J17" s="502">
        <v>750</v>
      </c>
      <c r="K17" s="502">
        <v>810</v>
      </c>
      <c r="L17" s="502">
        <v>332</v>
      </c>
      <c r="M17" s="143">
        <v>570</v>
      </c>
      <c r="N17" s="502"/>
      <c r="O17" s="502"/>
      <c r="P17" s="502"/>
      <c r="Q17" s="143"/>
      <c r="R17" s="502">
        <v>33880</v>
      </c>
      <c r="S17" s="502">
        <v>33144</v>
      </c>
      <c r="T17" s="502">
        <v>20664</v>
      </c>
      <c r="U17" s="143"/>
      <c r="V17" s="502"/>
      <c r="W17" s="502"/>
      <c r="X17" s="502"/>
      <c r="Y17" s="143"/>
      <c r="Z17" s="502"/>
      <c r="AA17" s="502"/>
      <c r="AB17" s="502"/>
      <c r="AC17" s="143"/>
      <c r="AD17" s="114"/>
      <c r="AE17" s="139"/>
      <c r="AF17" s="139"/>
      <c r="AG17" s="139"/>
      <c r="AH17" s="486"/>
      <c r="AI17" s="143"/>
      <c r="AJ17" s="143"/>
      <c r="AK17" s="143"/>
      <c r="AL17" s="47"/>
      <c r="AM17" s="488">
        <f t="shared" ref="AM17:AM30" si="1">SUM(K17:M17)</f>
        <v>1712</v>
      </c>
      <c r="AN17" s="488">
        <f t="shared" ref="AN17:AN30" si="2">SUM(O17:Q17)</f>
        <v>0</v>
      </c>
      <c r="AO17" s="507">
        <f t="shared" ref="AO17:AO28" si="3">AR17-AS17</f>
        <v>2462</v>
      </c>
      <c r="AP17" s="498" t="e">
        <f t="shared" ref="AP17:AP28" si="4">IF(OR((AO17/AS17)&gt;3,(AO17/AS17)&lt;-3),"n.m.",(AO17/AS17))</f>
        <v>#DIV/0!</v>
      </c>
      <c r="AQ17" s="482"/>
      <c r="AR17" s="499">
        <f t="shared" ref="AR17:AR30" si="5">SUM(J17:M17)</f>
        <v>2462</v>
      </c>
      <c r="AS17" s="499"/>
      <c r="AT17" s="499"/>
      <c r="AU17" s="499"/>
      <c r="AV17" s="499"/>
      <c r="AW17" s="499"/>
      <c r="AX17" s="499"/>
      <c r="AY17" s="226"/>
      <c r="AZ17" s="226"/>
      <c r="BA17" s="226"/>
      <c r="BB17" s="483"/>
      <c r="BD17" s="481"/>
      <c r="BG17" s="481"/>
    </row>
    <row r="18" spans="1:59" ht="12.75" customHeight="1" x14ac:dyDescent="0.2">
      <c r="A18" s="408"/>
      <c r="B18" s="6" t="s">
        <v>293</v>
      </c>
      <c r="C18" s="267"/>
      <c r="D18" s="92"/>
      <c r="E18" s="497"/>
      <c r="F18" s="271"/>
      <c r="G18" s="271"/>
      <c r="H18" s="271"/>
      <c r="I18" s="146">
        <v>0</v>
      </c>
      <c r="J18" s="271">
        <v>2</v>
      </c>
      <c r="K18" s="271">
        <v>16</v>
      </c>
      <c r="L18" s="271">
        <v>0</v>
      </c>
      <c r="M18" s="146">
        <v>0</v>
      </c>
      <c r="N18" s="271"/>
      <c r="O18" s="271"/>
      <c r="P18" s="271"/>
      <c r="Q18" s="146"/>
      <c r="R18" s="271">
        <v>1641</v>
      </c>
      <c r="S18" s="271">
        <v>2757</v>
      </c>
      <c r="T18" s="271">
        <v>897</v>
      </c>
      <c r="U18" s="143"/>
      <c r="V18" s="502"/>
      <c r="W18" s="502"/>
      <c r="X18" s="502"/>
      <c r="Y18" s="143"/>
      <c r="Z18" s="502"/>
      <c r="AA18" s="502"/>
      <c r="AB18" s="502"/>
      <c r="AC18" s="143"/>
      <c r="AD18" s="114"/>
      <c r="AE18" s="139"/>
      <c r="AF18" s="139"/>
      <c r="AG18" s="139"/>
      <c r="AH18" s="486"/>
      <c r="AI18" s="143"/>
      <c r="AJ18" s="143"/>
      <c r="AK18" s="143"/>
      <c r="AL18" s="47"/>
      <c r="AM18" s="250">
        <f t="shared" si="1"/>
        <v>16</v>
      </c>
      <c r="AN18" s="250">
        <f t="shared" si="2"/>
        <v>0</v>
      </c>
      <c r="AO18" s="100">
        <f t="shared" si="3"/>
        <v>18</v>
      </c>
      <c r="AP18" s="92" t="e">
        <f t="shared" si="4"/>
        <v>#DIV/0!</v>
      </c>
      <c r="AQ18" s="482"/>
      <c r="AR18" s="134">
        <f t="shared" si="5"/>
        <v>18</v>
      </c>
      <c r="AS18" s="134"/>
      <c r="AT18" s="134"/>
      <c r="AU18" s="134"/>
      <c r="AV18" s="134"/>
      <c r="AW18" s="134"/>
      <c r="AX18" s="499"/>
      <c r="AY18" s="226"/>
      <c r="AZ18" s="226"/>
      <c r="BA18" s="226"/>
      <c r="BB18" s="483"/>
      <c r="BD18" s="481"/>
      <c r="BG18" s="481"/>
    </row>
    <row r="19" spans="1:59" ht="12.75" customHeight="1" x14ac:dyDescent="0.2">
      <c r="A19" s="7"/>
      <c r="B19" s="482" t="s">
        <v>211</v>
      </c>
      <c r="C19" s="459"/>
      <c r="D19" s="498"/>
      <c r="E19" s="497"/>
      <c r="F19" s="502">
        <f t="shared" ref="F19:M19" si="6">SUM(F17:F18)</f>
        <v>0</v>
      </c>
      <c r="G19" s="502">
        <f t="shared" si="6"/>
        <v>0</v>
      </c>
      <c r="H19" s="502">
        <f t="shared" si="6"/>
        <v>0</v>
      </c>
      <c r="I19" s="143">
        <f t="shared" si="6"/>
        <v>681</v>
      </c>
      <c r="J19" s="502">
        <f t="shared" si="6"/>
        <v>752</v>
      </c>
      <c r="K19" s="502">
        <f t="shared" si="6"/>
        <v>826</v>
      </c>
      <c r="L19" s="502">
        <f t="shared" si="6"/>
        <v>332</v>
      </c>
      <c r="M19" s="143">
        <f t="shared" si="6"/>
        <v>570</v>
      </c>
      <c r="N19" s="502"/>
      <c r="O19" s="502"/>
      <c r="P19" s="502"/>
      <c r="Q19" s="143"/>
      <c r="R19" s="502">
        <v>35521</v>
      </c>
      <c r="S19" s="502">
        <v>35901</v>
      </c>
      <c r="T19" s="502">
        <v>21561</v>
      </c>
      <c r="U19" s="143">
        <v>23281</v>
      </c>
      <c r="V19" s="502">
        <v>26203</v>
      </c>
      <c r="W19" s="502">
        <v>24376</v>
      </c>
      <c r="X19" s="502">
        <v>19368</v>
      </c>
      <c r="Y19" s="143">
        <v>18643</v>
      </c>
      <c r="Z19" s="502">
        <v>13122</v>
      </c>
      <c r="AA19" s="502">
        <v>14195</v>
      </c>
      <c r="AB19" s="502">
        <v>20116</v>
      </c>
      <c r="AC19" s="143">
        <v>26950</v>
      </c>
      <c r="AD19" s="114">
        <v>24166</v>
      </c>
      <c r="AE19" s="139">
        <v>28443</v>
      </c>
      <c r="AF19" s="139">
        <v>25351</v>
      </c>
      <c r="AG19" s="139">
        <v>37680</v>
      </c>
      <c r="AH19" s="486">
        <v>36567</v>
      </c>
      <c r="AI19" s="143">
        <v>31848</v>
      </c>
      <c r="AJ19" s="143">
        <v>24885</v>
      </c>
      <c r="AK19" s="143">
        <v>33368</v>
      </c>
      <c r="AL19" s="47"/>
      <c r="AM19" s="488">
        <f t="shared" si="1"/>
        <v>1728</v>
      </c>
      <c r="AN19" s="488">
        <f t="shared" si="2"/>
        <v>0</v>
      </c>
      <c r="AO19" s="507">
        <f t="shared" si="3"/>
        <v>2480</v>
      </c>
      <c r="AP19" s="498" t="e">
        <f t="shared" si="4"/>
        <v>#DIV/0!</v>
      </c>
      <c r="AQ19" s="482"/>
      <c r="AR19" s="499">
        <f>SUM(AR17:AR18)</f>
        <v>2480</v>
      </c>
      <c r="AS19" s="499"/>
      <c r="AT19" s="499"/>
      <c r="AU19" s="499"/>
      <c r="AV19" s="499"/>
      <c r="AW19" s="499"/>
      <c r="AX19" s="499"/>
      <c r="AY19" s="226"/>
      <c r="AZ19" s="226"/>
      <c r="BA19" s="226"/>
      <c r="BB19" s="483"/>
      <c r="BD19" s="481"/>
      <c r="BG19" s="481"/>
    </row>
    <row r="20" spans="1:59" ht="12.75" customHeight="1" x14ac:dyDescent="0.2">
      <c r="A20" s="7"/>
      <c r="B20" s="489" t="s">
        <v>64</v>
      </c>
      <c r="C20" s="459"/>
      <c r="D20" s="498"/>
      <c r="E20" s="497"/>
      <c r="F20" s="502"/>
      <c r="G20" s="502"/>
      <c r="H20" s="502"/>
      <c r="I20" s="143">
        <v>6</v>
      </c>
      <c r="J20" s="502">
        <v>53</v>
      </c>
      <c r="K20" s="502">
        <v>17</v>
      </c>
      <c r="L20" s="502">
        <v>0</v>
      </c>
      <c r="M20" s="143">
        <v>1</v>
      </c>
      <c r="N20" s="502"/>
      <c r="O20" s="502"/>
      <c r="P20" s="502"/>
      <c r="Q20" s="143"/>
      <c r="R20" s="502">
        <v>5565</v>
      </c>
      <c r="S20" s="502">
        <v>3601</v>
      </c>
      <c r="T20" s="502">
        <v>4817</v>
      </c>
      <c r="U20" s="143">
        <v>3882</v>
      </c>
      <c r="V20" s="502">
        <v>5573</v>
      </c>
      <c r="W20" s="502">
        <v>4015</v>
      </c>
      <c r="X20" s="502">
        <v>4360</v>
      </c>
      <c r="Y20" s="143">
        <v>4246</v>
      </c>
      <c r="Z20" s="502">
        <v>4505</v>
      </c>
      <c r="AA20" s="502">
        <v>3057</v>
      </c>
      <c r="AB20" s="502">
        <v>3477</v>
      </c>
      <c r="AC20" s="143">
        <v>3781</v>
      </c>
      <c r="AD20" s="114">
        <v>4683</v>
      </c>
      <c r="AE20" s="139">
        <v>3272</v>
      </c>
      <c r="AF20" s="139">
        <v>3510</v>
      </c>
      <c r="AG20" s="139">
        <v>4049</v>
      </c>
      <c r="AH20" s="486">
        <v>4303</v>
      </c>
      <c r="AI20" s="143">
        <v>3039</v>
      </c>
      <c r="AJ20" s="143">
        <v>2854</v>
      </c>
      <c r="AK20" s="143">
        <v>3430</v>
      </c>
      <c r="AL20" s="47"/>
      <c r="AM20" s="488">
        <f t="shared" si="1"/>
        <v>18</v>
      </c>
      <c r="AN20" s="488">
        <f t="shared" si="2"/>
        <v>0</v>
      </c>
      <c r="AO20" s="507">
        <f t="shared" si="3"/>
        <v>71</v>
      </c>
      <c r="AP20" s="498" t="e">
        <f t="shared" si="4"/>
        <v>#DIV/0!</v>
      </c>
      <c r="AQ20" s="482"/>
      <c r="AR20" s="499">
        <f t="shared" si="5"/>
        <v>71</v>
      </c>
      <c r="AS20" s="499"/>
      <c r="AT20" s="499"/>
      <c r="AU20" s="499"/>
      <c r="AV20" s="499"/>
      <c r="AW20" s="499"/>
      <c r="AX20" s="499"/>
      <c r="AY20" s="226"/>
      <c r="AZ20" s="226"/>
      <c r="BA20" s="226"/>
      <c r="BB20" s="483"/>
      <c r="BD20" s="481"/>
      <c r="BG20" s="481"/>
    </row>
    <row r="21" spans="1:59" ht="12.75" customHeight="1" x14ac:dyDescent="0.2">
      <c r="A21" s="7"/>
      <c r="B21" s="489" t="s">
        <v>65</v>
      </c>
      <c r="C21" s="459"/>
      <c r="D21" s="498"/>
      <c r="E21" s="497"/>
      <c r="F21" s="502"/>
      <c r="G21" s="502"/>
      <c r="H21" s="502"/>
      <c r="I21" s="143">
        <v>221</v>
      </c>
      <c r="J21" s="502">
        <v>159</v>
      </c>
      <c r="K21" s="502">
        <v>53</v>
      </c>
      <c r="L21" s="502">
        <v>197</v>
      </c>
      <c r="M21" s="143">
        <v>132</v>
      </c>
      <c r="N21" s="502"/>
      <c r="O21" s="502"/>
      <c r="P21" s="502"/>
      <c r="Q21" s="143"/>
      <c r="R21" s="502">
        <v>2253</v>
      </c>
      <c r="S21" s="502">
        <v>2017</v>
      </c>
      <c r="T21" s="502">
        <v>1577</v>
      </c>
      <c r="U21" s="143">
        <v>2224</v>
      </c>
      <c r="V21" s="502">
        <v>2320</v>
      </c>
      <c r="W21" s="502">
        <v>1910</v>
      </c>
      <c r="X21" s="502">
        <v>2120</v>
      </c>
      <c r="Y21" s="143">
        <v>2156</v>
      </c>
      <c r="Z21" s="502">
        <v>1697</v>
      </c>
      <c r="AA21" s="502">
        <v>1856</v>
      </c>
      <c r="AB21" s="502">
        <v>1606</v>
      </c>
      <c r="AC21" s="143">
        <v>1849</v>
      </c>
      <c r="AD21" s="114">
        <v>1694</v>
      </c>
      <c r="AE21" s="139">
        <v>2331</v>
      </c>
      <c r="AF21" s="139">
        <v>2158</v>
      </c>
      <c r="AG21" s="139">
        <v>2399</v>
      </c>
      <c r="AH21" s="486">
        <v>2477</v>
      </c>
      <c r="AI21" s="143">
        <v>2338</v>
      </c>
      <c r="AJ21" s="143">
        <v>2276</v>
      </c>
      <c r="AK21" s="143">
        <v>3066</v>
      </c>
      <c r="AL21" s="47"/>
      <c r="AM21" s="488">
        <f t="shared" si="1"/>
        <v>382</v>
      </c>
      <c r="AN21" s="488">
        <f t="shared" si="2"/>
        <v>0</v>
      </c>
      <c r="AO21" s="507">
        <f t="shared" si="3"/>
        <v>541</v>
      </c>
      <c r="AP21" s="498" t="e">
        <f t="shared" si="4"/>
        <v>#DIV/0!</v>
      </c>
      <c r="AQ21" s="482"/>
      <c r="AR21" s="499">
        <f t="shared" si="5"/>
        <v>541</v>
      </c>
      <c r="AS21" s="499"/>
      <c r="AT21" s="499"/>
      <c r="AU21" s="499"/>
      <c r="AV21" s="499"/>
      <c r="AW21" s="499"/>
      <c r="AX21" s="499"/>
      <c r="AY21" s="226"/>
      <c r="AZ21" s="226"/>
      <c r="BA21" s="226"/>
      <c r="BB21" s="483"/>
      <c r="BD21" s="481"/>
      <c r="BG21" s="481"/>
    </row>
    <row r="22" spans="1:59" ht="12.75" customHeight="1" x14ac:dyDescent="0.2">
      <c r="A22" s="7"/>
      <c r="B22" s="489" t="s">
        <v>66</v>
      </c>
      <c r="C22" s="459"/>
      <c r="D22" s="498"/>
      <c r="E22" s="497"/>
      <c r="F22" s="502"/>
      <c r="G22" s="502"/>
      <c r="H22" s="502"/>
      <c r="I22" s="143">
        <v>-7</v>
      </c>
      <c r="J22" s="502">
        <v>52</v>
      </c>
      <c r="K22" s="502">
        <v>43</v>
      </c>
      <c r="L22" s="502">
        <v>70</v>
      </c>
      <c r="M22" s="143">
        <v>49</v>
      </c>
      <c r="N22" s="502"/>
      <c r="O22" s="502"/>
      <c r="P22" s="502"/>
      <c r="Q22" s="143"/>
      <c r="R22" s="502">
        <v>2030</v>
      </c>
      <c r="S22" s="502">
        <v>1993</v>
      </c>
      <c r="T22" s="502">
        <v>2068</v>
      </c>
      <c r="U22" s="143">
        <v>1948</v>
      </c>
      <c r="V22" s="502">
        <v>2016</v>
      </c>
      <c r="W22" s="502">
        <v>2074</v>
      </c>
      <c r="X22" s="502">
        <v>2075</v>
      </c>
      <c r="Y22" s="143">
        <v>1951</v>
      </c>
      <c r="Z22" s="502">
        <v>1822</v>
      </c>
      <c r="AA22" s="502">
        <v>1632</v>
      </c>
      <c r="AB22" s="502">
        <v>1702</v>
      </c>
      <c r="AC22" s="143">
        <v>1632</v>
      </c>
      <c r="AD22" s="114">
        <v>1630</v>
      </c>
      <c r="AE22" s="139">
        <v>1605</v>
      </c>
      <c r="AF22" s="139">
        <v>1605</v>
      </c>
      <c r="AG22" s="139">
        <v>1535</v>
      </c>
      <c r="AH22" s="486">
        <v>1555</v>
      </c>
      <c r="AI22" s="143">
        <v>1528</v>
      </c>
      <c r="AJ22" s="143">
        <v>1534</v>
      </c>
      <c r="AK22" s="143">
        <v>1536</v>
      </c>
      <c r="AL22" s="47"/>
      <c r="AM22" s="488">
        <f t="shared" si="1"/>
        <v>162</v>
      </c>
      <c r="AN22" s="488">
        <f t="shared" si="2"/>
        <v>0</v>
      </c>
      <c r="AO22" s="507">
        <f t="shared" si="3"/>
        <v>214</v>
      </c>
      <c r="AP22" s="498" t="e">
        <f t="shared" si="4"/>
        <v>#DIV/0!</v>
      </c>
      <c r="AQ22" s="482"/>
      <c r="AR22" s="499">
        <f t="shared" si="5"/>
        <v>214</v>
      </c>
      <c r="AS22" s="499"/>
      <c r="AT22" s="499"/>
      <c r="AU22" s="499"/>
      <c r="AV22" s="499"/>
      <c r="AW22" s="499"/>
      <c r="AX22" s="499"/>
      <c r="AY22" s="226"/>
      <c r="AZ22" s="226"/>
      <c r="BA22" s="226"/>
      <c r="BB22" s="483"/>
      <c r="BD22" s="481"/>
      <c r="BG22" s="481"/>
    </row>
    <row r="23" spans="1:59" ht="12.75" customHeight="1" x14ac:dyDescent="0.2">
      <c r="A23" s="7"/>
      <c r="B23" s="489" t="s">
        <v>67</v>
      </c>
      <c r="C23" s="459"/>
      <c r="D23" s="498"/>
      <c r="E23" s="497"/>
      <c r="F23" s="502"/>
      <c r="G23" s="502"/>
      <c r="H23" s="502"/>
      <c r="I23" s="143">
        <v>70</v>
      </c>
      <c r="J23" s="502">
        <v>23</v>
      </c>
      <c r="K23" s="502">
        <v>44</v>
      </c>
      <c r="L23" s="502">
        <v>30</v>
      </c>
      <c r="M23" s="143">
        <v>36</v>
      </c>
      <c r="N23" s="502"/>
      <c r="O23" s="502"/>
      <c r="P23" s="502"/>
      <c r="Q23" s="143"/>
      <c r="R23" s="502">
        <v>1256</v>
      </c>
      <c r="S23" s="502">
        <v>1264</v>
      </c>
      <c r="T23" s="502">
        <v>1329</v>
      </c>
      <c r="U23" s="143">
        <v>1325</v>
      </c>
      <c r="V23" s="502">
        <v>1426</v>
      </c>
      <c r="W23" s="502">
        <v>1660</v>
      </c>
      <c r="X23" s="502">
        <v>1494</v>
      </c>
      <c r="Y23" s="143">
        <v>1536</v>
      </c>
      <c r="Z23" s="502">
        <v>1630</v>
      </c>
      <c r="AA23" s="502">
        <v>1590</v>
      </c>
      <c r="AB23" s="502">
        <v>1556</v>
      </c>
      <c r="AC23" s="143">
        <v>1639</v>
      </c>
      <c r="AD23" s="114">
        <v>1596</v>
      </c>
      <c r="AE23" s="139">
        <v>1544</v>
      </c>
      <c r="AF23" s="139">
        <v>1573</v>
      </c>
      <c r="AG23" s="139">
        <v>1670</v>
      </c>
      <c r="AH23" s="486">
        <v>1639</v>
      </c>
      <c r="AI23" s="143">
        <v>1526</v>
      </c>
      <c r="AJ23" s="143">
        <v>1571</v>
      </c>
      <c r="AK23" s="143">
        <v>1602</v>
      </c>
      <c r="AL23" s="47"/>
      <c r="AM23" s="488">
        <f t="shared" si="1"/>
        <v>110</v>
      </c>
      <c r="AN23" s="488">
        <f t="shared" si="2"/>
        <v>0</v>
      </c>
      <c r="AO23" s="507">
        <f t="shared" si="3"/>
        <v>133</v>
      </c>
      <c r="AP23" s="498" t="e">
        <f t="shared" si="4"/>
        <v>#DIV/0!</v>
      </c>
      <c r="AQ23" s="482"/>
      <c r="AR23" s="499">
        <f t="shared" si="5"/>
        <v>133</v>
      </c>
      <c r="AS23" s="499"/>
      <c r="AT23" s="499"/>
      <c r="AU23" s="499"/>
      <c r="AV23" s="499"/>
      <c r="AW23" s="499"/>
      <c r="AX23" s="499"/>
      <c r="AY23" s="226"/>
      <c r="AZ23" s="226"/>
      <c r="BA23" s="226"/>
      <c r="BB23" s="483"/>
      <c r="BD23" s="481"/>
      <c r="BG23" s="481"/>
    </row>
    <row r="24" spans="1:59" ht="12.75" customHeight="1" x14ac:dyDescent="0.2">
      <c r="A24" s="7"/>
      <c r="B24" s="489" t="s">
        <v>62</v>
      </c>
      <c r="C24" s="459"/>
      <c r="D24" s="498"/>
      <c r="E24" s="497"/>
      <c r="F24" s="502"/>
      <c r="G24" s="502"/>
      <c r="H24" s="502"/>
      <c r="I24" s="143">
        <v>2</v>
      </c>
      <c r="J24" s="502">
        <v>2</v>
      </c>
      <c r="K24" s="502">
        <v>2</v>
      </c>
      <c r="L24" s="502">
        <v>2</v>
      </c>
      <c r="M24" s="143">
        <v>4</v>
      </c>
      <c r="N24" s="502"/>
      <c r="O24" s="502"/>
      <c r="P24" s="502"/>
      <c r="Q24" s="143"/>
      <c r="R24" s="502">
        <v>90</v>
      </c>
      <c r="S24" s="502">
        <v>97</v>
      </c>
      <c r="T24" s="502">
        <v>63</v>
      </c>
      <c r="U24" s="143">
        <v>58</v>
      </c>
      <c r="V24" s="502">
        <v>44</v>
      </c>
      <c r="W24" s="502">
        <v>51</v>
      </c>
      <c r="X24" s="502">
        <v>104</v>
      </c>
      <c r="Y24" s="143">
        <v>243</v>
      </c>
      <c r="Z24" s="502">
        <v>671</v>
      </c>
      <c r="AA24" s="502">
        <v>1758</v>
      </c>
      <c r="AB24" s="502">
        <v>2459</v>
      </c>
      <c r="AC24" s="143">
        <v>2915</v>
      </c>
      <c r="AD24" s="114">
        <v>4124</v>
      </c>
      <c r="AE24" s="139">
        <v>5305</v>
      </c>
      <c r="AF24" s="139">
        <v>5435</v>
      </c>
      <c r="AG24" s="139">
        <v>5060</v>
      </c>
      <c r="AH24" s="486">
        <v>4659</v>
      </c>
      <c r="AI24" s="143">
        <v>4412</v>
      </c>
      <c r="AJ24" s="143">
        <v>4434</v>
      </c>
      <c r="AK24" s="143">
        <v>4246</v>
      </c>
      <c r="AL24" s="47"/>
      <c r="AM24" s="488">
        <f t="shared" si="1"/>
        <v>8</v>
      </c>
      <c r="AN24" s="488">
        <f t="shared" si="2"/>
        <v>0</v>
      </c>
      <c r="AO24" s="507">
        <f t="shared" si="3"/>
        <v>10</v>
      </c>
      <c r="AP24" s="498" t="e">
        <f t="shared" si="4"/>
        <v>#DIV/0!</v>
      </c>
      <c r="AQ24" s="482"/>
      <c r="AR24" s="499">
        <f t="shared" si="5"/>
        <v>10</v>
      </c>
      <c r="AS24" s="499"/>
      <c r="AT24" s="499"/>
      <c r="AU24" s="499"/>
      <c r="AV24" s="499"/>
      <c r="AW24" s="499"/>
      <c r="AX24" s="499"/>
      <c r="AY24" s="226"/>
      <c r="AZ24" s="226"/>
      <c r="BA24" s="226"/>
      <c r="BB24" s="483"/>
      <c r="BD24" s="481"/>
      <c r="BG24" s="481"/>
    </row>
    <row r="25" spans="1:59" ht="12.75" customHeight="1" x14ac:dyDescent="0.2">
      <c r="A25" s="7"/>
      <c r="B25" s="489" t="s">
        <v>90</v>
      </c>
      <c r="C25" s="459"/>
      <c r="D25" s="498"/>
      <c r="E25" s="497"/>
      <c r="F25" s="502"/>
      <c r="G25" s="502"/>
      <c r="H25" s="502"/>
      <c r="I25" s="143">
        <v>104</v>
      </c>
      <c r="J25" s="502">
        <v>78</v>
      </c>
      <c r="K25" s="502">
        <v>143</v>
      </c>
      <c r="L25" s="502">
        <v>180</v>
      </c>
      <c r="M25" s="143">
        <v>128</v>
      </c>
      <c r="N25" s="502"/>
      <c r="O25" s="502"/>
      <c r="P25" s="502"/>
      <c r="Q25" s="143"/>
      <c r="R25" s="502">
        <v>4728</v>
      </c>
      <c r="S25" s="502">
        <v>4268</v>
      </c>
      <c r="T25" s="502">
        <v>4186</v>
      </c>
      <c r="U25" s="143">
        <v>3730</v>
      </c>
      <c r="V25" s="502">
        <v>6030</v>
      </c>
      <c r="W25" s="502">
        <v>4108</v>
      </c>
      <c r="X25" s="502">
        <v>2461</v>
      </c>
      <c r="Y25" s="143">
        <v>3886</v>
      </c>
      <c r="Z25" s="502">
        <v>2268</v>
      </c>
      <c r="AA25" s="502">
        <v>7826</v>
      </c>
      <c r="AB25" s="502">
        <v>3206</v>
      </c>
      <c r="AC25" s="143">
        <v>3942</v>
      </c>
      <c r="AD25" s="114">
        <v>3477</v>
      </c>
      <c r="AE25" s="139">
        <v>3587</v>
      </c>
      <c r="AF25" s="139">
        <v>2594</v>
      </c>
      <c r="AG25" s="139">
        <v>2953</v>
      </c>
      <c r="AH25" s="486">
        <v>2341</v>
      </c>
      <c r="AI25" s="143">
        <v>3444</v>
      </c>
      <c r="AJ25" s="143">
        <v>1855</v>
      </c>
      <c r="AK25" s="143">
        <v>6038</v>
      </c>
      <c r="AL25" s="47"/>
      <c r="AM25" s="488">
        <f t="shared" si="1"/>
        <v>451</v>
      </c>
      <c r="AN25" s="488">
        <f t="shared" si="2"/>
        <v>0</v>
      </c>
      <c r="AO25" s="507">
        <f t="shared" si="3"/>
        <v>529</v>
      </c>
      <c r="AP25" s="498" t="e">
        <f t="shared" si="4"/>
        <v>#DIV/0!</v>
      </c>
      <c r="AQ25" s="482"/>
      <c r="AR25" s="499">
        <f t="shared" si="5"/>
        <v>529</v>
      </c>
      <c r="AS25" s="499"/>
      <c r="AT25" s="499"/>
      <c r="AU25" s="499"/>
      <c r="AV25" s="499"/>
      <c r="AW25" s="499"/>
      <c r="AX25" s="499"/>
      <c r="AY25" s="226"/>
      <c r="AZ25" s="226"/>
      <c r="BA25" s="226"/>
      <c r="BB25" s="483"/>
      <c r="BD25" s="481"/>
      <c r="BE25" s="481"/>
      <c r="BF25" s="481"/>
      <c r="BG25" s="481"/>
    </row>
    <row r="26" spans="1:59" ht="12.75" customHeight="1" x14ac:dyDescent="0.2">
      <c r="A26" s="7"/>
      <c r="B26" s="489" t="s">
        <v>69</v>
      </c>
      <c r="C26" s="459"/>
      <c r="D26" s="498"/>
      <c r="E26" s="497"/>
      <c r="F26" s="502"/>
      <c r="G26" s="502"/>
      <c r="H26" s="502"/>
      <c r="I26" s="143">
        <v>127</v>
      </c>
      <c r="J26" s="502">
        <v>37</v>
      </c>
      <c r="K26" s="502">
        <v>44</v>
      </c>
      <c r="L26" s="502">
        <v>42</v>
      </c>
      <c r="M26" s="143">
        <v>47</v>
      </c>
      <c r="N26" s="502"/>
      <c r="O26" s="502"/>
      <c r="P26" s="502"/>
      <c r="Q26" s="143"/>
      <c r="R26" s="502">
        <v>632</v>
      </c>
      <c r="S26" s="502">
        <v>596</v>
      </c>
      <c r="T26" s="502">
        <v>575</v>
      </c>
      <c r="U26" s="143">
        <v>619</v>
      </c>
      <c r="V26" s="502">
        <v>649</v>
      </c>
      <c r="W26" s="502">
        <v>637</v>
      </c>
      <c r="X26" s="502">
        <v>618</v>
      </c>
      <c r="Y26" s="143">
        <v>602</v>
      </c>
      <c r="Z26" s="502">
        <v>655</v>
      </c>
      <c r="AA26" s="502">
        <v>463</v>
      </c>
      <c r="AB26" s="502">
        <v>411</v>
      </c>
      <c r="AC26" s="143">
        <v>409</v>
      </c>
      <c r="AD26" s="114">
        <v>436</v>
      </c>
      <c r="AE26" s="139">
        <v>495</v>
      </c>
      <c r="AF26" s="139">
        <v>472</v>
      </c>
      <c r="AG26" s="139">
        <v>430</v>
      </c>
      <c r="AH26" s="486">
        <v>438</v>
      </c>
      <c r="AI26" s="143">
        <v>380</v>
      </c>
      <c r="AJ26" s="143">
        <v>420</v>
      </c>
      <c r="AK26" s="143">
        <v>410</v>
      </c>
      <c r="AL26" s="47"/>
      <c r="AM26" s="488">
        <f t="shared" si="1"/>
        <v>133</v>
      </c>
      <c r="AN26" s="488">
        <f t="shared" si="2"/>
        <v>0</v>
      </c>
      <c r="AO26" s="507">
        <f t="shared" si="3"/>
        <v>170</v>
      </c>
      <c r="AP26" s="498" t="e">
        <f t="shared" si="4"/>
        <v>#DIV/0!</v>
      </c>
      <c r="AQ26" s="482"/>
      <c r="AR26" s="499">
        <f t="shared" si="5"/>
        <v>170</v>
      </c>
      <c r="AS26" s="499"/>
      <c r="AT26" s="499"/>
      <c r="AU26" s="499"/>
      <c r="AV26" s="499"/>
      <c r="AW26" s="499"/>
      <c r="AX26" s="499"/>
      <c r="AY26" s="226"/>
      <c r="AZ26" s="226"/>
      <c r="BA26" s="226"/>
      <c r="BB26" s="483"/>
      <c r="BD26" s="481"/>
      <c r="BE26" s="481"/>
      <c r="BF26" s="481"/>
      <c r="BG26" s="481"/>
    </row>
    <row r="27" spans="1:59" ht="12.75" customHeight="1" x14ac:dyDescent="0.2">
      <c r="A27" s="6"/>
      <c r="B27" s="489" t="s">
        <v>70</v>
      </c>
      <c r="C27" s="459"/>
      <c r="D27" s="498"/>
      <c r="E27" s="497"/>
      <c r="F27" s="502"/>
      <c r="G27" s="502"/>
      <c r="H27" s="502"/>
      <c r="I27" s="143">
        <v>127</v>
      </c>
      <c r="J27" s="488">
        <v>0</v>
      </c>
      <c r="K27" s="488">
        <v>0</v>
      </c>
      <c r="L27" s="502">
        <v>0</v>
      </c>
      <c r="M27" s="143">
        <v>0</v>
      </c>
      <c r="N27" s="502"/>
      <c r="O27" s="502"/>
      <c r="P27" s="502"/>
      <c r="Q27" s="143"/>
      <c r="R27" s="502">
        <v>2125</v>
      </c>
      <c r="S27" s="502">
        <v>2275</v>
      </c>
      <c r="T27" s="502">
        <v>2425</v>
      </c>
      <c r="U27" s="143">
        <v>2433</v>
      </c>
      <c r="V27" s="502">
        <v>2574</v>
      </c>
      <c r="W27" s="502">
        <v>3216</v>
      </c>
      <c r="X27" s="502">
        <v>2613</v>
      </c>
      <c r="Y27" s="143">
        <v>1905</v>
      </c>
      <c r="Z27" s="502">
        <v>2597</v>
      </c>
      <c r="AA27" s="502">
        <v>2312</v>
      </c>
      <c r="AB27" s="502">
        <v>1378</v>
      </c>
      <c r="AC27" s="143">
        <v>1566</v>
      </c>
      <c r="AD27" s="114">
        <v>1897</v>
      </c>
      <c r="AE27" s="139">
        <v>1550</v>
      </c>
      <c r="AF27" s="139">
        <v>1341</v>
      </c>
      <c r="AG27" s="139">
        <v>1372</v>
      </c>
      <c r="AH27" s="486">
        <v>1370</v>
      </c>
      <c r="AI27" s="143">
        <v>1663</v>
      </c>
      <c r="AJ27" s="143">
        <v>1517</v>
      </c>
      <c r="AK27" s="143">
        <v>1521</v>
      </c>
      <c r="AL27" s="47"/>
      <c r="AM27" s="488">
        <f t="shared" si="1"/>
        <v>0</v>
      </c>
      <c r="AN27" s="488">
        <f t="shared" si="2"/>
        <v>0</v>
      </c>
      <c r="AO27" s="507">
        <f t="shared" si="3"/>
        <v>0</v>
      </c>
      <c r="AP27" s="498" t="e">
        <f t="shared" si="4"/>
        <v>#DIV/0!</v>
      </c>
      <c r="AQ27" s="482"/>
      <c r="AR27" s="499">
        <f t="shared" si="5"/>
        <v>0</v>
      </c>
      <c r="AS27" s="499"/>
      <c r="AT27" s="499"/>
      <c r="AU27" s="499"/>
      <c r="AV27" s="499"/>
      <c r="AW27" s="499"/>
      <c r="AX27" s="499"/>
      <c r="AY27" s="226"/>
      <c r="AZ27" s="226"/>
      <c r="BA27" s="226"/>
      <c r="BB27" s="483"/>
      <c r="BD27" s="481"/>
      <c r="BE27" s="481"/>
      <c r="BF27" s="481"/>
      <c r="BG27" s="481"/>
    </row>
    <row r="28" spans="1:59" ht="12.75" customHeight="1" x14ac:dyDescent="0.2">
      <c r="A28" s="6"/>
      <c r="B28" s="6" t="s">
        <v>164</v>
      </c>
      <c r="C28" s="459"/>
      <c r="D28" s="348"/>
      <c r="E28" s="497"/>
      <c r="F28" s="488"/>
      <c r="G28" s="488"/>
      <c r="H28" s="488"/>
      <c r="I28" s="109">
        <v>0</v>
      </c>
      <c r="J28" s="488">
        <v>0</v>
      </c>
      <c r="K28" s="488">
        <v>0</v>
      </c>
      <c r="L28" s="488">
        <v>0</v>
      </c>
      <c r="M28" s="109">
        <v>0</v>
      </c>
      <c r="N28" s="488"/>
      <c r="O28" s="488"/>
      <c r="P28" s="488"/>
      <c r="Q28" s="109"/>
      <c r="R28" s="488">
        <v>0</v>
      </c>
      <c r="S28" s="488">
        <v>0</v>
      </c>
      <c r="T28" s="488">
        <v>0</v>
      </c>
      <c r="U28" s="109">
        <v>0</v>
      </c>
      <c r="V28" s="488">
        <v>0</v>
      </c>
      <c r="W28" s="488">
        <v>0</v>
      </c>
      <c r="X28" s="488">
        <v>0</v>
      </c>
      <c r="Y28" s="109">
        <v>0</v>
      </c>
      <c r="Z28" s="488">
        <v>0</v>
      </c>
      <c r="AA28" s="488">
        <v>5347</v>
      </c>
      <c r="AB28" s="488">
        <v>0</v>
      </c>
      <c r="AC28" s="498">
        <v>0</v>
      </c>
      <c r="AD28" s="115">
        <v>54200</v>
      </c>
      <c r="AE28" s="488">
        <v>0</v>
      </c>
      <c r="AF28" s="488">
        <v>0</v>
      </c>
      <c r="AG28" s="109">
        <v>0</v>
      </c>
      <c r="AH28" s="409">
        <v>0</v>
      </c>
      <c r="AI28" s="109">
        <v>0</v>
      </c>
      <c r="AJ28" s="109">
        <v>0</v>
      </c>
      <c r="AK28" s="109">
        <v>0</v>
      </c>
      <c r="AL28" s="47"/>
      <c r="AM28" s="488">
        <f t="shared" si="1"/>
        <v>0</v>
      </c>
      <c r="AN28" s="488">
        <f t="shared" si="2"/>
        <v>0</v>
      </c>
      <c r="AO28" s="507">
        <f t="shared" si="3"/>
        <v>0</v>
      </c>
      <c r="AP28" s="498" t="e">
        <f t="shared" si="4"/>
        <v>#DIV/0!</v>
      </c>
      <c r="AQ28" s="482"/>
      <c r="AR28" s="499">
        <f t="shared" si="5"/>
        <v>0</v>
      </c>
      <c r="AS28" s="410"/>
      <c r="AT28" s="410"/>
      <c r="AU28" s="410"/>
      <c r="AV28" s="499"/>
      <c r="AW28" s="410"/>
      <c r="AX28" s="410"/>
      <c r="AY28" s="226"/>
      <c r="AZ28" s="226"/>
      <c r="BA28" s="226"/>
      <c r="BB28" s="483"/>
      <c r="BD28" s="141"/>
      <c r="BE28" s="141"/>
      <c r="BF28" s="481"/>
      <c r="BG28" s="481"/>
    </row>
    <row r="29" spans="1:59" ht="12.75" customHeight="1" x14ac:dyDescent="0.2">
      <c r="A29" s="6"/>
      <c r="B29" s="6" t="s">
        <v>185</v>
      </c>
      <c r="C29" s="459"/>
      <c r="D29" s="348"/>
      <c r="E29" s="497"/>
      <c r="F29" s="488"/>
      <c r="G29" s="488"/>
      <c r="H29" s="488"/>
      <c r="I29" s="109">
        <v>0</v>
      </c>
      <c r="J29" s="488">
        <v>0</v>
      </c>
      <c r="K29" s="488">
        <v>0</v>
      </c>
      <c r="L29" s="488">
        <v>0</v>
      </c>
      <c r="M29" s="109">
        <v>0</v>
      </c>
      <c r="N29" s="488"/>
      <c r="O29" s="488"/>
      <c r="P29" s="488"/>
      <c r="Q29" s="109"/>
      <c r="R29" s="488">
        <v>0</v>
      </c>
      <c r="S29" s="488">
        <v>0</v>
      </c>
      <c r="T29" s="488">
        <v>0</v>
      </c>
      <c r="U29" s="109">
        <v>0</v>
      </c>
      <c r="V29" s="488"/>
      <c r="W29" s="488"/>
      <c r="X29" s="488"/>
      <c r="Y29" s="109"/>
      <c r="Z29" s="488"/>
      <c r="AA29" s="488"/>
      <c r="AB29" s="488"/>
      <c r="AC29" s="498"/>
      <c r="AD29" s="488"/>
      <c r="AE29" s="488"/>
      <c r="AF29" s="488"/>
      <c r="AG29" s="488"/>
      <c r="AH29" s="409"/>
      <c r="AI29" s="109"/>
      <c r="AJ29" s="109"/>
      <c r="AK29" s="109"/>
      <c r="AL29" s="47"/>
      <c r="AM29" s="488">
        <f t="shared" si="1"/>
        <v>0</v>
      </c>
      <c r="AN29" s="488">
        <f t="shared" si="2"/>
        <v>0</v>
      </c>
      <c r="AO29" s="507">
        <f>AR29-AS29</f>
        <v>0</v>
      </c>
      <c r="AP29" s="498">
        <v>0</v>
      </c>
      <c r="AQ29" s="482"/>
      <c r="AR29" s="410">
        <f t="shared" si="5"/>
        <v>0</v>
      </c>
      <c r="AS29" s="410"/>
      <c r="AT29" s="410"/>
      <c r="AU29" s="410"/>
      <c r="AV29" s="410"/>
      <c r="AW29" s="410"/>
      <c r="AX29" s="410"/>
      <c r="AY29" s="226"/>
      <c r="AZ29" s="226"/>
      <c r="BA29" s="226"/>
      <c r="BB29" s="483"/>
      <c r="BD29" s="141"/>
      <c r="BE29" s="141"/>
      <c r="BF29" s="481"/>
      <c r="BG29" s="481"/>
    </row>
    <row r="30" spans="1:59" ht="12.75" customHeight="1" x14ac:dyDescent="0.2">
      <c r="A30" s="7"/>
      <c r="B30" s="484" t="s">
        <v>163</v>
      </c>
      <c r="C30" s="459"/>
      <c r="D30" s="348"/>
      <c r="E30" s="497"/>
      <c r="F30" s="488"/>
      <c r="G30" s="488"/>
      <c r="H30" s="488"/>
      <c r="I30" s="266">
        <v>0</v>
      </c>
      <c r="J30" s="488">
        <v>0</v>
      </c>
      <c r="K30" s="488">
        <v>0</v>
      </c>
      <c r="L30" s="488">
        <v>0</v>
      </c>
      <c r="M30" s="266">
        <v>0</v>
      </c>
      <c r="N30" s="488"/>
      <c r="O30" s="488"/>
      <c r="P30" s="488"/>
      <c r="Q30" s="266"/>
      <c r="R30" s="488">
        <v>0</v>
      </c>
      <c r="S30" s="488">
        <v>0</v>
      </c>
      <c r="T30" s="488">
        <v>0</v>
      </c>
      <c r="U30" s="266">
        <v>0</v>
      </c>
      <c r="V30" s="488">
        <v>0</v>
      </c>
      <c r="W30" s="488">
        <v>0</v>
      </c>
      <c r="X30" s="488">
        <v>0</v>
      </c>
      <c r="Y30" s="266">
        <v>0</v>
      </c>
      <c r="Z30" s="488">
        <v>0</v>
      </c>
      <c r="AA30" s="502">
        <v>180</v>
      </c>
      <c r="AB30" s="488">
        <v>0</v>
      </c>
      <c r="AC30" s="498">
        <v>0</v>
      </c>
      <c r="AD30" s="488">
        <v>700</v>
      </c>
      <c r="AE30" s="488">
        <v>0</v>
      </c>
      <c r="AF30" s="488">
        <v>0</v>
      </c>
      <c r="AG30" s="488">
        <v>0</v>
      </c>
      <c r="AH30" s="409">
        <v>0</v>
      </c>
      <c r="AI30" s="109">
        <v>0</v>
      </c>
      <c r="AJ30" s="109">
        <v>0</v>
      </c>
      <c r="AK30" s="109">
        <v>0</v>
      </c>
      <c r="AL30" s="47"/>
      <c r="AM30" s="488">
        <f t="shared" si="1"/>
        <v>0</v>
      </c>
      <c r="AN30" s="488">
        <f t="shared" si="2"/>
        <v>0</v>
      </c>
      <c r="AO30" s="507">
        <v>0</v>
      </c>
      <c r="AP30" s="498">
        <v>0</v>
      </c>
      <c r="AQ30" s="482"/>
      <c r="AR30" s="410">
        <f t="shared" si="5"/>
        <v>0</v>
      </c>
      <c r="AS30" s="410"/>
      <c r="AT30" s="410"/>
      <c r="AU30" s="410"/>
      <c r="AV30" s="410"/>
      <c r="AW30" s="410"/>
      <c r="AX30" s="410"/>
      <c r="AY30" s="226"/>
      <c r="AZ30" s="226"/>
      <c r="BA30" s="226"/>
      <c r="BB30" s="483"/>
      <c r="BD30" s="481"/>
      <c r="BE30" s="481"/>
      <c r="BF30" s="481"/>
      <c r="BG30" s="481"/>
    </row>
    <row r="31" spans="1:59" ht="12.75" customHeight="1" x14ac:dyDescent="0.2">
      <c r="A31" s="7"/>
      <c r="C31" s="110"/>
      <c r="D31" s="111"/>
      <c r="E31" s="497"/>
      <c r="F31" s="269">
        <f>SUM(F19:F30)</f>
        <v>0</v>
      </c>
      <c r="G31" s="269">
        <f>SUM(G19:G30)</f>
        <v>0</v>
      </c>
      <c r="H31" s="269">
        <f>SUM(H19:H30)</f>
        <v>0</v>
      </c>
      <c r="I31" s="148">
        <f>SUM(I19:I30)</f>
        <v>1331</v>
      </c>
      <c r="J31" s="269">
        <f t="shared" ref="J31:U31" si="7">SUM(J19:J30)</f>
        <v>1156</v>
      </c>
      <c r="K31" s="269">
        <f t="shared" si="7"/>
        <v>1172</v>
      </c>
      <c r="L31" s="269">
        <f t="shared" si="7"/>
        <v>853</v>
      </c>
      <c r="M31" s="148">
        <f t="shared" si="7"/>
        <v>967</v>
      </c>
      <c r="N31" s="269"/>
      <c r="O31" s="269"/>
      <c r="P31" s="269"/>
      <c r="Q31" s="148"/>
      <c r="R31" s="269">
        <f t="shared" si="7"/>
        <v>54200</v>
      </c>
      <c r="S31" s="269">
        <f t="shared" si="7"/>
        <v>52012</v>
      </c>
      <c r="T31" s="269">
        <f t="shared" si="7"/>
        <v>38601</v>
      </c>
      <c r="U31" s="148">
        <f t="shared" si="7"/>
        <v>39500</v>
      </c>
      <c r="V31" s="269">
        <v>46835</v>
      </c>
      <c r="W31" s="269">
        <v>42047</v>
      </c>
      <c r="X31" s="269">
        <v>35213</v>
      </c>
      <c r="Y31" s="148">
        <v>35168</v>
      </c>
      <c r="Z31" s="269">
        <v>28967</v>
      </c>
      <c r="AA31" s="269">
        <v>40216</v>
      </c>
      <c r="AB31" s="269">
        <v>35911</v>
      </c>
      <c r="AC31" s="148">
        <v>44683</v>
      </c>
      <c r="AD31" s="117">
        <v>98603</v>
      </c>
      <c r="AE31" s="147">
        <v>48132</v>
      </c>
      <c r="AF31" s="147">
        <v>44039</v>
      </c>
      <c r="AG31" s="147">
        <v>57148</v>
      </c>
      <c r="AH31" s="112">
        <v>55349</v>
      </c>
      <c r="AI31" s="148">
        <v>50178</v>
      </c>
      <c r="AJ31" s="148">
        <v>41346</v>
      </c>
      <c r="AK31" s="148">
        <v>55217</v>
      </c>
      <c r="AL31" s="47"/>
      <c r="AM31" s="517">
        <f>SUM(AM19:AM30)</f>
        <v>2992</v>
      </c>
      <c r="AN31" s="517">
        <f>SUM(AN19:AN30)</f>
        <v>0</v>
      </c>
      <c r="AO31" s="244">
        <f>AR31-AS31</f>
        <v>4148</v>
      </c>
      <c r="AP31" s="314" t="e">
        <f>IF(OR((AO31/AS31)&gt;3,(AO31/AS31)&lt;-3),"n.m.",(AO31/AS31))</f>
        <v>#DIV/0!</v>
      </c>
      <c r="AQ31" s="47"/>
      <c r="AR31" s="148">
        <f>SUM(AR19:AR30)</f>
        <v>4148</v>
      </c>
      <c r="AS31" s="148"/>
      <c r="AT31" s="148"/>
      <c r="AU31" s="175"/>
      <c r="AV31" s="130"/>
      <c r="AW31" s="130"/>
      <c r="AX31" s="130"/>
      <c r="AY31" s="227"/>
      <c r="AZ31" s="227"/>
      <c r="BA31" s="227"/>
      <c r="BB31" s="483"/>
      <c r="BD31" s="481"/>
      <c r="BE31" s="481"/>
      <c r="BF31" s="481"/>
      <c r="BG31" s="481"/>
    </row>
    <row r="32" spans="1:59" s="53" customFormat="1" ht="24.75" customHeight="1" thickBot="1" x14ac:dyDescent="0.25">
      <c r="A32" s="3208" t="s">
        <v>214</v>
      </c>
      <c r="B32" s="3209"/>
      <c r="C32" s="459"/>
      <c r="D32" s="313"/>
      <c r="E32" s="497"/>
      <c r="F32" s="139">
        <f t="shared" ref="F32:L32" si="8">+F15-F31</f>
        <v>0</v>
      </c>
      <c r="G32" s="139">
        <f t="shared" si="8"/>
        <v>0</v>
      </c>
      <c r="H32" s="139">
        <f t="shared" si="8"/>
        <v>0</v>
      </c>
      <c r="I32" s="152">
        <f t="shared" si="8"/>
        <v>-576</v>
      </c>
      <c r="J32" s="117">
        <f t="shared" si="8"/>
        <v>142</v>
      </c>
      <c r="K32" s="147">
        <f t="shared" si="8"/>
        <v>-994</v>
      </c>
      <c r="L32" s="147">
        <f t="shared" si="8"/>
        <v>300</v>
      </c>
      <c r="M32" s="148">
        <f>M15-M31</f>
        <v>-123</v>
      </c>
      <c r="N32" s="117"/>
      <c r="O32" s="147"/>
      <c r="P32" s="147"/>
      <c r="Q32" s="148"/>
      <c r="R32" s="249">
        <f>R15-R31</f>
        <v>18504</v>
      </c>
      <c r="S32" s="249">
        <f>S15-S31</f>
        <v>16587</v>
      </c>
      <c r="T32" s="139">
        <f>T15-T31</f>
        <v>5938</v>
      </c>
      <c r="U32" s="152">
        <f>U15-U31</f>
        <v>7707</v>
      </c>
      <c r="V32" s="139">
        <v>8155</v>
      </c>
      <c r="W32" s="249">
        <v>9686</v>
      </c>
      <c r="X32" s="139">
        <v>4925</v>
      </c>
      <c r="Y32" s="152">
        <v>5017</v>
      </c>
      <c r="Z32" s="249">
        <v>8288</v>
      </c>
      <c r="AA32" s="249">
        <v>-6684</v>
      </c>
      <c r="AB32" s="249">
        <v>7933</v>
      </c>
      <c r="AC32" s="152">
        <v>13170</v>
      </c>
      <c r="AD32" s="153">
        <v>-44140</v>
      </c>
      <c r="AE32" s="148">
        <v>13034</v>
      </c>
      <c r="AF32" s="148">
        <v>13376</v>
      </c>
      <c r="AG32" s="147">
        <v>18935</v>
      </c>
      <c r="AH32" s="147">
        <v>20527</v>
      </c>
      <c r="AI32" s="147">
        <v>18653</v>
      </c>
      <c r="AJ32" s="147">
        <v>14280</v>
      </c>
      <c r="AK32" s="147">
        <v>17069</v>
      </c>
      <c r="AL32" s="47"/>
      <c r="AM32" s="507">
        <f>AM15-AM31</f>
        <v>-817</v>
      </c>
      <c r="AN32" s="507">
        <f>AN15-AN31</f>
        <v>0</v>
      </c>
      <c r="AO32" s="236">
        <f>AR32-AS32</f>
        <v>-675</v>
      </c>
      <c r="AP32" s="327" t="e">
        <f>IF(OR((AO32/AS32)&gt;3,(AO32/AS32)&lt;-3),"n.m.",(AO32/AS32))</f>
        <v>#DIV/0!</v>
      </c>
      <c r="AQ32" s="47"/>
      <c r="AR32" s="112">
        <f>AR15-AR31</f>
        <v>-675</v>
      </c>
      <c r="AS32" s="112"/>
      <c r="AT32" s="112"/>
      <c r="AU32" s="130"/>
      <c r="AV32" s="130"/>
      <c r="AW32" s="162"/>
      <c r="AX32" s="162"/>
      <c r="AY32" s="224"/>
      <c r="AZ32" s="224"/>
      <c r="BA32" s="228"/>
      <c r="BB32" s="483"/>
      <c r="BD32" s="137"/>
      <c r="BE32" s="137"/>
      <c r="BF32" s="137"/>
      <c r="BG32" s="137"/>
    </row>
    <row r="33" spans="1:59" s="137" customFormat="1" ht="12.75" hidden="1" customHeight="1" outlineLevel="1" thickTop="1" x14ac:dyDescent="0.2">
      <c r="A33" s="543"/>
      <c r="B33" s="547" t="s">
        <v>322</v>
      </c>
      <c r="C33" s="312"/>
      <c r="D33" s="537"/>
      <c r="E33" s="497"/>
      <c r="F33" s="319"/>
      <c r="G33" s="161"/>
      <c r="H33" s="161"/>
      <c r="I33" s="560">
        <v>4420</v>
      </c>
      <c r="J33" s="523">
        <v>5251</v>
      </c>
      <c r="K33" s="523">
        <v>5647</v>
      </c>
      <c r="L33" s="523">
        <v>6215</v>
      </c>
      <c r="M33" s="524">
        <v>6579</v>
      </c>
      <c r="N33" s="523"/>
      <c r="O33" s="523"/>
      <c r="P33" s="523"/>
      <c r="Q33" s="524"/>
      <c r="R33" s="161"/>
      <c r="S33" s="161"/>
      <c r="T33" s="161"/>
      <c r="U33" s="162"/>
      <c r="V33" s="161"/>
      <c r="W33" s="161"/>
      <c r="X33" s="161"/>
      <c r="Y33" s="162"/>
      <c r="Z33" s="541"/>
      <c r="AA33" s="538"/>
      <c r="AB33" s="538"/>
      <c r="AC33" s="539"/>
      <c r="AD33" s="538"/>
      <c r="AE33" s="500"/>
      <c r="AF33" s="501"/>
      <c r="AG33" s="500"/>
      <c r="AH33" s="500"/>
      <c r="AI33" s="500"/>
      <c r="AJ33" s="500"/>
      <c r="AK33" s="500"/>
      <c r="AL33" s="131"/>
      <c r="AM33" s="359"/>
      <c r="AN33" s="161"/>
      <c r="AO33" s="180"/>
      <c r="AP33" s="313"/>
      <c r="AQ33" s="169"/>
      <c r="AR33" s="189">
        <f>SUM(J33:M33)</f>
        <v>23692</v>
      </c>
      <c r="AS33" s="550"/>
      <c r="AT33" s="549"/>
      <c r="AU33" s="553"/>
      <c r="AV33" s="316"/>
      <c r="AW33" s="539"/>
      <c r="AX33" s="539"/>
      <c r="AY33" s="540"/>
      <c r="AZ33" s="540"/>
      <c r="BA33" s="180"/>
      <c r="BB33" s="328"/>
      <c r="BC33" s="328"/>
      <c r="BD33" s="328"/>
      <c r="BE33" s="328"/>
    </row>
    <row r="34" spans="1:59" s="137" customFormat="1" ht="12.75" hidden="1" customHeight="1" outlineLevel="1" x14ac:dyDescent="0.2">
      <c r="A34" s="543"/>
      <c r="B34" s="547" t="s">
        <v>323</v>
      </c>
      <c r="C34" s="459"/>
      <c r="D34" s="498"/>
      <c r="E34" s="497"/>
      <c r="F34" s="490"/>
      <c r="G34" s="500"/>
      <c r="H34" s="500"/>
      <c r="I34" s="524">
        <v>-223</v>
      </c>
      <c r="J34" s="523">
        <v>0</v>
      </c>
      <c r="K34" s="523">
        <v>0</v>
      </c>
      <c r="L34" s="523">
        <v>0</v>
      </c>
      <c r="M34" s="524">
        <v>0</v>
      </c>
      <c r="N34" s="523"/>
      <c r="O34" s="523"/>
      <c r="P34" s="523"/>
      <c r="Q34" s="524"/>
      <c r="R34" s="500"/>
      <c r="S34" s="500"/>
      <c r="T34" s="500"/>
      <c r="U34" s="501"/>
      <c r="V34" s="500"/>
      <c r="W34" s="500"/>
      <c r="X34" s="500"/>
      <c r="Y34" s="501"/>
      <c r="Z34" s="544"/>
      <c r="AA34" s="315"/>
      <c r="AB34" s="315"/>
      <c r="AC34" s="316"/>
      <c r="AD34" s="315"/>
      <c r="AE34" s="500"/>
      <c r="AF34" s="501"/>
      <c r="AG34" s="500"/>
      <c r="AH34" s="500"/>
      <c r="AI34" s="500"/>
      <c r="AJ34" s="500"/>
      <c r="AK34" s="500"/>
      <c r="AL34" s="131"/>
      <c r="AM34" s="359"/>
      <c r="AN34" s="500"/>
      <c r="AO34" s="180"/>
      <c r="AP34" s="498"/>
      <c r="AQ34" s="169"/>
      <c r="AR34" s="410">
        <f>SUM(J34:M34)</f>
        <v>0</v>
      </c>
      <c r="AS34" s="410"/>
      <c r="AT34" s="410"/>
      <c r="AU34" s="554"/>
      <c r="AV34" s="316"/>
      <c r="AW34" s="316"/>
      <c r="AX34" s="316"/>
      <c r="AY34" s="330"/>
      <c r="AZ34" s="330"/>
      <c r="BA34" s="180"/>
      <c r="BB34" s="328"/>
      <c r="BC34" s="328"/>
      <c r="BD34" s="328"/>
      <c r="BE34" s="328"/>
    </row>
    <row r="35" spans="1:59" s="137" customFormat="1" ht="12.75" hidden="1" customHeight="1" outlineLevel="1" x14ac:dyDescent="0.2">
      <c r="A35" s="543"/>
      <c r="B35" s="547" t="s">
        <v>324</v>
      </c>
      <c r="C35" s="459"/>
      <c r="D35" s="353"/>
      <c r="E35" s="497"/>
      <c r="F35" s="490"/>
      <c r="G35" s="500"/>
      <c r="H35" s="500"/>
      <c r="I35" s="524">
        <v>611</v>
      </c>
      <c r="J35" s="490">
        <v>1376</v>
      </c>
      <c r="K35" s="500">
        <v>1280</v>
      </c>
      <c r="L35" s="500">
        <v>1398</v>
      </c>
      <c r="M35" s="501">
        <v>1138</v>
      </c>
      <c r="N35" s="523"/>
      <c r="O35" s="523"/>
      <c r="P35" s="523"/>
      <c r="Q35" s="524"/>
      <c r="R35" s="500"/>
      <c r="S35" s="500"/>
      <c r="T35" s="500"/>
      <c r="U35" s="501"/>
      <c r="V35" s="500"/>
      <c r="W35" s="500"/>
      <c r="X35" s="500"/>
      <c r="Y35" s="501"/>
      <c r="Z35" s="544"/>
      <c r="AA35" s="315"/>
      <c r="AB35" s="315"/>
      <c r="AC35" s="316"/>
      <c r="AD35" s="315"/>
      <c r="AE35" s="500"/>
      <c r="AF35" s="501"/>
      <c r="AG35" s="500"/>
      <c r="AH35" s="500"/>
      <c r="AI35" s="500"/>
      <c r="AJ35" s="500"/>
      <c r="AK35" s="500"/>
      <c r="AL35" s="131"/>
      <c r="AM35" s="359"/>
      <c r="AN35" s="500"/>
      <c r="AO35" s="180"/>
      <c r="AP35" s="498"/>
      <c r="AQ35" s="169"/>
      <c r="AR35" s="189">
        <f>SUM(J35:M35)</f>
        <v>5192</v>
      </c>
      <c r="AS35" s="499"/>
      <c r="AT35" s="499"/>
      <c r="AU35" s="554"/>
      <c r="AV35" s="316"/>
      <c r="AW35" s="316"/>
      <c r="AX35" s="316"/>
      <c r="AY35" s="330"/>
      <c r="AZ35" s="330"/>
      <c r="BA35" s="180"/>
      <c r="BB35" s="328"/>
      <c r="BC35" s="328"/>
      <c r="BD35" s="328"/>
      <c r="BE35" s="328"/>
    </row>
    <row r="36" spans="1:59" s="137" customFormat="1" ht="12.75" hidden="1" customHeight="1" outlineLevel="1" x14ac:dyDescent="0.2">
      <c r="A36" s="543"/>
      <c r="B36" s="547" t="s">
        <v>325</v>
      </c>
      <c r="C36" s="459"/>
      <c r="D36" s="353"/>
      <c r="E36" s="497"/>
      <c r="F36" s="490"/>
      <c r="G36" s="500"/>
      <c r="H36" s="500"/>
      <c r="I36" s="524">
        <v>0</v>
      </c>
      <c r="J36" s="490">
        <v>1715</v>
      </c>
      <c r="K36" s="500">
        <v>1579</v>
      </c>
      <c r="L36" s="500">
        <v>1609</v>
      </c>
      <c r="M36" s="501">
        <v>1708</v>
      </c>
      <c r="N36" s="523"/>
      <c r="O36" s="523"/>
      <c r="P36" s="523"/>
      <c r="Q36" s="524"/>
      <c r="R36" s="500"/>
      <c r="S36" s="500"/>
      <c r="T36" s="500"/>
      <c r="U36" s="501"/>
      <c r="V36" s="500"/>
      <c r="W36" s="500"/>
      <c r="X36" s="500"/>
      <c r="Y36" s="501"/>
      <c r="Z36" s="544"/>
      <c r="AA36" s="315"/>
      <c r="AB36" s="315"/>
      <c r="AC36" s="316"/>
      <c r="AD36" s="315"/>
      <c r="AE36" s="500"/>
      <c r="AF36" s="501"/>
      <c r="AG36" s="500"/>
      <c r="AH36" s="500"/>
      <c r="AI36" s="500"/>
      <c r="AJ36" s="500"/>
      <c r="AK36" s="500"/>
      <c r="AL36" s="131"/>
      <c r="AM36" s="359"/>
      <c r="AN36" s="500"/>
      <c r="AO36" s="180"/>
      <c r="AP36" s="498"/>
      <c r="AQ36" s="169"/>
      <c r="AR36" s="279">
        <f>SUM(J36:M36)</f>
        <v>6611</v>
      </c>
      <c r="AS36" s="134"/>
      <c r="AT36" s="134"/>
      <c r="AU36" s="555"/>
      <c r="AV36" s="316"/>
      <c r="AW36" s="545"/>
      <c r="AX36" s="545"/>
      <c r="AY36" s="546"/>
      <c r="AZ36" s="546"/>
      <c r="BA36" s="180"/>
      <c r="BB36" s="328"/>
      <c r="BC36" s="328"/>
      <c r="BD36" s="328"/>
      <c r="BE36" s="328"/>
    </row>
    <row r="37" spans="1:59" s="53" customFormat="1" ht="15" hidden="1" customHeight="1" outlineLevel="1" x14ac:dyDescent="0.2">
      <c r="A37" s="570"/>
      <c r="B37" s="496" t="s">
        <v>305</v>
      </c>
      <c r="C37" s="110"/>
      <c r="D37" s="111"/>
      <c r="E37" s="497"/>
      <c r="F37" s="174"/>
      <c r="G37" s="174"/>
      <c r="H37" s="174"/>
      <c r="I37" s="561">
        <f>+I33+I34+I35+I36</f>
        <v>4808</v>
      </c>
      <c r="J37" s="174">
        <v>8342</v>
      </c>
      <c r="K37" s="174">
        <v>8506</v>
      </c>
      <c r="L37" s="174">
        <v>9222</v>
      </c>
      <c r="M37" s="175">
        <v>9425</v>
      </c>
      <c r="N37" s="174"/>
      <c r="O37" s="174"/>
      <c r="P37" s="174"/>
      <c r="Q37" s="175"/>
      <c r="R37" s="174">
        <v>9382</v>
      </c>
      <c r="S37" s="174">
        <v>8444</v>
      </c>
      <c r="T37" s="174">
        <v>9374</v>
      </c>
      <c r="U37" s="175">
        <v>9404</v>
      </c>
      <c r="V37" s="174">
        <v>9225</v>
      </c>
      <c r="W37" s="174">
        <v>9773</v>
      </c>
      <c r="X37" s="174">
        <v>8219</v>
      </c>
      <c r="Y37" s="175">
        <v>8565</v>
      </c>
      <c r="Z37" s="333" t="s">
        <v>181</v>
      </c>
      <c r="AA37" s="333" t="s">
        <v>181</v>
      </c>
      <c r="AB37" s="333" t="s">
        <v>181</v>
      </c>
      <c r="AC37" s="334" t="s">
        <v>181</v>
      </c>
      <c r="AD37" s="335" t="s">
        <v>181</v>
      </c>
      <c r="AE37" s="316" t="s">
        <v>181</v>
      </c>
      <c r="AF37" s="316" t="s">
        <v>181</v>
      </c>
      <c r="AG37" s="315" t="s">
        <v>181</v>
      </c>
      <c r="AH37" s="315" t="s">
        <v>181</v>
      </c>
      <c r="AI37" s="315" t="s">
        <v>181</v>
      </c>
      <c r="AJ37" s="315" t="s">
        <v>181</v>
      </c>
      <c r="AK37" s="315" t="s">
        <v>181</v>
      </c>
      <c r="AL37" s="321"/>
      <c r="AM37" s="236">
        <f>SUM(K37:M37)</f>
        <v>27153</v>
      </c>
      <c r="AN37" s="236">
        <f>SUM(O37:Q37)</f>
        <v>0</v>
      </c>
      <c r="AO37" s="236">
        <f>AR37-AS37</f>
        <v>35495</v>
      </c>
      <c r="AP37" s="111" t="e">
        <f>IF(OR((AO37/AS37)&gt;3,(AO37/AS37)&lt;-3),"n.m.",(AO37/AS37))</f>
        <v>#DIV/0!</v>
      </c>
      <c r="AQ37" s="321"/>
      <c r="AR37" s="130">
        <f>SUM(J37:M37)</f>
        <v>35495</v>
      </c>
      <c r="AS37" s="130"/>
      <c r="AT37" s="130"/>
      <c r="AU37" s="134"/>
      <c r="AV37" s="335"/>
      <c r="AW37" s="334"/>
      <c r="AX37" s="334"/>
      <c r="AY37" s="336"/>
      <c r="AZ37" s="336"/>
      <c r="BA37" s="8"/>
      <c r="BB37" s="483"/>
      <c r="BD37" s="137"/>
      <c r="BE37" s="137"/>
      <c r="BF37" s="137"/>
      <c r="BG37" s="137"/>
    </row>
    <row r="38" spans="1:59" s="53" customFormat="1" ht="15" customHeight="1" collapsed="1" thickTop="1" x14ac:dyDescent="0.2">
      <c r="A38" s="570"/>
      <c r="B38" s="496" t="s">
        <v>332</v>
      </c>
      <c r="C38" s="110"/>
      <c r="D38" s="111"/>
      <c r="E38" s="497"/>
      <c r="F38" s="161"/>
      <c r="G38" s="161"/>
      <c r="H38" s="161"/>
      <c r="I38" s="560"/>
      <c r="J38" s="161"/>
      <c r="K38" s="161"/>
      <c r="L38" s="161"/>
      <c r="M38" s="162"/>
      <c r="N38" s="161"/>
      <c r="O38" s="161"/>
      <c r="P38" s="161"/>
      <c r="Q38" s="162"/>
      <c r="R38" s="161"/>
      <c r="S38" s="161"/>
      <c r="T38" s="161"/>
      <c r="U38" s="162"/>
      <c r="V38" s="161"/>
      <c r="W38" s="161"/>
      <c r="X38" s="161"/>
      <c r="Y38" s="162"/>
      <c r="Z38" s="538"/>
      <c r="AA38" s="538"/>
      <c r="AB38" s="538"/>
      <c r="AC38" s="539"/>
      <c r="AD38" s="556"/>
      <c r="AE38" s="316"/>
      <c r="AF38" s="316"/>
      <c r="AG38" s="315"/>
      <c r="AH38" s="315"/>
      <c r="AI38" s="315"/>
      <c r="AJ38" s="315"/>
      <c r="AK38" s="315"/>
      <c r="AL38" s="321"/>
      <c r="AM38" s="454"/>
      <c r="AN38" s="454"/>
      <c r="AO38" s="454"/>
      <c r="AP38" s="313"/>
      <c r="AQ38" s="321"/>
      <c r="AR38" s="501">
        <f>+AR37</f>
        <v>35495</v>
      </c>
      <c r="AS38" s="501"/>
      <c r="AT38" s="501"/>
      <c r="AU38" s="501"/>
      <c r="AV38" s="316"/>
      <c r="AW38" s="539"/>
      <c r="AX38" s="539"/>
      <c r="AY38" s="540"/>
      <c r="AZ38" s="540"/>
      <c r="BA38" s="8"/>
      <c r="BB38" s="483"/>
      <c r="BD38" s="137"/>
      <c r="BE38" s="137"/>
      <c r="BF38" s="137"/>
      <c r="BG38" s="137"/>
    </row>
    <row r="39" spans="1:59" s="53" customFormat="1" ht="24.75" customHeight="1" thickBot="1" x14ac:dyDescent="0.25">
      <c r="A39" s="86" t="s">
        <v>72</v>
      </c>
      <c r="B39" s="408"/>
      <c r="C39" s="268"/>
      <c r="D39" s="120"/>
      <c r="E39" s="497"/>
      <c r="F39" s="178">
        <f t="shared" ref="F39:L39" si="9">+F32-F37</f>
        <v>0</v>
      </c>
      <c r="G39" s="178">
        <f t="shared" si="9"/>
        <v>0</v>
      </c>
      <c r="H39" s="178">
        <f t="shared" si="9"/>
        <v>0</v>
      </c>
      <c r="I39" s="179">
        <f t="shared" si="9"/>
        <v>-5384</v>
      </c>
      <c r="J39" s="178">
        <f t="shared" si="9"/>
        <v>-8200</v>
      </c>
      <c r="K39" s="178">
        <f t="shared" si="9"/>
        <v>-9500</v>
      </c>
      <c r="L39" s="178">
        <f t="shared" si="9"/>
        <v>-8922</v>
      </c>
      <c r="M39" s="179">
        <f>M32-M37</f>
        <v>-9548</v>
      </c>
      <c r="N39" s="178"/>
      <c r="O39" s="178"/>
      <c r="P39" s="178"/>
      <c r="Q39" s="179"/>
      <c r="R39" s="178">
        <f>R32-R37</f>
        <v>9122</v>
      </c>
      <c r="S39" s="178">
        <f>S32-S37</f>
        <v>8143</v>
      </c>
      <c r="T39" s="178">
        <f>T32-T37</f>
        <v>-3436</v>
      </c>
      <c r="U39" s="179">
        <f>U32-U37</f>
        <v>-1697</v>
      </c>
      <c r="V39" s="178">
        <v>-1070</v>
      </c>
      <c r="W39" s="178">
        <v>-87</v>
      </c>
      <c r="X39" s="178">
        <v>-3294</v>
      </c>
      <c r="Y39" s="179">
        <v>-3548</v>
      </c>
      <c r="Z39" s="317" t="s">
        <v>181</v>
      </c>
      <c r="AA39" s="317" t="s">
        <v>181</v>
      </c>
      <c r="AB39" s="317" t="s">
        <v>181</v>
      </c>
      <c r="AC39" s="318" t="s">
        <v>181</v>
      </c>
      <c r="AD39" s="331" t="s">
        <v>181</v>
      </c>
      <c r="AE39" s="316"/>
      <c r="AF39" s="316"/>
      <c r="AG39" s="315"/>
      <c r="AH39" s="315"/>
      <c r="AI39" s="315"/>
      <c r="AJ39" s="315"/>
      <c r="AK39" s="315"/>
      <c r="AL39" s="321"/>
      <c r="AM39" s="239">
        <f>AM32-AM37</f>
        <v>-27970</v>
      </c>
      <c r="AN39" s="239">
        <f>AN32-AN37</f>
        <v>0</v>
      </c>
      <c r="AO39" s="239">
        <f>AR39-AS39</f>
        <v>-36170</v>
      </c>
      <c r="AP39" s="120" t="e">
        <f>IF(OR((AO39/AS39)&gt;3,(AO39/AS39)&lt;-3),"n.m.",(AO39/AS39))</f>
        <v>#DIV/0!</v>
      </c>
      <c r="AQ39" s="321"/>
      <c r="AR39" s="179">
        <f>AR32-AR37</f>
        <v>-36170</v>
      </c>
      <c r="AS39" s="179"/>
      <c r="AT39" s="179"/>
      <c r="AU39" s="136"/>
      <c r="AV39" s="331"/>
      <c r="AW39" s="318"/>
      <c r="AX39" s="318"/>
      <c r="AY39" s="332"/>
      <c r="AZ39" s="332"/>
      <c r="BA39" s="8"/>
      <c r="BB39" s="483"/>
      <c r="BD39" s="137"/>
      <c r="BE39" s="137"/>
      <c r="BF39" s="137"/>
      <c r="BG39" s="137"/>
    </row>
    <row r="40" spans="1:59" ht="12.75" customHeight="1" thickTop="1" x14ac:dyDescent="0.2">
      <c r="A40" s="484"/>
      <c r="B40" s="484"/>
      <c r="C40" s="507"/>
      <c r="D40" s="508"/>
      <c r="E40" s="508"/>
      <c r="F40" s="508"/>
      <c r="G40" s="508"/>
      <c r="H40" s="508"/>
      <c r="I40" s="483"/>
      <c r="J40" s="508"/>
      <c r="K40" s="508"/>
      <c r="L40" s="508"/>
      <c r="M40" s="483"/>
      <c r="N40" s="508"/>
      <c r="O40" s="508"/>
      <c r="P40" s="508"/>
      <c r="Q40" s="483"/>
      <c r="R40" s="508"/>
      <c r="S40" s="508"/>
      <c r="T40" s="508"/>
      <c r="U40" s="483"/>
      <c r="V40" s="508"/>
      <c r="W40" s="508"/>
      <c r="X40" s="508"/>
      <c r="Y40" s="483"/>
      <c r="Z40" s="508"/>
      <c r="AA40" s="508"/>
      <c r="AB40" s="508"/>
      <c r="AC40" s="483"/>
      <c r="AD40" s="482"/>
      <c r="AE40" s="482"/>
      <c r="AF40" s="482"/>
      <c r="AG40" s="139"/>
      <c r="AH40" s="139"/>
      <c r="AI40" s="139"/>
      <c r="AJ40" s="139"/>
      <c r="AK40" s="139"/>
      <c r="AL40" s="483"/>
      <c r="AM40" s="483"/>
      <c r="AN40" s="483"/>
      <c r="AO40" s="507"/>
      <c r="AP40" s="508"/>
      <c r="AQ40" s="483"/>
      <c r="AR40" s="483"/>
      <c r="AS40" s="483"/>
      <c r="AT40" s="483"/>
      <c r="AU40" s="483"/>
      <c r="AV40" s="483"/>
      <c r="AW40" s="507"/>
      <c r="AX40" s="507"/>
      <c r="AY40" s="8"/>
      <c r="AZ40" s="8"/>
      <c r="BA40" s="8"/>
      <c r="BB40" s="483"/>
      <c r="BD40" s="481"/>
      <c r="BG40" s="481"/>
    </row>
    <row r="41" spans="1:59" ht="13.5" customHeight="1" x14ac:dyDescent="0.2">
      <c r="A41" s="89"/>
      <c r="B41" s="484"/>
      <c r="C41" s="154"/>
      <c r="D41" s="508"/>
      <c r="E41" s="508"/>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483"/>
      <c r="AM41" s="32"/>
      <c r="AN41" s="32"/>
      <c r="AO41" s="154"/>
      <c r="AP41" s="508"/>
      <c r="AQ41" s="483"/>
      <c r="AR41" s="32"/>
      <c r="AS41" s="32"/>
      <c r="AT41" s="32"/>
      <c r="AU41" s="32"/>
      <c r="AV41" s="32"/>
      <c r="AW41" s="32"/>
      <c r="AX41" s="32"/>
      <c r="AY41" s="229"/>
      <c r="AZ41" s="229"/>
      <c r="BA41" s="229"/>
      <c r="BB41" s="483"/>
      <c r="BD41" s="481"/>
      <c r="BG41" s="481"/>
    </row>
    <row r="42" spans="1:59" ht="13.5" hidden="1" customHeight="1" x14ac:dyDescent="0.2">
      <c r="A42" s="6"/>
      <c r="B42" s="484"/>
      <c r="C42" s="154"/>
      <c r="D42" s="508"/>
      <c r="E42" s="508"/>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483"/>
      <c r="AM42" s="32"/>
      <c r="AN42" s="32"/>
      <c r="AO42" s="154"/>
      <c r="AP42" s="508"/>
      <c r="AQ42" s="483"/>
      <c r="AR42" s="32"/>
      <c r="AS42" s="32"/>
      <c r="AT42" s="32"/>
      <c r="AU42" s="32"/>
      <c r="AV42" s="32"/>
      <c r="AW42" s="32"/>
      <c r="AX42" s="32"/>
      <c r="AY42" s="229"/>
      <c r="AZ42" s="229"/>
      <c r="BA42" s="229"/>
      <c r="BB42" s="483"/>
      <c r="BD42" s="481"/>
      <c r="BG42" s="481"/>
    </row>
    <row r="43" spans="1:59" ht="13.5" hidden="1" customHeight="1" x14ac:dyDescent="0.2">
      <c r="A43" s="6"/>
      <c r="B43" s="484"/>
      <c r="C43" s="154"/>
      <c r="D43" s="508"/>
      <c r="E43" s="508"/>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483"/>
      <c r="AM43" s="32"/>
      <c r="AN43" s="32"/>
      <c r="AO43" s="154"/>
      <c r="AP43" s="508"/>
      <c r="AQ43" s="483"/>
      <c r="AR43" s="32"/>
      <c r="AS43" s="32"/>
      <c r="AT43" s="32"/>
      <c r="AU43" s="32"/>
      <c r="AV43" s="32"/>
      <c r="AW43" s="32"/>
      <c r="AX43" s="32"/>
      <c r="AY43" s="229"/>
      <c r="AZ43" s="229"/>
      <c r="BA43" s="229"/>
      <c r="BB43" s="483"/>
      <c r="BD43" s="481"/>
      <c r="BG43" s="481"/>
    </row>
    <row r="44" spans="1:59" ht="12.75" hidden="1" customHeight="1" x14ac:dyDescent="0.2">
      <c r="A44" s="485"/>
      <c r="B44" s="484"/>
      <c r="C44" s="154"/>
      <c r="D44" s="508"/>
      <c r="E44" s="508"/>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483"/>
      <c r="AM44" s="32"/>
      <c r="AN44" s="32"/>
      <c r="AO44" s="154"/>
      <c r="AP44" s="508"/>
      <c r="AQ44" s="483"/>
      <c r="AR44" s="32"/>
      <c r="AS44" s="32"/>
      <c r="AT44" s="32"/>
      <c r="AU44" s="32"/>
      <c r="AV44" s="32"/>
      <c r="AW44" s="32"/>
      <c r="AX44" s="32"/>
      <c r="AY44" s="222"/>
      <c r="AZ44" s="222"/>
      <c r="BA44" s="222"/>
      <c r="BB44" s="483"/>
      <c r="BD44" s="481"/>
      <c r="BG44" s="481"/>
    </row>
    <row r="45" spans="1:59" ht="13.5" hidden="1" customHeight="1" x14ac:dyDescent="0.2">
      <c r="A45" s="485"/>
      <c r="B45" s="484"/>
      <c r="C45" s="154"/>
      <c r="D45" s="508"/>
      <c r="E45" s="508"/>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483"/>
      <c r="AM45" s="32"/>
      <c r="AN45" s="32"/>
      <c r="AO45" s="154"/>
      <c r="AP45" s="508"/>
      <c r="AQ45" s="483"/>
      <c r="AR45" s="32"/>
      <c r="AS45" s="32"/>
      <c r="AT45" s="32"/>
      <c r="AU45" s="32"/>
      <c r="AV45" s="32"/>
      <c r="AW45" s="32"/>
      <c r="AX45" s="32"/>
      <c r="AY45" s="222"/>
      <c r="AZ45" s="222"/>
      <c r="BA45" s="222"/>
      <c r="BB45" s="483"/>
      <c r="BD45" s="481"/>
      <c r="BG45" s="481"/>
    </row>
    <row r="46" spans="1:59" ht="12.75" hidden="1" customHeight="1" x14ac:dyDescent="0.2">
      <c r="A46" s="484"/>
      <c r="B46" s="484"/>
      <c r="C46" s="154"/>
      <c r="D46" s="508"/>
      <c r="E46" s="508"/>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483"/>
      <c r="AM46" s="32"/>
      <c r="AN46" s="32"/>
      <c r="AO46" s="154"/>
      <c r="AP46" s="508"/>
      <c r="AQ46" s="483"/>
      <c r="AR46" s="32"/>
      <c r="AS46" s="32"/>
      <c r="AT46" s="32"/>
      <c r="AU46" s="32"/>
      <c r="AV46" s="32"/>
      <c r="AW46" s="32"/>
      <c r="AX46" s="32"/>
      <c r="AY46" s="222"/>
      <c r="AZ46" s="222"/>
      <c r="BA46" s="222"/>
      <c r="BB46" s="483"/>
      <c r="BD46" s="481"/>
      <c r="BG46" s="481"/>
    </row>
    <row r="47" spans="1:59" ht="12.75" hidden="1" customHeight="1" x14ac:dyDescent="0.2">
      <c r="A47" s="484"/>
      <c r="B47" s="484"/>
      <c r="C47" s="154"/>
      <c r="D47" s="508"/>
      <c r="E47" s="508"/>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483"/>
      <c r="AM47" s="32"/>
      <c r="AN47" s="32"/>
      <c r="AO47" s="154"/>
      <c r="AP47" s="508"/>
      <c r="AQ47" s="483"/>
      <c r="AR47" s="32"/>
      <c r="AS47" s="32"/>
      <c r="AT47" s="32"/>
      <c r="AU47" s="32"/>
      <c r="AV47" s="32"/>
      <c r="AW47" s="32"/>
      <c r="AX47" s="32"/>
      <c r="AY47" s="222"/>
      <c r="AZ47" s="222"/>
      <c r="BA47" s="222"/>
      <c r="BB47" s="483"/>
      <c r="BD47" s="481"/>
      <c r="BG47" s="481"/>
    </row>
    <row r="48" spans="1:59" ht="12.75" hidden="1" customHeight="1" x14ac:dyDescent="0.2">
      <c r="A48" s="485"/>
      <c r="B48" s="484"/>
      <c r="C48" s="154"/>
      <c r="D48" s="508"/>
      <c r="E48" s="508"/>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483"/>
      <c r="AM48" s="32"/>
      <c r="AN48" s="32"/>
      <c r="AO48" s="154"/>
      <c r="AP48" s="508"/>
      <c r="AQ48" s="483"/>
      <c r="AR48" s="32"/>
      <c r="AS48" s="32"/>
      <c r="AT48" s="32"/>
      <c r="AU48" s="32"/>
      <c r="AV48" s="32"/>
      <c r="AW48" s="32"/>
      <c r="AX48" s="32"/>
      <c r="AY48" s="222"/>
      <c r="AZ48" s="222"/>
      <c r="BA48" s="222"/>
      <c r="BB48" s="483"/>
      <c r="BD48" s="481"/>
      <c r="BG48" s="481"/>
    </row>
    <row r="49" spans="1:59" ht="12.75" hidden="1" customHeight="1" x14ac:dyDescent="0.2">
      <c r="A49" s="485"/>
      <c r="B49" s="484"/>
      <c r="C49" s="154"/>
      <c r="D49" s="508"/>
      <c r="E49" s="508"/>
      <c r="F49" s="32"/>
      <c r="G49" s="32"/>
      <c r="H49" s="32"/>
      <c r="I49" s="32"/>
      <c r="J49" s="32"/>
      <c r="K49" s="32"/>
      <c r="L49" s="32"/>
      <c r="M49" s="32"/>
      <c r="N49" s="32"/>
      <c r="O49" s="32"/>
      <c r="P49" s="32"/>
      <c r="Q49" s="32"/>
      <c r="R49" s="32"/>
      <c r="S49" s="32"/>
      <c r="T49" s="32"/>
      <c r="U49" s="32"/>
      <c r="V49" s="32"/>
      <c r="W49" s="32"/>
      <c r="X49" s="32"/>
      <c r="Y49" s="508"/>
      <c r="Z49" s="508"/>
      <c r="AA49" s="508"/>
      <c r="AB49" s="508"/>
      <c r="AC49" s="508"/>
      <c r="AD49" s="508"/>
      <c r="AE49" s="508"/>
      <c r="AF49" s="508"/>
      <c r="AG49" s="508"/>
      <c r="AH49" s="508"/>
      <c r="AI49" s="508"/>
      <c r="AJ49" s="508"/>
      <c r="AK49" s="508"/>
      <c r="AL49" s="169"/>
      <c r="AM49" s="32"/>
      <c r="AN49" s="32"/>
      <c r="AO49" s="154"/>
      <c r="AP49" s="508"/>
      <c r="AQ49" s="169"/>
      <c r="AR49" s="32"/>
      <c r="AS49" s="32"/>
      <c r="AT49" s="32"/>
      <c r="AU49" s="508"/>
      <c r="AV49" s="508"/>
      <c r="AW49" s="508"/>
      <c r="AX49" s="508"/>
      <c r="AY49" s="508"/>
      <c r="AZ49" s="337"/>
      <c r="BA49" s="222"/>
      <c r="BB49" s="483"/>
      <c r="BD49" s="481"/>
      <c r="BG49" s="481"/>
    </row>
    <row r="50" spans="1:59" ht="12.75" hidden="1" customHeight="1" x14ac:dyDescent="0.2">
      <c r="A50" s="484"/>
      <c r="B50" s="484"/>
      <c r="C50" s="507"/>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483"/>
      <c r="AD50" s="482"/>
      <c r="AE50" s="482"/>
      <c r="AF50" s="482"/>
      <c r="AG50" s="482"/>
      <c r="AH50" s="121"/>
      <c r="AI50" s="121"/>
      <c r="AJ50" s="121"/>
      <c r="AK50" s="121"/>
      <c r="AL50" s="483"/>
      <c r="AM50" s="483"/>
      <c r="AN50" s="483"/>
      <c r="AO50" s="507"/>
      <c r="AP50" s="508"/>
      <c r="AQ50" s="483"/>
      <c r="AR50" s="32"/>
      <c r="AS50" s="32"/>
      <c r="AT50" s="32"/>
      <c r="AU50" s="32"/>
      <c r="AV50" s="483"/>
      <c r="AW50" s="507"/>
      <c r="AX50" s="507"/>
      <c r="AY50" s="223"/>
      <c r="AZ50" s="223"/>
      <c r="BA50" s="223"/>
      <c r="BB50" s="483"/>
      <c r="BD50" s="481"/>
      <c r="BG50" s="481"/>
    </row>
    <row r="51" spans="1:59" ht="13.5" hidden="1" customHeight="1" x14ac:dyDescent="0.2">
      <c r="A51" s="6"/>
      <c r="B51" s="484"/>
      <c r="C51" s="507"/>
      <c r="D51" s="508"/>
      <c r="E51" s="508"/>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483"/>
      <c r="AM51" s="488"/>
      <c r="AN51" s="488"/>
      <c r="AO51" s="507"/>
      <c r="AP51" s="508"/>
      <c r="AQ51" s="483"/>
      <c r="AR51" s="507"/>
      <c r="AS51" s="507"/>
      <c r="AT51" s="507"/>
      <c r="AU51" s="507"/>
      <c r="AV51" s="507"/>
      <c r="AW51" s="507"/>
      <c r="AX51" s="507"/>
      <c r="AY51" s="223"/>
      <c r="AZ51" s="223"/>
      <c r="BA51" s="223"/>
      <c r="BB51" s="483"/>
      <c r="BD51" s="481"/>
      <c r="BG51" s="481"/>
    </row>
    <row r="52" spans="1:59" ht="13.5" hidden="1" customHeight="1" x14ac:dyDescent="0.2">
      <c r="A52" s="492"/>
      <c r="B52" s="89"/>
      <c r="C52" s="507"/>
      <c r="D52" s="508"/>
      <c r="E52" s="508"/>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483"/>
      <c r="AM52" s="488"/>
      <c r="AN52" s="488"/>
      <c r="AO52" s="507"/>
      <c r="AP52" s="508"/>
      <c r="AQ52" s="483"/>
      <c r="AR52" s="507"/>
      <c r="AS52" s="507"/>
      <c r="AT52" s="507"/>
      <c r="AU52" s="507"/>
      <c r="AV52" s="507"/>
      <c r="AW52" s="507"/>
      <c r="AX52" s="507"/>
      <c r="AY52" s="492"/>
      <c r="AZ52" s="492"/>
      <c r="BA52" s="492"/>
      <c r="BB52" s="483"/>
      <c r="BD52" s="481"/>
      <c r="BG52" s="481"/>
    </row>
    <row r="53" spans="1:59" ht="13.5" hidden="1" customHeight="1" x14ac:dyDescent="0.2">
      <c r="A53" s="492"/>
      <c r="B53" s="89"/>
      <c r="C53" s="507"/>
      <c r="D53" s="508"/>
      <c r="E53" s="515"/>
      <c r="F53" s="507"/>
      <c r="G53" s="507"/>
      <c r="H53" s="507"/>
      <c r="I53" s="507"/>
      <c r="J53" s="507"/>
      <c r="K53" s="507"/>
      <c r="L53" s="507"/>
      <c r="M53" s="507"/>
      <c r="N53" s="180"/>
      <c r="O53" s="180"/>
      <c r="P53" s="180"/>
      <c r="Q53" s="180"/>
      <c r="R53" s="180"/>
      <c r="S53" s="180"/>
      <c r="T53" s="180"/>
      <c r="U53" s="180"/>
      <c r="V53" s="507"/>
      <c r="W53" s="507"/>
      <c r="X53" s="507"/>
      <c r="Y53" s="507"/>
      <c r="Z53" s="507"/>
      <c r="AA53" s="507"/>
      <c r="AB53" s="507"/>
      <c r="AC53" s="507"/>
      <c r="AD53" s="507"/>
      <c r="AE53" s="507"/>
      <c r="AF53" s="507"/>
      <c r="AG53" s="507"/>
      <c r="AH53" s="507"/>
      <c r="AI53" s="507"/>
      <c r="AJ53" s="507"/>
      <c r="AK53" s="507"/>
      <c r="AL53" s="516"/>
      <c r="AM53" s="488"/>
      <c r="AN53" s="488"/>
      <c r="AO53" s="507"/>
      <c r="AP53" s="180"/>
      <c r="AQ53" s="516"/>
      <c r="AR53" s="507"/>
      <c r="AS53" s="180"/>
      <c r="AT53" s="180"/>
      <c r="AU53" s="180"/>
      <c r="AV53" s="180"/>
      <c r="AW53" s="180"/>
      <c r="AX53" s="507"/>
      <c r="AY53" s="484"/>
      <c r="AZ53" s="484"/>
      <c r="BA53" s="484"/>
      <c r="BB53" s="483"/>
      <c r="BD53" s="481"/>
      <c r="BG53" s="481"/>
    </row>
    <row r="54" spans="1:59" ht="12.75" hidden="1" customHeight="1" x14ac:dyDescent="0.2">
      <c r="A54" s="492"/>
      <c r="B54" s="89"/>
      <c r="C54" s="507"/>
      <c r="D54" s="508"/>
      <c r="E54" s="508"/>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483"/>
      <c r="AM54" s="488"/>
      <c r="AN54" s="488"/>
      <c r="AO54" s="507"/>
      <c r="AP54" s="508"/>
      <c r="AQ54" s="483"/>
      <c r="AR54" s="507"/>
      <c r="AS54" s="507"/>
      <c r="AT54" s="507"/>
      <c r="AU54" s="507"/>
      <c r="AV54" s="507"/>
      <c r="AW54" s="507"/>
      <c r="AX54" s="507"/>
      <c r="AY54" s="484"/>
      <c r="AZ54" s="484"/>
      <c r="BA54" s="484"/>
      <c r="BB54" s="483"/>
      <c r="BD54" s="481"/>
      <c r="BG54" s="481"/>
    </row>
    <row r="55" spans="1:59" ht="12.75" hidden="1" customHeight="1" x14ac:dyDescent="0.2">
      <c r="A55" s="492"/>
      <c r="B55" s="89"/>
      <c r="C55" s="507"/>
      <c r="D55" s="508"/>
      <c r="E55" s="508"/>
      <c r="F55" s="507"/>
      <c r="G55" s="507"/>
      <c r="H55" s="507"/>
      <c r="I55" s="507"/>
      <c r="J55" s="507"/>
      <c r="K55" s="507"/>
      <c r="L55" s="507"/>
      <c r="M55" s="507"/>
      <c r="N55" s="508"/>
      <c r="O55" s="508"/>
      <c r="P55" s="508"/>
      <c r="Q55" s="508"/>
      <c r="R55" s="508"/>
      <c r="S55" s="508"/>
      <c r="T55" s="508"/>
      <c r="U55" s="508"/>
      <c r="V55" s="507"/>
      <c r="W55" s="507"/>
      <c r="X55" s="507"/>
      <c r="Y55" s="507"/>
      <c r="Z55" s="507"/>
      <c r="AA55" s="507"/>
      <c r="AB55" s="507"/>
      <c r="AC55" s="507"/>
      <c r="AD55" s="507"/>
      <c r="AE55" s="507"/>
      <c r="AF55" s="507"/>
      <c r="AG55" s="507"/>
      <c r="AH55" s="507"/>
      <c r="AI55" s="507"/>
      <c r="AJ55" s="507"/>
      <c r="AK55" s="507"/>
      <c r="AL55" s="483"/>
      <c r="AM55" s="483"/>
      <c r="AN55" s="483"/>
      <c r="AO55" s="507"/>
      <c r="AP55" s="508"/>
      <c r="AQ55" s="483"/>
      <c r="AR55" s="508"/>
      <c r="AS55" s="508"/>
      <c r="AT55" s="508"/>
      <c r="AU55" s="508"/>
      <c r="AV55" s="508"/>
      <c r="AW55" s="508"/>
      <c r="AX55" s="507"/>
      <c r="AY55" s="484"/>
      <c r="AZ55" s="484"/>
      <c r="BA55" s="484"/>
      <c r="BB55" s="483"/>
      <c r="BD55" s="481"/>
      <c r="BG55" s="481"/>
    </row>
    <row r="56" spans="1:59" ht="12.75" hidden="1" customHeight="1" x14ac:dyDescent="0.2">
      <c r="A56" s="485"/>
      <c r="B56" s="89"/>
      <c r="C56" s="507"/>
      <c r="D56" s="508"/>
      <c r="E56" s="508"/>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483"/>
      <c r="AM56" s="488"/>
      <c r="AN56" s="488"/>
      <c r="AO56" s="507"/>
      <c r="AP56" s="508"/>
      <c r="AQ56" s="483"/>
      <c r="AR56" s="507"/>
      <c r="AS56" s="507"/>
      <c r="AT56" s="507"/>
      <c r="AU56" s="507"/>
      <c r="AV56" s="507"/>
      <c r="AW56" s="507"/>
      <c r="AX56" s="507"/>
      <c r="AY56" s="492"/>
      <c r="AZ56" s="492"/>
      <c r="BA56" s="492"/>
      <c r="BB56" s="483"/>
      <c r="BD56" s="481"/>
      <c r="BG56" s="481"/>
    </row>
    <row r="57" spans="1:59" ht="13.5" hidden="1" customHeight="1" x14ac:dyDescent="0.2">
      <c r="A57" s="489"/>
      <c r="B57" s="485"/>
      <c r="C57" s="507"/>
      <c r="D57" s="508"/>
      <c r="E57" s="508"/>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483"/>
      <c r="AM57" s="488"/>
      <c r="AN57" s="488"/>
      <c r="AO57" s="507"/>
      <c r="AP57" s="508"/>
      <c r="AQ57" s="483"/>
      <c r="AR57" s="507"/>
      <c r="AS57" s="507"/>
      <c r="AT57" s="507"/>
      <c r="AU57" s="507"/>
      <c r="AV57" s="507"/>
      <c r="AW57" s="507"/>
      <c r="AX57" s="507"/>
      <c r="AY57" s="492"/>
      <c r="AZ57" s="492"/>
      <c r="BA57" s="492"/>
      <c r="BB57" s="483"/>
      <c r="BD57" s="481"/>
      <c r="BG57" s="481"/>
    </row>
    <row r="58" spans="1:59" ht="12.75" hidden="1" customHeight="1" x14ac:dyDescent="0.2">
      <c r="A58" s="489"/>
      <c r="B58" s="485"/>
      <c r="C58" s="507"/>
      <c r="D58" s="508"/>
      <c r="E58" s="508"/>
      <c r="F58" s="507"/>
      <c r="G58" s="507"/>
      <c r="H58" s="507"/>
      <c r="I58" s="507"/>
      <c r="J58" s="507"/>
      <c r="K58" s="507"/>
      <c r="L58" s="507"/>
      <c r="M58" s="507"/>
      <c r="N58" s="180"/>
      <c r="O58" s="180"/>
      <c r="P58" s="180"/>
      <c r="Q58" s="180"/>
      <c r="R58" s="180"/>
      <c r="S58" s="180"/>
      <c r="T58" s="180"/>
      <c r="U58" s="180"/>
      <c r="V58" s="507"/>
      <c r="W58" s="507"/>
      <c r="X58" s="507"/>
      <c r="Y58" s="507"/>
      <c r="Z58" s="507"/>
      <c r="AA58" s="507"/>
      <c r="AB58" s="507"/>
      <c r="AC58" s="507"/>
      <c r="AD58" s="507"/>
      <c r="AE58" s="507"/>
      <c r="AF58" s="507"/>
      <c r="AG58" s="507"/>
      <c r="AH58" s="507"/>
      <c r="AI58" s="507"/>
      <c r="AJ58" s="507"/>
      <c r="AK58" s="507"/>
      <c r="AL58" s="516"/>
      <c r="AM58" s="488"/>
      <c r="AN58" s="488"/>
      <c r="AO58" s="507"/>
      <c r="AP58" s="508"/>
      <c r="AQ58" s="516"/>
      <c r="AR58" s="507"/>
      <c r="AS58" s="180"/>
      <c r="AT58" s="180"/>
      <c r="AU58" s="180"/>
      <c r="AV58" s="180"/>
      <c r="AW58" s="180"/>
      <c r="AX58" s="507"/>
      <c r="AY58" s="492"/>
      <c r="AZ58" s="492"/>
      <c r="BA58" s="492"/>
      <c r="BB58" s="483"/>
      <c r="BD58" s="481"/>
      <c r="BG58" s="481"/>
    </row>
    <row r="59" spans="1:59" ht="12.75" customHeight="1" x14ac:dyDescent="0.2">
      <c r="A59" s="6"/>
      <c r="B59" s="6"/>
      <c r="C59" s="483"/>
      <c r="D59" s="483"/>
      <c r="E59" s="483"/>
      <c r="F59" s="483"/>
      <c r="G59" s="483"/>
      <c r="H59" s="483"/>
      <c r="I59" s="6"/>
      <c r="J59" s="483"/>
      <c r="K59" s="483"/>
      <c r="L59" s="483"/>
      <c r="M59" s="6"/>
      <c r="N59" s="483"/>
      <c r="O59" s="483"/>
      <c r="P59" s="483"/>
      <c r="Q59" s="6"/>
      <c r="R59" s="483"/>
      <c r="S59" s="483"/>
      <c r="T59" s="483"/>
      <c r="U59" s="6"/>
      <c r="V59" s="483"/>
      <c r="W59" s="483"/>
      <c r="X59" s="483"/>
      <c r="Y59" s="6"/>
      <c r="Z59" s="483"/>
      <c r="AA59" s="483"/>
      <c r="AB59" s="483"/>
      <c r="AC59" s="6"/>
      <c r="AD59" s="483"/>
      <c r="AE59" s="483"/>
      <c r="AF59" s="483"/>
      <c r="AG59" s="483"/>
      <c r="AH59" s="483"/>
      <c r="AI59" s="483"/>
      <c r="AJ59" s="483"/>
      <c r="AK59" s="483"/>
      <c r="AL59" s="483"/>
      <c r="AM59" s="483"/>
      <c r="AN59" s="483"/>
      <c r="AO59" s="483"/>
      <c r="AP59" s="483"/>
      <c r="AQ59" s="483"/>
      <c r="AR59" s="483"/>
      <c r="AS59" s="483"/>
      <c r="AT59" s="483"/>
      <c r="AU59" s="483"/>
      <c r="AV59" s="483"/>
      <c r="AW59" s="483"/>
      <c r="AX59" s="483"/>
      <c r="AY59" s="484"/>
      <c r="AZ59" s="482"/>
      <c r="BA59" s="482"/>
      <c r="BB59" s="483"/>
      <c r="BD59" s="481"/>
      <c r="BG59" s="481"/>
    </row>
    <row r="60" spans="1:59" ht="18" customHeight="1" x14ac:dyDescent="0.2">
      <c r="A60" s="10" t="s">
        <v>250</v>
      </c>
      <c r="B60" s="6"/>
      <c r="C60" s="482"/>
      <c r="D60" s="482"/>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c r="AE60" s="483"/>
      <c r="AF60" s="482"/>
      <c r="AG60" s="482"/>
      <c r="AH60" s="482"/>
      <c r="AI60" s="482"/>
      <c r="AJ60" s="482"/>
      <c r="AK60" s="482"/>
      <c r="AL60" s="482"/>
      <c r="AM60" s="482"/>
      <c r="AN60" s="482"/>
      <c r="AO60" s="483"/>
      <c r="AP60" s="483"/>
      <c r="AQ60" s="482"/>
      <c r="AR60" s="482"/>
      <c r="AS60" s="482"/>
      <c r="AT60" s="482"/>
      <c r="AU60" s="482"/>
      <c r="AV60" s="482"/>
      <c r="AW60" s="482"/>
      <c r="AX60" s="482"/>
      <c r="AY60" s="484"/>
      <c r="AZ60" s="482"/>
      <c r="BA60" s="482"/>
      <c r="BB60" s="483"/>
      <c r="BD60" s="481"/>
      <c r="BG60" s="481"/>
    </row>
    <row r="61" spans="1:59" ht="12.75" customHeight="1" x14ac:dyDescent="0.2">
      <c r="A61" s="123"/>
      <c r="B61" s="6"/>
      <c r="C61" s="482"/>
      <c r="D61" s="482"/>
      <c r="E61" s="483"/>
      <c r="F61" s="265"/>
      <c r="G61" s="265"/>
      <c r="H61" s="265"/>
      <c r="I61" s="483"/>
      <c r="J61" s="265"/>
      <c r="K61" s="265"/>
      <c r="L61" s="265"/>
      <c r="M61" s="483"/>
      <c r="N61" s="265"/>
      <c r="O61" s="483"/>
      <c r="P61" s="265"/>
      <c r="Q61" s="483"/>
      <c r="R61" s="265"/>
      <c r="S61" s="483"/>
      <c r="T61" s="265"/>
      <c r="U61" s="483"/>
      <c r="V61" s="265"/>
      <c r="W61" s="483"/>
      <c r="X61" s="265"/>
      <c r="Y61" s="483"/>
      <c r="Z61" s="265"/>
      <c r="AA61" s="483"/>
      <c r="AB61" s="483"/>
      <c r="AC61" s="483"/>
      <c r="AD61" s="483"/>
      <c r="AE61" s="483"/>
      <c r="AF61" s="482"/>
      <c r="AG61" s="482"/>
      <c r="AH61" s="482"/>
      <c r="AI61" s="482"/>
      <c r="AJ61" s="482"/>
      <c r="AK61" s="482"/>
      <c r="AL61" s="482"/>
      <c r="AM61" s="482"/>
      <c r="AN61" s="482"/>
      <c r="AO61" s="483"/>
      <c r="AP61" s="483"/>
      <c r="AQ61" s="482"/>
      <c r="AR61" s="482"/>
      <c r="AS61" s="482"/>
      <c r="AT61" s="482"/>
      <c r="AU61" s="482"/>
      <c r="AV61" s="482"/>
      <c r="AW61" s="482"/>
      <c r="AX61" s="482"/>
      <c r="AY61" s="221"/>
      <c r="AZ61" s="221"/>
      <c r="BA61" s="221"/>
      <c r="BB61" s="483"/>
      <c r="BD61" s="481"/>
      <c r="BG61" s="481"/>
    </row>
    <row r="62" spans="1:59" ht="12.75" customHeight="1" x14ac:dyDescent="0.2">
      <c r="A62" s="5"/>
      <c r="B62" s="6"/>
      <c r="C62" s="3204"/>
      <c r="D62" s="3205"/>
      <c r="E62" s="184"/>
      <c r="F62" s="273"/>
      <c r="G62" s="273"/>
      <c r="H62" s="273"/>
      <c r="I62" s="17"/>
      <c r="J62" s="273"/>
      <c r="K62" s="273"/>
      <c r="L62" s="273"/>
      <c r="M62" s="17"/>
      <c r="N62" s="15"/>
      <c r="O62" s="16"/>
      <c r="P62" s="273"/>
      <c r="Q62" s="17"/>
      <c r="R62" s="15"/>
      <c r="S62" s="16"/>
      <c r="T62" s="273"/>
      <c r="U62" s="17"/>
      <c r="W62" s="16"/>
      <c r="X62" s="2"/>
      <c r="Y62" s="17"/>
      <c r="Z62" s="16"/>
      <c r="AB62" s="273"/>
      <c r="AC62" s="17"/>
      <c r="AD62" s="16"/>
      <c r="AE62" s="16"/>
      <c r="AF62" s="16"/>
      <c r="AG62" s="16"/>
      <c r="AH62" s="20"/>
      <c r="AI62" s="17"/>
      <c r="AJ62" s="17"/>
      <c r="AK62" s="17"/>
      <c r="AL62" s="22"/>
      <c r="AM62" s="445" t="s">
        <v>299</v>
      </c>
      <c r="AN62" s="433"/>
      <c r="AO62" s="433" t="s">
        <v>284</v>
      </c>
      <c r="AP62" s="434"/>
      <c r="AQ62" s="13"/>
      <c r="AR62" s="46"/>
      <c r="AS62" s="46"/>
      <c r="AT62" s="46"/>
      <c r="AU62" s="46"/>
      <c r="AV62" s="46"/>
      <c r="AW62" s="126"/>
      <c r="AX62" s="124"/>
      <c r="AY62" s="46"/>
      <c r="AZ62" s="46"/>
      <c r="BA62" s="46"/>
      <c r="BB62" s="105"/>
      <c r="BD62" s="481"/>
      <c r="BG62" s="481"/>
    </row>
    <row r="63" spans="1:59" ht="12.75" customHeight="1" x14ac:dyDescent="0.2">
      <c r="A63" s="5" t="s">
        <v>96</v>
      </c>
      <c r="B63" s="6"/>
      <c r="C63" s="3201"/>
      <c r="D63" s="3202"/>
      <c r="E63" s="355"/>
      <c r="F63" s="19" t="s">
        <v>315</v>
      </c>
      <c r="G63" s="19" t="s">
        <v>314</v>
      </c>
      <c r="H63" s="19" t="s">
        <v>313</v>
      </c>
      <c r="I63" s="12" t="s">
        <v>311</v>
      </c>
      <c r="J63" s="19" t="s">
        <v>270</v>
      </c>
      <c r="K63" s="19" t="s">
        <v>271</v>
      </c>
      <c r="L63" s="19" t="s">
        <v>272</v>
      </c>
      <c r="M63" s="12" t="s">
        <v>273</v>
      </c>
      <c r="N63" s="18" t="s">
        <v>223</v>
      </c>
      <c r="O63" s="19" t="s">
        <v>224</v>
      </c>
      <c r="P63" s="19" t="s">
        <v>225</v>
      </c>
      <c r="Q63" s="12" t="s">
        <v>222</v>
      </c>
      <c r="R63" s="18" t="s">
        <v>189</v>
      </c>
      <c r="S63" s="19" t="s">
        <v>190</v>
      </c>
      <c r="T63" s="19" t="s">
        <v>191</v>
      </c>
      <c r="U63" s="12" t="s">
        <v>192</v>
      </c>
      <c r="V63" s="19" t="s">
        <v>121</v>
      </c>
      <c r="W63" s="19" t="s">
        <v>120</v>
      </c>
      <c r="X63" s="19" t="s">
        <v>119</v>
      </c>
      <c r="Y63" s="12" t="s">
        <v>118</v>
      </c>
      <c r="Z63" s="19" t="s">
        <v>81</v>
      </c>
      <c r="AA63" s="19" t="s">
        <v>82</v>
      </c>
      <c r="AB63" s="19" t="s">
        <v>83</v>
      </c>
      <c r="AC63" s="12" t="s">
        <v>29</v>
      </c>
      <c r="AD63" s="19" t="s">
        <v>30</v>
      </c>
      <c r="AE63" s="19" t="s">
        <v>31</v>
      </c>
      <c r="AF63" s="19" t="s">
        <v>32</v>
      </c>
      <c r="AG63" s="19" t="s">
        <v>33</v>
      </c>
      <c r="AH63" s="21" t="s">
        <v>34</v>
      </c>
      <c r="AI63" s="12" t="s">
        <v>35</v>
      </c>
      <c r="AJ63" s="12" t="s">
        <v>36</v>
      </c>
      <c r="AK63" s="12" t="s">
        <v>37</v>
      </c>
      <c r="AL63" s="184"/>
      <c r="AM63" s="19" t="s">
        <v>271</v>
      </c>
      <c r="AN63" s="19" t="s">
        <v>224</v>
      </c>
      <c r="AO63" s="3203" t="s">
        <v>38</v>
      </c>
      <c r="AP63" s="3202"/>
      <c r="AQ63" s="127"/>
      <c r="AR63" s="18" t="s">
        <v>275</v>
      </c>
      <c r="AS63" s="18" t="s">
        <v>227</v>
      </c>
      <c r="AT63" s="18"/>
      <c r="AU63" s="18"/>
      <c r="AV63" s="18"/>
      <c r="AW63" s="18"/>
      <c r="AX63" s="21"/>
      <c r="AY63" s="21"/>
      <c r="AZ63" s="21"/>
      <c r="BA63" s="21"/>
      <c r="BB63" s="105"/>
      <c r="BD63" s="481"/>
      <c r="BG63" s="481"/>
    </row>
    <row r="64" spans="1:59" ht="12.75" customHeight="1" x14ac:dyDescent="0.2">
      <c r="A64" s="90"/>
      <c r="B64" s="483" t="s">
        <v>4</v>
      </c>
      <c r="C64" s="262"/>
      <c r="D64" s="498"/>
      <c r="E64" s="47"/>
      <c r="F64" s="494"/>
      <c r="G64" s="494"/>
      <c r="H64" s="494"/>
      <c r="I64" s="495">
        <f>+I15</f>
        <v>755</v>
      </c>
      <c r="J64" s="494">
        <f>+J15</f>
        <v>1298</v>
      </c>
      <c r="K64" s="494">
        <f>+K15</f>
        <v>178</v>
      </c>
      <c r="L64" s="494">
        <f>+L15</f>
        <v>1153</v>
      </c>
      <c r="M64" s="495">
        <f>+M15</f>
        <v>844</v>
      </c>
      <c r="N64" s="494">
        <f t="shared" ref="N64:U64" si="10">N15</f>
        <v>0</v>
      </c>
      <c r="O64" s="494">
        <f t="shared" si="10"/>
        <v>0</v>
      </c>
      <c r="P64" s="494">
        <f t="shared" si="10"/>
        <v>0</v>
      </c>
      <c r="Q64" s="495">
        <f t="shared" si="10"/>
        <v>0</v>
      </c>
      <c r="R64" s="494">
        <f t="shared" si="10"/>
        <v>72704</v>
      </c>
      <c r="S64" s="494">
        <f t="shared" si="10"/>
        <v>68599</v>
      </c>
      <c r="T64" s="494">
        <f t="shared" si="10"/>
        <v>44539</v>
      </c>
      <c r="U64" s="495">
        <f t="shared" si="10"/>
        <v>47207</v>
      </c>
      <c r="V64" s="494">
        <v>54990</v>
      </c>
      <c r="W64" s="494">
        <v>51733</v>
      </c>
      <c r="X64" s="494">
        <v>40138</v>
      </c>
      <c r="Y64" s="495">
        <v>40185</v>
      </c>
      <c r="Z64" s="245">
        <v>37255</v>
      </c>
      <c r="AA64" s="494">
        <v>33532</v>
      </c>
      <c r="AB64" s="494">
        <v>43844</v>
      </c>
      <c r="AC64" s="495">
        <v>57853</v>
      </c>
      <c r="AD64" s="114">
        <v>54463</v>
      </c>
      <c r="AE64" s="139">
        <v>61166</v>
      </c>
      <c r="AF64" s="139">
        <v>57415</v>
      </c>
      <c r="AG64" s="143">
        <v>76083</v>
      </c>
      <c r="AH64" s="153">
        <v>75876</v>
      </c>
      <c r="AI64" s="143">
        <v>68831</v>
      </c>
      <c r="AJ64" s="143">
        <v>55626</v>
      </c>
      <c r="AK64" s="152">
        <v>72286</v>
      </c>
      <c r="AL64" s="47"/>
      <c r="AM64" s="494">
        <f>SUM(K64:M64)</f>
        <v>2175</v>
      </c>
      <c r="AN64" s="494">
        <f>SUM(O64:Q64)</f>
        <v>0</v>
      </c>
      <c r="AO64" s="507">
        <f>AR64-AS64</f>
        <v>3473</v>
      </c>
      <c r="AP64" s="348" t="e">
        <f>IF(OR((AO64/AS64)&gt;3,(AO64/AS64)&lt;-3),"n.m.",(AO64/AS64))</f>
        <v>#DIV/0!</v>
      </c>
      <c r="AQ64" s="482"/>
      <c r="AR64" s="499">
        <f>SUM(J64:M64)</f>
        <v>3473</v>
      </c>
      <c r="AS64" s="487">
        <f>SUM(N64:Q64)</f>
        <v>0</v>
      </c>
      <c r="AT64" s="487"/>
      <c r="AU64" s="487"/>
      <c r="AV64" s="487"/>
      <c r="AW64" s="151"/>
      <c r="AX64" s="153"/>
      <c r="AY64" s="153"/>
      <c r="AZ64" s="153"/>
      <c r="BA64" s="153"/>
      <c r="BB64" s="105"/>
      <c r="BD64" s="481"/>
      <c r="BG64" s="481"/>
    </row>
    <row r="65" spans="1:59" ht="12.75" customHeight="1" x14ac:dyDescent="0.2">
      <c r="A65" s="482"/>
      <c r="B65" s="483" t="s">
        <v>80</v>
      </c>
      <c r="C65" s="45"/>
      <c r="D65" s="39"/>
      <c r="E65" s="356"/>
      <c r="F65" s="264"/>
      <c r="G65" s="264"/>
      <c r="H65" s="264"/>
      <c r="I65" s="495">
        <f>+I31</f>
        <v>1331</v>
      </c>
      <c r="J65" s="264">
        <f>+J31-J28-J29</f>
        <v>1156</v>
      </c>
      <c r="K65" s="264">
        <f>+K31-K28-K29</f>
        <v>1172</v>
      </c>
      <c r="L65" s="264">
        <f>+L31-L28</f>
        <v>853</v>
      </c>
      <c r="M65" s="495">
        <f>+M31</f>
        <v>967</v>
      </c>
      <c r="N65" s="264">
        <f>N31-N28-N29</f>
        <v>0</v>
      </c>
      <c r="O65" s="264">
        <f>O31</f>
        <v>0</v>
      </c>
      <c r="P65" s="264">
        <f>P31</f>
        <v>0</v>
      </c>
      <c r="Q65" s="495">
        <f>Q31-Q30-Q28</f>
        <v>0</v>
      </c>
      <c r="R65" s="264">
        <f>R31-R30-R28</f>
        <v>54200</v>
      </c>
      <c r="S65" s="264">
        <f>S31-S30-S28</f>
        <v>52012</v>
      </c>
      <c r="T65" s="264">
        <f>T31-T30-T28</f>
        <v>38601</v>
      </c>
      <c r="U65" s="495">
        <f>U31-U30-U28</f>
        <v>39500</v>
      </c>
      <c r="V65" s="264">
        <v>46835</v>
      </c>
      <c r="W65" s="264">
        <v>42047</v>
      </c>
      <c r="X65" s="264">
        <v>35213</v>
      </c>
      <c r="Y65" s="495">
        <v>35168</v>
      </c>
      <c r="Z65" s="264">
        <v>28967</v>
      </c>
      <c r="AA65" s="264">
        <v>34689</v>
      </c>
      <c r="AB65" s="264">
        <v>35911</v>
      </c>
      <c r="AC65" s="495">
        <v>44683</v>
      </c>
      <c r="AD65" s="114">
        <v>43703</v>
      </c>
      <c r="AE65" s="139">
        <v>48132</v>
      </c>
      <c r="AF65" s="139">
        <v>44039</v>
      </c>
      <c r="AG65" s="143">
        <v>57148</v>
      </c>
      <c r="AH65" s="486">
        <v>55349</v>
      </c>
      <c r="AI65" s="143">
        <v>50178</v>
      </c>
      <c r="AJ65" s="143">
        <v>41346</v>
      </c>
      <c r="AK65" s="143">
        <v>55217</v>
      </c>
      <c r="AL65" s="47"/>
      <c r="AM65" s="494">
        <f>SUM(K65:M65)</f>
        <v>2992</v>
      </c>
      <c r="AN65" s="494">
        <f>SUM(O65:Q65)</f>
        <v>0</v>
      </c>
      <c r="AO65" s="507">
        <f>AR65-AS65</f>
        <v>4148</v>
      </c>
      <c r="AP65" s="39" t="e">
        <f>IF(OR((AO65/AS65)&gt;3,(AO65/AS65)&lt;-3),"n.m.",(AO65/AS65))</f>
        <v>#DIV/0!</v>
      </c>
      <c r="AQ65" s="482"/>
      <c r="AR65" s="487">
        <f>SUM(J65:M65)</f>
        <v>4148</v>
      </c>
      <c r="AS65" s="487">
        <f>SUM(N65:Q65)</f>
        <v>0</v>
      </c>
      <c r="AT65" s="487"/>
      <c r="AU65" s="487"/>
      <c r="AV65" s="487"/>
      <c r="AW65" s="114"/>
      <c r="AX65" s="486"/>
      <c r="AY65" s="486"/>
      <c r="AZ65" s="486"/>
      <c r="BA65" s="486"/>
      <c r="BB65" s="105"/>
      <c r="BD65" s="481"/>
      <c r="BG65" s="481"/>
    </row>
    <row r="66" spans="1:59" ht="24" x14ac:dyDescent="0.2">
      <c r="A66" s="482"/>
      <c r="B66" s="496" t="s">
        <v>183</v>
      </c>
      <c r="C66" s="45"/>
      <c r="D66" s="39"/>
      <c r="E66" s="356"/>
      <c r="F66" s="264"/>
      <c r="G66" s="264"/>
      <c r="H66" s="264"/>
      <c r="I66" s="495">
        <f>+I64-I65</f>
        <v>-576</v>
      </c>
      <c r="J66" s="264">
        <f>+J64-J65</f>
        <v>142</v>
      </c>
      <c r="K66" s="264">
        <f>+K64-K65</f>
        <v>-994</v>
      </c>
      <c r="L66" s="264">
        <f>+L64-L65</f>
        <v>300</v>
      </c>
      <c r="M66" s="495">
        <f>+M64-M65</f>
        <v>-123</v>
      </c>
      <c r="N66" s="264">
        <f t="shared" ref="N66:U66" si="11">N64-N65</f>
        <v>0</v>
      </c>
      <c r="O66" s="264">
        <f t="shared" si="11"/>
        <v>0</v>
      </c>
      <c r="P66" s="264">
        <f t="shared" si="11"/>
        <v>0</v>
      </c>
      <c r="Q66" s="495">
        <f t="shared" si="11"/>
        <v>0</v>
      </c>
      <c r="R66" s="264">
        <f t="shared" si="11"/>
        <v>18504</v>
      </c>
      <c r="S66" s="264">
        <f t="shared" si="11"/>
        <v>16587</v>
      </c>
      <c r="T66" s="264">
        <f t="shared" si="11"/>
        <v>5938</v>
      </c>
      <c r="U66" s="495">
        <f t="shared" si="11"/>
        <v>7707</v>
      </c>
      <c r="V66" s="264">
        <v>8155</v>
      </c>
      <c r="W66" s="264">
        <v>9686</v>
      </c>
      <c r="X66" s="264">
        <v>4925</v>
      </c>
      <c r="Y66" s="495">
        <v>5017</v>
      </c>
      <c r="Z66" s="264">
        <v>8288</v>
      </c>
      <c r="AA66" s="264">
        <v>-1157</v>
      </c>
      <c r="AB66" s="264">
        <v>7933</v>
      </c>
      <c r="AC66" s="495">
        <v>13170</v>
      </c>
      <c r="AD66" s="114">
        <v>10760</v>
      </c>
      <c r="AE66" s="139">
        <v>13034</v>
      </c>
      <c r="AF66" s="139">
        <v>13376</v>
      </c>
      <c r="AG66" s="143">
        <v>18935</v>
      </c>
      <c r="AH66" s="486">
        <v>20527</v>
      </c>
      <c r="AI66" s="143">
        <v>18653</v>
      </c>
      <c r="AJ66" s="143">
        <v>14280</v>
      </c>
      <c r="AK66" s="143">
        <v>17069</v>
      </c>
      <c r="AL66" s="47"/>
      <c r="AM66" s="494">
        <f>+AM64-AM65</f>
        <v>-817</v>
      </c>
      <c r="AN66" s="494">
        <f>+AN64-AN65</f>
        <v>0</v>
      </c>
      <c r="AO66" s="507">
        <f>AR66-AS66</f>
        <v>-675</v>
      </c>
      <c r="AP66" s="39" t="e">
        <f>IF(OR((AO66/AS66)&gt;3,(AO66/AS66)&lt;-3),"n.m.",(AO66/AS66))</f>
        <v>#DIV/0!</v>
      </c>
      <c r="AQ66" s="482"/>
      <c r="AR66" s="487">
        <f>SUM(J66:M66)</f>
        <v>-675</v>
      </c>
      <c r="AS66" s="487">
        <f>AS64-AS65</f>
        <v>0</v>
      </c>
      <c r="AT66" s="487"/>
      <c r="AU66" s="487"/>
      <c r="AV66" s="487"/>
      <c r="AW66" s="114"/>
      <c r="AX66" s="486"/>
      <c r="AY66" s="486"/>
      <c r="AZ66" s="486"/>
      <c r="BA66" s="486"/>
      <c r="BB66" s="105"/>
      <c r="BD66" s="481"/>
      <c r="BG66" s="481"/>
    </row>
    <row r="67" spans="1:59" x14ac:dyDescent="0.2">
      <c r="A67" s="482"/>
      <c r="B67" s="496" t="s">
        <v>72</v>
      </c>
      <c r="C67" s="97"/>
      <c r="D67" s="322"/>
      <c r="E67" s="356"/>
      <c r="F67" s="270"/>
      <c r="G67" s="270"/>
      <c r="H67" s="270"/>
      <c r="I67" s="253">
        <f>+I66</f>
        <v>-576</v>
      </c>
      <c r="J67" s="270">
        <f>+J66</f>
        <v>142</v>
      </c>
      <c r="K67" s="270">
        <f>+K66</f>
        <v>-994</v>
      </c>
      <c r="L67" s="270">
        <f>+L66</f>
        <v>300</v>
      </c>
      <c r="M67" s="253">
        <f>+M66</f>
        <v>-123</v>
      </c>
      <c r="N67" s="270">
        <f t="shared" ref="N67:S67" si="12">+N66-N37</f>
        <v>0</v>
      </c>
      <c r="O67" s="270">
        <f t="shared" si="12"/>
        <v>0</v>
      </c>
      <c r="P67" s="270">
        <f t="shared" si="12"/>
        <v>0</v>
      </c>
      <c r="Q67" s="253">
        <f t="shared" si="12"/>
        <v>0</v>
      </c>
      <c r="R67" s="270">
        <f t="shared" si="12"/>
        <v>9122</v>
      </c>
      <c r="S67" s="270">
        <f t="shared" si="12"/>
        <v>8143</v>
      </c>
      <c r="T67" s="270"/>
      <c r="U67" s="253"/>
      <c r="V67" s="270"/>
      <c r="W67" s="270"/>
      <c r="X67" s="270"/>
      <c r="Y67" s="253"/>
      <c r="Z67" s="270"/>
      <c r="AA67" s="270"/>
      <c r="AB67" s="270"/>
      <c r="AC67" s="253"/>
      <c r="AD67" s="138"/>
      <c r="AE67" s="145"/>
      <c r="AF67" s="145"/>
      <c r="AG67" s="146"/>
      <c r="AH67" s="133"/>
      <c r="AI67" s="146"/>
      <c r="AJ67" s="146"/>
      <c r="AK67" s="146"/>
      <c r="AL67" s="47"/>
      <c r="AM67" s="270">
        <f>+AM66-AM37</f>
        <v>-27970</v>
      </c>
      <c r="AN67" s="270">
        <f>+AN66-AN37</f>
        <v>0</v>
      </c>
      <c r="AO67" s="270">
        <f>AR67-AS67</f>
        <v>-675</v>
      </c>
      <c r="AP67" s="322" t="e">
        <f>IF(OR((AO67/AS67)&gt;3,(AO67/AS67)&lt;-3),"n.m.",(AO67/AS67))</f>
        <v>#DIV/0!</v>
      </c>
      <c r="AQ67" s="482"/>
      <c r="AR67" s="128">
        <f>SUM(J67:M67)</f>
        <v>-675</v>
      </c>
      <c r="AS67" s="128">
        <f>+AS66-AS37</f>
        <v>0</v>
      </c>
      <c r="AT67" s="128"/>
      <c r="AU67" s="128"/>
      <c r="AV67" s="128"/>
      <c r="AW67" s="138"/>
      <c r="AX67" s="133"/>
      <c r="AY67" s="133"/>
      <c r="AZ67" s="133"/>
      <c r="BA67" s="133"/>
      <c r="BB67" s="105"/>
      <c r="BD67" s="481"/>
      <c r="BG67" s="481"/>
    </row>
    <row r="68" spans="1:59" ht="12.75" customHeight="1" x14ac:dyDescent="0.2">
      <c r="A68" s="482"/>
      <c r="B68" s="483"/>
      <c r="C68" s="96"/>
      <c r="D68" s="9"/>
      <c r="E68" s="9"/>
      <c r="F68" s="9"/>
      <c r="G68" s="9"/>
      <c r="H68" s="9"/>
      <c r="I68" s="483"/>
      <c r="J68" s="9"/>
      <c r="K68" s="9"/>
      <c r="L68" s="9"/>
      <c r="M68" s="483"/>
      <c r="N68" s="280"/>
      <c r="O68" s="9"/>
      <c r="P68" s="9"/>
      <c r="Q68" s="483"/>
      <c r="R68" s="9"/>
      <c r="S68" s="9"/>
      <c r="T68" s="9"/>
      <c r="U68" s="483"/>
      <c r="V68" s="9"/>
      <c r="W68" s="9"/>
      <c r="X68" s="9"/>
      <c r="Y68" s="483"/>
      <c r="Z68" s="9"/>
      <c r="AA68" s="9"/>
      <c r="AB68" s="9"/>
      <c r="AC68" s="483"/>
      <c r="AD68" s="482"/>
      <c r="AE68" s="482"/>
      <c r="AF68" s="482"/>
      <c r="AG68" s="482"/>
      <c r="AH68" s="482"/>
      <c r="AI68" s="482"/>
      <c r="AJ68" s="482"/>
      <c r="AK68" s="482"/>
      <c r="AL68" s="483"/>
      <c r="AM68" s="483"/>
      <c r="AN68" s="483"/>
      <c r="AO68" s="96"/>
      <c r="AP68" s="9"/>
      <c r="AQ68" s="483"/>
      <c r="AR68" s="483"/>
      <c r="AS68" s="483"/>
      <c r="AT68" s="483"/>
      <c r="AU68" s="483"/>
      <c r="AV68" s="483"/>
      <c r="AW68" s="482"/>
      <c r="AX68" s="482"/>
      <c r="AY68" s="507"/>
      <c r="AZ68" s="507"/>
      <c r="BA68" s="507"/>
      <c r="BB68" s="483"/>
      <c r="BD68" s="481"/>
      <c r="BG68" s="481"/>
    </row>
    <row r="69" spans="1:59" ht="12.75" customHeight="1" x14ac:dyDescent="0.2">
      <c r="A69" s="482"/>
      <c r="B69" s="485" t="s">
        <v>75</v>
      </c>
      <c r="C69" s="154"/>
      <c r="D69" s="9"/>
      <c r="E69" s="9"/>
      <c r="F69" s="9"/>
      <c r="G69" s="9"/>
      <c r="H69" s="9"/>
      <c r="I69" s="9">
        <f>+(I65-I19-I20)/I15</f>
        <v>0.85298013245033111</v>
      </c>
      <c r="J69" s="9">
        <f>+(J65-J19-J20)/J15</f>
        <v>0.27041602465331277</v>
      </c>
      <c r="K69" s="9">
        <f>+(K65-K19-K20)/K15</f>
        <v>1.848314606741573</v>
      </c>
      <c r="L69" s="9">
        <f>+(L65-L19-L20)/L15</f>
        <v>0.45186470078057239</v>
      </c>
      <c r="M69" s="9">
        <f t="shared" ref="M69:U69" si="13">(M21+M22+M23+M24+M25+M26+M27)/M64</f>
        <v>0.46919431279620855</v>
      </c>
      <c r="N69" s="9" t="e">
        <f t="shared" si="13"/>
        <v>#DIV/0!</v>
      </c>
      <c r="O69" s="9" t="e">
        <f t="shared" si="13"/>
        <v>#DIV/0!</v>
      </c>
      <c r="P69" s="9" t="e">
        <f t="shared" si="13"/>
        <v>#DIV/0!</v>
      </c>
      <c r="Q69" s="9" t="e">
        <f t="shared" si="13"/>
        <v>#DIV/0!</v>
      </c>
      <c r="R69" s="9">
        <f t="shared" si="13"/>
        <v>0.18037522007042253</v>
      </c>
      <c r="S69" s="9">
        <f t="shared" si="13"/>
        <v>0.18236417440487471</v>
      </c>
      <c r="T69" s="9">
        <f t="shared" si="13"/>
        <v>0.27443364242573925</v>
      </c>
      <c r="U69" s="9">
        <f t="shared" si="13"/>
        <v>0.26133836083631667</v>
      </c>
      <c r="V69" s="9">
        <v>0.27384979087106748</v>
      </c>
      <c r="W69" s="9">
        <v>0.26397077300755806</v>
      </c>
      <c r="X69" s="9">
        <v>0.28613782450545616</v>
      </c>
      <c r="Y69" s="9">
        <v>0.3055617767823815</v>
      </c>
      <c r="Z69" s="9">
        <v>0.30438867266138775</v>
      </c>
      <c r="AA69" s="9">
        <v>0.52001073601336034</v>
      </c>
      <c r="AB69" s="9">
        <v>0.28095064318949003</v>
      </c>
      <c r="AC69" s="9">
        <v>0.24116294747031269</v>
      </c>
      <c r="AD69" s="32">
        <v>0.27273561867689994</v>
      </c>
      <c r="AE69" s="32">
        <v>0.26800000000000002</v>
      </c>
      <c r="AF69" s="32">
        <v>0.26400000000000001</v>
      </c>
      <c r="AG69" s="32">
        <v>0.20299999999999996</v>
      </c>
      <c r="AH69" s="32">
        <v>0.19</v>
      </c>
      <c r="AI69" s="32">
        <v>0.22199999999999998</v>
      </c>
      <c r="AJ69" s="32">
        <v>0.24399999999999999</v>
      </c>
      <c r="AK69" s="32">
        <v>0.255</v>
      </c>
      <c r="AL69" s="483"/>
      <c r="AM69" s="9">
        <f>+(AM65-AM19-AM20)/AM15</f>
        <v>0.57287356321839078</v>
      </c>
      <c r="AN69" s="9" t="e">
        <f>(AN21+AN22+AN23+AN24+AN25+AN26+AN27)/AN64</f>
        <v>#DIV/0!</v>
      </c>
      <c r="AO69" s="154" t="e">
        <f>(AR69-AS69)*100</f>
        <v>#DIV/0!</v>
      </c>
      <c r="AP69" s="9"/>
      <c r="AQ69" s="483"/>
      <c r="AR69" s="9">
        <f>(AR21+AR22+AR23+AR24+AR25+AR26+AR27)/AR64</f>
        <v>0.45983299740858047</v>
      </c>
      <c r="AS69" s="9" t="e">
        <f>(AS21+AS22+AS23+AS24+AS25+AS26+AS27)/AS64</f>
        <v>#DIV/0!</v>
      </c>
      <c r="AT69" s="9"/>
      <c r="AU69" s="32"/>
      <c r="AV69" s="32"/>
      <c r="AW69" s="32"/>
      <c r="AX69" s="32"/>
      <c r="AY69" s="222"/>
      <c r="AZ69" s="222"/>
      <c r="BA69" s="222"/>
      <c r="BB69" s="483"/>
      <c r="BD69" s="481"/>
      <c r="BG69" s="481"/>
    </row>
    <row r="70" spans="1:59" ht="12.75" customHeight="1" x14ac:dyDescent="0.2">
      <c r="A70" s="482"/>
      <c r="B70" s="485" t="s">
        <v>76</v>
      </c>
      <c r="C70" s="154"/>
      <c r="D70" s="9"/>
      <c r="E70" s="9"/>
      <c r="F70" s="9"/>
      <c r="G70" s="9"/>
      <c r="H70" s="9"/>
      <c r="I70" s="9">
        <f>I65/I64</f>
        <v>1.7629139072847682</v>
      </c>
      <c r="J70" s="9">
        <f>J65/J64</f>
        <v>0.89060092449922956</v>
      </c>
      <c r="K70" s="9">
        <f>K65/K64</f>
        <v>6.584269662921348</v>
      </c>
      <c r="L70" s="9">
        <f>L65/L64</f>
        <v>0.7398091934084996</v>
      </c>
      <c r="M70" s="9">
        <f t="shared" ref="M70:U70" si="14">M65/M64</f>
        <v>1.1457345971563981</v>
      </c>
      <c r="N70" s="9" t="e">
        <f t="shared" si="14"/>
        <v>#DIV/0!</v>
      </c>
      <c r="O70" s="9" t="e">
        <f t="shared" si="14"/>
        <v>#DIV/0!</v>
      </c>
      <c r="P70" s="9" t="e">
        <f t="shared" si="14"/>
        <v>#DIV/0!</v>
      </c>
      <c r="Q70" s="9" t="e">
        <f t="shared" si="14"/>
        <v>#DIV/0!</v>
      </c>
      <c r="R70" s="9">
        <f t="shared" si="14"/>
        <v>0.74548855633802813</v>
      </c>
      <c r="S70" s="9">
        <f t="shared" si="14"/>
        <v>0.75820347235382435</v>
      </c>
      <c r="T70" s="9">
        <f t="shared" si="14"/>
        <v>0.86667864119086646</v>
      </c>
      <c r="U70" s="9">
        <f t="shared" si="14"/>
        <v>0.83674031393649251</v>
      </c>
      <c r="V70" s="9">
        <v>0.8517003091471177</v>
      </c>
      <c r="W70" s="9">
        <v>0.81276941217404752</v>
      </c>
      <c r="X70" s="9">
        <v>0.8772983207932632</v>
      </c>
      <c r="Y70" s="9">
        <v>0.87515242005723526</v>
      </c>
      <c r="Z70" s="9">
        <v>0.77753321701784994</v>
      </c>
      <c r="AA70" s="9">
        <v>1.0345043540498629</v>
      </c>
      <c r="AB70" s="9">
        <v>0.81906304169327615</v>
      </c>
      <c r="AC70" s="9">
        <v>0.77235406979759047</v>
      </c>
      <c r="AD70" s="32">
        <v>0.8024346804252428</v>
      </c>
      <c r="AE70" s="32">
        <v>0.78700000000000003</v>
      </c>
      <c r="AF70" s="32">
        <v>0.76700000000000002</v>
      </c>
      <c r="AG70" s="32">
        <v>0.751</v>
      </c>
      <c r="AH70" s="32">
        <v>0.72899999999999998</v>
      </c>
      <c r="AI70" s="32">
        <v>0.72899999999999998</v>
      </c>
      <c r="AJ70" s="32">
        <v>0.74299999999999999</v>
      </c>
      <c r="AK70" s="32">
        <v>0.76400000000000001</v>
      </c>
      <c r="AL70" s="483"/>
      <c r="AM70" s="9">
        <f>AM65/AM64</f>
        <v>1.3756321839080459</v>
      </c>
      <c r="AN70" s="9" t="e">
        <f>AN65/AN64</f>
        <v>#DIV/0!</v>
      </c>
      <c r="AO70" s="154" t="e">
        <f>(AR70-AS70)*100</f>
        <v>#DIV/0!</v>
      </c>
      <c r="AP70" s="9"/>
      <c r="AQ70" s="483"/>
      <c r="AR70" s="9">
        <f>AR65/AR64</f>
        <v>1.1943564641520299</v>
      </c>
      <c r="AS70" s="9" t="e">
        <f>AS65/AS64</f>
        <v>#DIV/0!</v>
      </c>
      <c r="AT70" s="9"/>
      <c r="AU70" s="32"/>
      <c r="AV70" s="32"/>
      <c r="AW70" s="32"/>
      <c r="AX70" s="32"/>
      <c r="AY70" s="222"/>
      <c r="AZ70" s="222"/>
      <c r="BA70" s="222"/>
      <c r="BB70" s="483"/>
      <c r="BD70" s="481"/>
      <c r="BG70" s="481"/>
    </row>
    <row r="71" spans="1:59" ht="12.75" customHeight="1" x14ac:dyDescent="0.2">
      <c r="A71" s="482"/>
      <c r="B71" s="485" t="s">
        <v>182</v>
      </c>
      <c r="C71" s="154"/>
      <c r="D71" s="9"/>
      <c r="E71" s="9"/>
      <c r="F71" s="9"/>
      <c r="G71" s="9"/>
      <c r="H71" s="9"/>
      <c r="I71" s="9">
        <f t="shared" ref="I71:U71" si="15">I66/I64</f>
        <v>-0.76291390728476827</v>
      </c>
      <c r="J71" s="9">
        <f t="shared" si="15"/>
        <v>0.10939907550077041</v>
      </c>
      <c r="K71" s="9">
        <f t="shared" si="15"/>
        <v>-5.584269662921348</v>
      </c>
      <c r="L71" s="9">
        <f>L66/L64</f>
        <v>0.26019080659150046</v>
      </c>
      <c r="M71" s="9">
        <f>M66/M64</f>
        <v>-0.14573459715639811</v>
      </c>
      <c r="N71" s="9" t="e">
        <f t="shared" si="15"/>
        <v>#DIV/0!</v>
      </c>
      <c r="O71" s="9" t="e">
        <f>O66/O64</f>
        <v>#DIV/0!</v>
      </c>
      <c r="P71" s="9" t="e">
        <f t="shared" si="15"/>
        <v>#DIV/0!</v>
      </c>
      <c r="Q71" s="9" t="e">
        <f t="shared" si="15"/>
        <v>#DIV/0!</v>
      </c>
      <c r="R71" s="9">
        <f t="shared" si="15"/>
        <v>0.25451144366197181</v>
      </c>
      <c r="S71" s="9">
        <f t="shared" si="15"/>
        <v>0.2417965276461756</v>
      </c>
      <c r="T71" s="9">
        <f t="shared" si="15"/>
        <v>0.13332135880913357</v>
      </c>
      <c r="U71" s="9">
        <f t="shared" si="15"/>
        <v>0.16325968606350752</v>
      </c>
      <c r="V71" s="9">
        <v>0.14829969085288233</v>
      </c>
      <c r="W71" s="9">
        <v>0.18723058782595248</v>
      </c>
      <c r="X71" s="9">
        <v>0.12270167920673676</v>
      </c>
      <c r="Y71" s="9">
        <v>0.12484757994276471</v>
      </c>
      <c r="Z71" s="9">
        <v>0.22246678298215006</v>
      </c>
      <c r="AA71" s="9">
        <v>-3.4504354049862816E-2</v>
      </c>
      <c r="AB71" s="9">
        <v>0.18093695830672385</v>
      </c>
      <c r="AC71" s="9">
        <v>0.22764593020240956</v>
      </c>
      <c r="AD71" s="32">
        <v>0.19756531957475718</v>
      </c>
      <c r="AE71" s="32">
        <v>0.21299999999999997</v>
      </c>
      <c r="AF71" s="32">
        <v>0.23299999999999998</v>
      </c>
      <c r="AG71" s="32">
        <v>0.249</v>
      </c>
      <c r="AH71" s="32">
        <v>0.27100000000000002</v>
      </c>
      <c r="AI71" s="32">
        <v>0.27100000000000002</v>
      </c>
      <c r="AJ71" s="32">
        <v>0.25700000000000001</v>
      </c>
      <c r="AK71" s="32">
        <v>0.23599999999999999</v>
      </c>
      <c r="AL71" s="483"/>
      <c r="AM71" s="9">
        <f>AM66/AM64</f>
        <v>-0.37563218390804598</v>
      </c>
      <c r="AN71" s="9" t="e">
        <f>AN66/AN64</f>
        <v>#DIV/0!</v>
      </c>
      <c r="AO71" s="154" t="e">
        <f>(AR71-AS71)*100</f>
        <v>#DIV/0!</v>
      </c>
      <c r="AP71" s="9"/>
      <c r="AQ71" s="483"/>
      <c r="AR71" s="9">
        <f>AR66/AR64</f>
        <v>-0.19435646415202995</v>
      </c>
      <c r="AS71" s="9" t="e">
        <f>AS66/AS64</f>
        <v>#DIV/0!</v>
      </c>
      <c r="AT71" s="9"/>
      <c r="AU71" s="32"/>
      <c r="AV71" s="32"/>
      <c r="AW71" s="32"/>
      <c r="AX71" s="32"/>
      <c r="AY71" s="222"/>
      <c r="AZ71" s="222"/>
      <c r="BA71" s="222"/>
      <c r="BB71" s="483"/>
      <c r="BD71" s="481"/>
    </row>
    <row r="72" spans="1:59" ht="12.75" customHeight="1" x14ac:dyDescent="0.2">
      <c r="A72" s="482"/>
      <c r="B72" s="485"/>
      <c r="C72" s="154"/>
      <c r="D72" s="9"/>
      <c r="E72" s="9"/>
      <c r="F72" s="9"/>
      <c r="G72" s="9"/>
      <c r="H72" s="9"/>
      <c r="I72" s="9"/>
      <c r="J72" s="9"/>
      <c r="K72" s="9"/>
      <c r="L72" s="9"/>
      <c r="M72" s="9"/>
      <c r="P72" s="9"/>
      <c r="Q72" s="9"/>
      <c r="R72" s="9"/>
      <c r="S72" s="9"/>
      <c r="T72" s="9"/>
      <c r="U72" s="9"/>
      <c r="V72" s="9"/>
      <c r="W72" s="9"/>
      <c r="X72" s="9"/>
      <c r="Y72" s="9"/>
      <c r="Z72" s="9"/>
      <c r="AA72" s="9"/>
      <c r="AB72" s="9"/>
      <c r="AC72" s="9"/>
      <c r="AD72" s="32"/>
      <c r="AE72" s="32"/>
      <c r="AF72" s="32"/>
      <c r="AG72" s="32"/>
      <c r="AH72" s="32"/>
      <c r="AI72" s="32"/>
      <c r="AJ72" s="32"/>
      <c r="AK72" s="32"/>
      <c r="AL72" s="483"/>
      <c r="AM72" s="483"/>
      <c r="AN72" s="483"/>
      <c r="AO72" s="154"/>
      <c r="AP72" s="9"/>
      <c r="AQ72" s="483"/>
      <c r="AR72" s="32"/>
      <c r="AS72" s="32"/>
      <c r="AT72" s="32"/>
      <c r="AU72" s="32"/>
      <c r="AV72" s="32"/>
      <c r="AW72" s="32"/>
      <c r="AX72" s="32"/>
      <c r="AY72" s="222"/>
      <c r="AZ72" s="222"/>
      <c r="BA72" s="222"/>
      <c r="BB72" s="483"/>
      <c r="BD72" s="481"/>
    </row>
    <row r="73" spans="1:59" ht="12.75" customHeight="1" x14ac:dyDescent="0.2">
      <c r="A73" s="10" t="s">
        <v>194</v>
      </c>
      <c r="B73" s="485"/>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3"/>
      <c r="AE73" s="483"/>
      <c r="AF73" s="483"/>
      <c r="AG73" s="6"/>
      <c r="AH73" s="483"/>
      <c r="AI73" s="6"/>
      <c r="AJ73" s="6"/>
      <c r="AK73" s="483"/>
      <c r="AL73" s="483"/>
      <c r="AM73" s="483"/>
      <c r="AN73" s="483"/>
      <c r="AO73" s="483"/>
      <c r="AP73" s="483"/>
      <c r="AQ73" s="483"/>
      <c r="AR73" s="483"/>
      <c r="AS73" s="483"/>
      <c r="AT73" s="483"/>
      <c r="AU73" s="483"/>
      <c r="AV73" s="483"/>
      <c r="AW73" s="483"/>
      <c r="AX73" s="483"/>
      <c r="AY73" s="507"/>
      <c r="AZ73" s="222"/>
      <c r="BA73" s="222"/>
      <c r="BB73" s="483"/>
      <c r="BD73" s="481"/>
    </row>
    <row r="74" spans="1:59" ht="12.75" customHeight="1" x14ac:dyDescent="0.2">
      <c r="C74" s="3204"/>
      <c r="D74" s="3205"/>
      <c r="E74" s="184"/>
      <c r="F74" s="273"/>
      <c r="G74" s="273"/>
      <c r="H74" s="273"/>
      <c r="I74" s="17"/>
      <c r="J74" s="273"/>
      <c r="K74" s="273"/>
      <c r="L74" s="273"/>
      <c r="M74" s="17"/>
      <c r="N74" s="15"/>
      <c r="O74" s="16"/>
      <c r="P74" s="273"/>
      <c r="Q74" s="17"/>
      <c r="R74" s="15"/>
      <c r="S74" s="16"/>
      <c r="T74" s="273"/>
      <c r="U74" s="17"/>
      <c r="W74" s="16"/>
      <c r="X74" s="2"/>
      <c r="Y74" s="17"/>
      <c r="Z74" s="16"/>
      <c r="AB74" s="273"/>
      <c r="AC74" s="17"/>
      <c r="AD74" s="16"/>
      <c r="AE74" s="16"/>
      <c r="AF74" s="16"/>
      <c r="AG74" s="16"/>
      <c r="AH74" s="20"/>
      <c r="AI74" s="17"/>
      <c r="AJ74" s="17"/>
      <c r="AK74" s="17"/>
      <c r="AL74" s="22"/>
      <c r="AM74" s="445" t="s">
        <v>299</v>
      </c>
      <c r="AN74" s="433"/>
      <c r="AO74" s="433" t="s">
        <v>284</v>
      </c>
      <c r="AP74" s="434"/>
      <c r="AQ74" s="483"/>
      <c r="AR74" s="46"/>
      <c r="AS74" s="46"/>
      <c r="AT74" s="46"/>
      <c r="AU74" s="46"/>
      <c r="AV74" s="46"/>
      <c r="AW74" s="126"/>
      <c r="AX74" s="124"/>
      <c r="AY74" s="46"/>
      <c r="AZ74" s="222"/>
      <c r="BA74" s="222"/>
      <c r="BB74" s="105"/>
      <c r="BD74" s="481"/>
    </row>
    <row r="75" spans="1:59" ht="12.75" customHeight="1" x14ac:dyDescent="0.2">
      <c r="C75" s="3201"/>
      <c r="D75" s="3202"/>
      <c r="E75" s="355"/>
      <c r="F75" s="19" t="s">
        <v>315</v>
      </c>
      <c r="G75" s="19" t="s">
        <v>314</v>
      </c>
      <c r="H75" s="19" t="s">
        <v>313</v>
      </c>
      <c r="I75" s="12" t="s">
        <v>311</v>
      </c>
      <c r="J75" s="19" t="s">
        <v>270</v>
      </c>
      <c r="K75" s="19" t="s">
        <v>271</v>
      </c>
      <c r="L75" s="19" t="s">
        <v>272</v>
      </c>
      <c r="M75" s="12" t="s">
        <v>273</v>
      </c>
      <c r="N75" s="18" t="s">
        <v>223</v>
      </c>
      <c r="O75" s="19" t="s">
        <v>224</v>
      </c>
      <c r="P75" s="19" t="s">
        <v>225</v>
      </c>
      <c r="Q75" s="12" t="s">
        <v>222</v>
      </c>
      <c r="R75" s="18" t="s">
        <v>189</v>
      </c>
      <c r="S75" s="19" t="s">
        <v>190</v>
      </c>
      <c r="T75" s="19" t="s">
        <v>191</v>
      </c>
      <c r="U75" s="12" t="s">
        <v>192</v>
      </c>
      <c r="V75" s="19" t="s">
        <v>121</v>
      </c>
      <c r="W75" s="19" t="s">
        <v>120</v>
      </c>
      <c r="X75" s="19" t="s">
        <v>119</v>
      </c>
      <c r="Y75" s="12" t="s">
        <v>118</v>
      </c>
      <c r="Z75" s="19" t="s">
        <v>81</v>
      </c>
      <c r="AA75" s="19" t="s">
        <v>82</v>
      </c>
      <c r="AB75" s="19" t="s">
        <v>83</v>
      </c>
      <c r="AC75" s="12" t="s">
        <v>29</v>
      </c>
      <c r="AD75" s="19" t="s">
        <v>30</v>
      </c>
      <c r="AE75" s="19" t="s">
        <v>31</v>
      </c>
      <c r="AF75" s="19" t="s">
        <v>32</v>
      </c>
      <c r="AG75" s="19" t="s">
        <v>33</v>
      </c>
      <c r="AH75" s="21" t="s">
        <v>34</v>
      </c>
      <c r="AI75" s="12" t="s">
        <v>35</v>
      </c>
      <c r="AJ75" s="12" t="s">
        <v>36</v>
      </c>
      <c r="AK75" s="12" t="s">
        <v>37</v>
      </c>
      <c r="AL75" s="184"/>
      <c r="AM75" s="19" t="s">
        <v>271</v>
      </c>
      <c r="AN75" s="19" t="s">
        <v>224</v>
      </c>
      <c r="AO75" s="3203" t="s">
        <v>38</v>
      </c>
      <c r="AP75" s="3202"/>
      <c r="AQ75" s="483"/>
      <c r="AR75" s="18" t="s">
        <v>275</v>
      </c>
      <c r="AS75" s="18" t="s">
        <v>227</v>
      </c>
      <c r="AT75" s="18"/>
      <c r="AU75" s="18"/>
      <c r="AV75" s="18"/>
      <c r="AW75" s="18"/>
      <c r="AX75" s="21"/>
      <c r="AY75" s="21"/>
      <c r="AZ75" s="222"/>
      <c r="BA75" s="222"/>
      <c r="BB75" s="105"/>
      <c r="BD75" s="481"/>
    </row>
    <row r="76" spans="1:59" ht="12.75" customHeight="1" x14ac:dyDescent="0.2">
      <c r="A76" s="482"/>
      <c r="B76" s="6" t="s">
        <v>300</v>
      </c>
      <c r="C76" s="45"/>
      <c r="D76" s="39"/>
      <c r="E76" s="47"/>
      <c r="F76" s="264"/>
      <c r="G76" s="264"/>
      <c r="H76" s="264"/>
      <c r="I76" s="412">
        <v>628</v>
      </c>
      <c r="J76" s="264">
        <v>802</v>
      </c>
      <c r="K76" s="264">
        <v>73</v>
      </c>
      <c r="L76" s="264">
        <v>929</v>
      </c>
      <c r="M76" s="412">
        <v>776</v>
      </c>
      <c r="N76" s="264"/>
      <c r="O76" s="264"/>
      <c r="P76" s="264"/>
      <c r="Q76" s="412"/>
      <c r="R76" s="264">
        <v>46851</v>
      </c>
      <c r="S76" s="264">
        <v>45775</v>
      </c>
      <c r="T76" s="264">
        <v>32880</v>
      </c>
      <c r="U76" s="412">
        <v>34953</v>
      </c>
      <c r="V76" s="264">
        <v>38197</v>
      </c>
      <c r="W76" s="264">
        <v>34040</v>
      </c>
      <c r="X76" s="264">
        <v>30370</v>
      </c>
      <c r="Y76" s="412">
        <v>29756</v>
      </c>
      <c r="Z76" s="157">
        <v>24593</v>
      </c>
      <c r="AA76" s="282">
        <v>27916</v>
      </c>
      <c r="AB76" s="361">
        <v>32886</v>
      </c>
      <c r="AC76" s="412">
        <v>42504</v>
      </c>
      <c r="AD76" s="495">
        <v>29584</v>
      </c>
      <c r="AE76" s="483"/>
      <c r="AF76" s="483"/>
      <c r="AG76" s="6"/>
      <c r="AH76" s="483"/>
      <c r="AI76" s="6"/>
      <c r="AJ76" s="6"/>
      <c r="AK76" s="483"/>
      <c r="AL76" s="47"/>
      <c r="AM76" s="494">
        <f t="shared" ref="AM76:AM81" si="16">SUM(K76:M76)</f>
        <v>1778</v>
      </c>
      <c r="AN76" s="494">
        <f t="shared" ref="AN76:AN81" si="17">SUM(O76:Q76)</f>
        <v>0</v>
      </c>
      <c r="AO76" s="280">
        <f t="shared" ref="AO76:AO82" si="18">AR76-AS76</f>
        <v>2580</v>
      </c>
      <c r="AP76" s="39" t="e">
        <f t="shared" ref="AP76:AP82" si="19">IF(OR((AO76/AS76)&gt;3,(AO76/AS76)&lt;-3),"n.m.",(AO76/AS76))</f>
        <v>#DIV/0!</v>
      </c>
      <c r="AQ76" s="483"/>
      <c r="AR76" s="487">
        <f t="shared" ref="AR76:AR81" si="20">SUM(J76:M76)</f>
        <v>2580</v>
      </c>
      <c r="AS76" s="487">
        <f t="shared" ref="AS76:AS81" si="21">SUM(N76:Q76)</f>
        <v>0</v>
      </c>
      <c r="AT76" s="487"/>
      <c r="AU76" s="487"/>
      <c r="AV76" s="487"/>
      <c r="AW76" s="151"/>
      <c r="AX76" s="153"/>
      <c r="AY76" s="224"/>
      <c r="AZ76" s="222"/>
      <c r="BA76" s="222"/>
      <c r="BB76" s="105"/>
      <c r="BD76" s="481"/>
    </row>
    <row r="77" spans="1:59" ht="12.75" customHeight="1" x14ac:dyDescent="0.2">
      <c r="A77" s="482"/>
      <c r="B77" s="6" t="s">
        <v>60</v>
      </c>
      <c r="C77" s="45"/>
      <c r="D77" s="39"/>
      <c r="E77" s="47"/>
      <c r="F77" s="264"/>
      <c r="G77" s="264"/>
      <c r="H77" s="264"/>
      <c r="I77" s="412">
        <v>-50</v>
      </c>
      <c r="J77" s="264">
        <v>330</v>
      </c>
      <c r="K77" s="264">
        <v>-22</v>
      </c>
      <c r="L77" s="264">
        <v>136</v>
      </c>
      <c r="M77" s="412">
        <v>-23</v>
      </c>
      <c r="N77" s="264"/>
      <c r="O77" s="264"/>
      <c r="P77" s="264"/>
      <c r="Q77" s="412"/>
      <c r="R77" s="264">
        <v>19176</v>
      </c>
      <c r="S77" s="264">
        <v>18914</v>
      </c>
      <c r="T77" s="264">
        <v>8124</v>
      </c>
      <c r="U77" s="412">
        <v>9445</v>
      </c>
      <c r="V77" s="264">
        <v>10808</v>
      </c>
      <c r="W77" s="264">
        <v>10384</v>
      </c>
      <c r="X77" s="264">
        <v>6254</v>
      </c>
      <c r="Y77" s="412">
        <v>5954</v>
      </c>
      <c r="Z77" s="157">
        <v>5426</v>
      </c>
      <c r="AA77" s="264">
        <v>1798</v>
      </c>
      <c r="AB77" s="412">
        <v>5110</v>
      </c>
      <c r="AC77" s="412">
        <v>8533</v>
      </c>
      <c r="AD77" s="495">
        <v>68274</v>
      </c>
      <c r="AE77" s="483"/>
      <c r="AF77" s="483"/>
      <c r="AG77" s="6"/>
      <c r="AH77" s="483"/>
      <c r="AI77" s="6"/>
      <c r="AJ77" s="6"/>
      <c r="AK77" s="483"/>
      <c r="AL77" s="47"/>
      <c r="AM77" s="494">
        <f t="shared" si="16"/>
        <v>91</v>
      </c>
      <c r="AN77" s="494">
        <f t="shared" si="17"/>
        <v>0</v>
      </c>
      <c r="AO77" s="359">
        <f t="shared" si="18"/>
        <v>421</v>
      </c>
      <c r="AP77" s="39" t="e">
        <f t="shared" si="19"/>
        <v>#DIV/0!</v>
      </c>
      <c r="AQ77" s="483"/>
      <c r="AR77" s="487">
        <f t="shared" si="20"/>
        <v>421</v>
      </c>
      <c r="AS77" s="487">
        <f t="shared" si="21"/>
        <v>0</v>
      </c>
      <c r="AT77" s="487"/>
      <c r="AU77" s="487"/>
      <c r="AV77" s="487"/>
      <c r="AW77" s="114"/>
      <c r="AX77" s="486"/>
      <c r="AY77" s="37"/>
      <c r="AZ77" s="222"/>
      <c r="BA77" s="222"/>
      <c r="BB77" s="105"/>
      <c r="BD77" s="481"/>
    </row>
    <row r="78" spans="1:59" ht="12.75" customHeight="1" x14ac:dyDescent="0.2">
      <c r="A78" s="482"/>
      <c r="B78" s="6" t="s">
        <v>208</v>
      </c>
      <c r="C78" s="45"/>
      <c r="D78" s="39"/>
      <c r="E78" s="47"/>
      <c r="F78" s="264"/>
      <c r="G78" s="264"/>
      <c r="H78" s="264"/>
      <c r="I78" s="109">
        <v>0</v>
      </c>
      <c r="J78" s="264">
        <v>0</v>
      </c>
      <c r="K78" s="264">
        <v>0</v>
      </c>
      <c r="L78" s="264">
        <v>0</v>
      </c>
      <c r="M78" s="109">
        <v>0</v>
      </c>
      <c r="N78" s="488"/>
      <c r="O78" s="488"/>
      <c r="P78" s="264"/>
      <c r="Q78" s="109"/>
      <c r="R78" s="488">
        <v>0</v>
      </c>
      <c r="S78" s="488">
        <v>50</v>
      </c>
      <c r="T78" s="264">
        <v>250</v>
      </c>
      <c r="U78" s="109">
        <v>70</v>
      </c>
      <c r="V78" s="488">
        <v>0</v>
      </c>
      <c r="W78" s="488">
        <v>0</v>
      </c>
      <c r="X78" s="488">
        <v>0</v>
      </c>
      <c r="Y78" s="109">
        <v>0</v>
      </c>
      <c r="Z78" s="488">
        <v>0</v>
      </c>
      <c r="AA78" s="488">
        <v>0</v>
      </c>
      <c r="AB78" s="109">
        <v>0</v>
      </c>
      <c r="AC78" s="109">
        <v>0</v>
      </c>
      <c r="AD78" s="488">
        <v>0</v>
      </c>
      <c r="AE78" s="488"/>
      <c r="AF78" s="488"/>
      <c r="AG78" s="488"/>
      <c r="AH78" s="488"/>
      <c r="AI78" s="488"/>
      <c r="AJ78" s="488"/>
      <c r="AK78" s="488"/>
      <c r="AL78" s="409"/>
      <c r="AM78" s="494">
        <f t="shared" si="16"/>
        <v>0</v>
      </c>
      <c r="AN78" s="494">
        <f t="shared" si="17"/>
        <v>0</v>
      </c>
      <c r="AO78" s="359">
        <f t="shared" si="18"/>
        <v>0</v>
      </c>
      <c r="AP78" s="324" t="e">
        <f t="shared" si="19"/>
        <v>#DIV/0!</v>
      </c>
      <c r="AQ78" s="488"/>
      <c r="AR78" s="487">
        <f t="shared" si="20"/>
        <v>0</v>
      </c>
      <c r="AS78" s="409">
        <f t="shared" si="21"/>
        <v>0</v>
      </c>
      <c r="AT78" s="409"/>
      <c r="AU78" s="409"/>
      <c r="AV78" s="488"/>
      <c r="AW78" s="409"/>
      <c r="AX78" s="409"/>
      <c r="AY78" s="409"/>
      <c r="AZ78" s="222"/>
      <c r="BA78" s="222"/>
      <c r="BB78" s="105"/>
      <c r="BD78" s="481"/>
    </row>
    <row r="79" spans="1:59" ht="12.75" customHeight="1" x14ac:dyDescent="0.2">
      <c r="A79" s="482"/>
      <c r="B79" s="6" t="s">
        <v>61</v>
      </c>
      <c r="C79" s="45"/>
      <c r="D79" s="324"/>
      <c r="E79" s="47"/>
      <c r="F79" s="264"/>
      <c r="G79" s="264"/>
      <c r="H79" s="264"/>
      <c r="I79" s="412">
        <v>0</v>
      </c>
      <c r="J79" s="264">
        <v>0</v>
      </c>
      <c r="K79" s="264">
        <v>0</v>
      </c>
      <c r="L79" s="264">
        <v>0</v>
      </c>
      <c r="M79" s="412">
        <v>0</v>
      </c>
      <c r="N79" s="264"/>
      <c r="O79" s="264"/>
      <c r="P79" s="264"/>
      <c r="Q79" s="412"/>
      <c r="R79" s="264">
        <v>714</v>
      </c>
      <c r="S79" s="264">
        <v>526</v>
      </c>
      <c r="T79" s="264">
        <v>321</v>
      </c>
      <c r="U79" s="412">
        <v>104</v>
      </c>
      <c r="V79" s="264">
        <v>408</v>
      </c>
      <c r="W79" s="264">
        <v>4280</v>
      </c>
      <c r="X79" s="264">
        <v>850</v>
      </c>
      <c r="Y79" s="412">
        <v>1696</v>
      </c>
      <c r="Z79" s="157">
        <v>198</v>
      </c>
      <c r="AA79" s="264">
        <v>-649</v>
      </c>
      <c r="AB79" s="412">
        <v>-226</v>
      </c>
      <c r="AC79" s="412">
        <v>548</v>
      </c>
      <c r="AD79" s="495">
        <v>5363</v>
      </c>
      <c r="AE79" s="483"/>
      <c r="AF79" s="483"/>
      <c r="AG79" s="6"/>
      <c r="AH79" s="483"/>
      <c r="AI79" s="6"/>
      <c r="AJ79" s="6"/>
      <c r="AK79" s="483"/>
      <c r="AL79" s="47"/>
      <c r="AM79" s="494">
        <f t="shared" si="16"/>
        <v>0</v>
      </c>
      <c r="AN79" s="494">
        <f t="shared" si="17"/>
        <v>0</v>
      </c>
      <c r="AO79" s="359">
        <f t="shared" si="18"/>
        <v>0</v>
      </c>
      <c r="AP79" s="324" t="e">
        <f t="shared" si="19"/>
        <v>#DIV/0!</v>
      </c>
      <c r="AQ79" s="483"/>
      <c r="AR79" s="487">
        <f t="shared" si="20"/>
        <v>0</v>
      </c>
      <c r="AS79" s="487">
        <f t="shared" si="21"/>
        <v>0</v>
      </c>
      <c r="AT79" s="487"/>
      <c r="AU79" s="487"/>
      <c r="AV79" s="487"/>
      <c r="AW79" s="114"/>
      <c r="AX79" s="486"/>
      <c r="AY79" s="37"/>
      <c r="AZ79" s="222"/>
      <c r="BA79" s="222"/>
      <c r="BB79" s="105"/>
      <c r="BD79" s="481"/>
    </row>
    <row r="80" spans="1:59" ht="12.75" customHeight="1" x14ac:dyDescent="0.2">
      <c r="A80" s="482"/>
      <c r="B80" s="6" t="s">
        <v>62</v>
      </c>
      <c r="C80" s="45"/>
      <c r="D80" s="39"/>
      <c r="E80" s="47"/>
      <c r="F80" s="264"/>
      <c r="G80" s="264"/>
      <c r="H80" s="264"/>
      <c r="I80" s="412">
        <v>177</v>
      </c>
      <c r="J80" s="264">
        <v>166</v>
      </c>
      <c r="K80" s="264">
        <v>127</v>
      </c>
      <c r="L80" s="264">
        <v>76</v>
      </c>
      <c r="M80" s="412">
        <v>86</v>
      </c>
      <c r="N80" s="264"/>
      <c r="O80" s="264"/>
      <c r="P80" s="264"/>
      <c r="Q80" s="412"/>
      <c r="R80" s="264">
        <v>3221</v>
      </c>
      <c r="S80" s="264">
        <v>2965</v>
      </c>
      <c r="T80" s="264">
        <v>2556</v>
      </c>
      <c r="U80" s="412">
        <v>2302</v>
      </c>
      <c r="V80" s="264">
        <v>2191</v>
      </c>
      <c r="W80" s="264">
        <v>2171</v>
      </c>
      <c r="X80" s="264">
        <v>2224</v>
      </c>
      <c r="Y80" s="412">
        <v>2325</v>
      </c>
      <c r="Z80" s="157">
        <v>6358</v>
      </c>
      <c r="AA80" s="264">
        <v>4010</v>
      </c>
      <c r="AB80" s="412">
        <v>5644</v>
      </c>
      <c r="AC80" s="412">
        <v>5891</v>
      </c>
      <c r="AD80" s="495">
        <v>1512</v>
      </c>
      <c r="AE80" s="483"/>
      <c r="AF80" s="483"/>
      <c r="AG80" s="6"/>
      <c r="AH80" s="483"/>
      <c r="AI80" s="6"/>
      <c r="AJ80" s="6"/>
      <c r="AK80" s="483"/>
      <c r="AL80" s="47"/>
      <c r="AM80" s="494">
        <f t="shared" si="16"/>
        <v>289</v>
      </c>
      <c r="AN80" s="494">
        <f t="shared" si="17"/>
        <v>0</v>
      </c>
      <c r="AO80" s="359">
        <f t="shared" si="18"/>
        <v>455</v>
      </c>
      <c r="AP80" s="39" t="e">
        <f t="shared" si="19"/>
        <v>#DIV/0!</v>
      </c>
      <c r="AQ80" s="483"/>
      <c r="AR80" s="487">
        <f>SUM(J80:M80)</f>
        <v>455</v>
      </c>
      <c r="AS80" s="487">
        <f t="shared" si="21"/>
        <v>0</v>
      </c>
      <c r="AT80" s="487"/>
      <c r="AU80" s="487"/>
      <c r="AV80" s="487"/>
      <c r="AW80" s="114"/>
      <c r="AX80" s="486"/>
      <c r="AY80" s="37"/>
      <c r="AZ80" s="222"/>
      <c r="BA80" s="222"/>
      <c r="BB80" s="105"/>
      <c r="BD80" s="481"/>
    </row>
    <row r="81" spans="1:56" ht="12.75" customHeight="1" x14ac:dyDescent="0.2">
      <c r="A81" s="123"/>
      <c r="B81" s="6" t="s">
        <v>63</v>
      </c>
      <c r="C81" s="45"/>
      <c r="D81" s="39"/>
      <c r="E81" s="357"/>
      <c r="F81" s="270"/>
      <c r="G81" s="270"/>
      <c r="H81" s="270"/>
      <c r="I81" s="254">
        <v>0</v>
      </c>
      <c r="J81" s="270">
        <v>0</v>
      </c>
      <c r="K81" s="270">
        <v>0</v>
      </c>
      <c r="L81" s="270">
        <v>12</v>
      </c>
      <c r="M81" s="254">
        <v>5</v>
      </c>
      <c r="N81" s="264"/>
      <c r="O81" s="264"/>
      <c r="P81" s="270"/>
      <c r="Q81" s="254"/>
      <c r="R81" s="264">
        <v>2742</v>
      </c>
      <c r="S81" s="264">
        <v>369</v>
      </c>
      <c r="T81" s="270">
        <v>408</v>
      </c>
      <c r="U81" s="254">
        <v>333</v>
      </c>
      <c r="V81" s="264">
        <v>3386</v>
      </c>
      <c r="W81" s="264">
        <v>858</v>
      </c>
      <c r="X81" s="270">
        <v>440</v>
      </c>
      <c r="Y81" s="254">
        <v>454</v>
      </c>
      <c r="Z81" s="157">
        <v>680</v>
      </c>
      <c r="AA81" s="270">
        <v>457</v>
      </c>
      <c r="AB81" s="254">
        <v>430</v>
      </c>
      <c r="AC81" s="254">
        <v>377</v>
      </c>
      <c r="AD81" s="253">
        <v>60</v>
      </c>
      <c r="AE81" s="13"/>
      <c r="AF81" s="13"/>
      <c r="AG81" s="13"/>
      <c r="AH81" s="13"/>
      <c r="AI81" s="13"/>
      <c r="AJ81" s="13"/>
      <c r="AK81" s="13"/>
      <c r="AL81" s="47"/>
      <c r="AM81" s="494">
        <f t="shared" si="16"/>
        <v>17</v>
      </c>
      <c r="AN81" s="494">
        <f t="shared" si="17"/>
        <v>0</v>
      </c>
      <c r="AO81" s="360">
        <f t="shared" si="18"/>
        <v>17</v>
      </c>
      <c r="AP81" s="98" t="e">
        <f t="shared" si="19"/>
        <v>#DIV/0!</v>
      </c>
      <c r="AQ81" s="482"/>
      <c r="AR81" s="487">
        <f t="shared" si="20"/>
        <v>17</v>
      </c>
      <c r="AS81" s="128">
        <f t="shared" si="21"/>
        <v>0</v>
      </c>
      <c r="AT81" s="128"/>
      <c r="AU81" s="128"/>
      <c r="AV81" s="128"/>
      <c r="AW81" s="138"/>
      <c r="AX81" s="133"/>
      <c r="AY81" s="102"/>
      <c r="AZ81" s="222"/>
      <c r="BA81" s="222"/>
      <c r="BB81" s="105"/>
      <c r="BD81" s="481"/>
    </row>
    <row r="82" spans="1:56" ht="12.75" customHeight="1" x14ac:dyDescent="0.2">
      <c r="A82" s="123"/>
      <c r="B82" s="6"/>
      <c r="C82" s="338"/>
      <c r="D82" s="339"/>
      <c r="E82" s="22"/>
      <c r="F82" s="238">
        <f t="shared" ref="F82:Q82" si="22">SUM(F76:F81)</f>
        <v>0</v>
      </c>
      <c r="G82" s="238">
        <f t="shared" si="22"/>
        <v>0</v>
      </c>
      <c r="H82" s="238">
        <f t="shared" si="22"/>
        <v>0</v>
      </c>
      <c r="I82" s="341">
        <f t="shared" si="22"/>
        <v>755</v>
      </c>
      <c r="J82" s="238">
        <f t="shared" si="22"/>
        <v>1298</v>
      </c>
      <c r="K82" s="238">
        <f t="shared" si="22"/>
        <v>178</v>
      </c>
      <c r="L82" s="238">
        <f t="shared" si="22"/>
        <v>1153</v>
      </c>
      <c r="M82" s="341">
        <f t="shared" si="22"/>
        <v>844</v>
      </c>
      <c r="N82" s="238">
        <f t="shared" si="22"/>
        <v>0</v>
      </c>
      <c r="O82" s="238">
        <f t="shared" si="22"/>
        <v>0</v>
      </c>
      <c r="P82" s="238">
        <f t="shared" si="22"/>
        <v>0</v>
      </c>
      <c r="Q82" s="341">
        <f t="shared" si="22"/>
        <v>0</v>
      </c>
      <c r="R82" s="238">
        <v>72704</v>
      </c>
      <c r="S82" s="238">
        <v>68599</v>
      </c>
      <c r="T82" s="238">
        <v>44539</v>
      </c>
      <c r="U82" s="341">
        <v>47207</v>
      </c>
      <c r="V82" s="238">
        <v>54990</v>
      </c>
      <c r="W82" s="238">
        <v>51733</v>
      </c>
      <c r="X82" s="238">
        <v>40138</v>
      </c>
      <c r="Y82" s="341">
        <v>40185</v>
      </c>
      <c r="Z82" s="237">
        <v>37255</v>
      </c>
      <c r="AA82" s="238">
        <v>33532</v>
      </c>
      <c r="AB82" s="341">
        <v>43844</v>
      </c>
      <c r="AC82" s="341">
        <v>57853</v>
      </c>
      <c r="AD82" s="341">
        <v>104793</v>
      </c>
      <c r="AE82" s="2"/>
      <c r="AF82" s="2"/>
      <c r="AG82" s="2"/>
      <c r="AH82" s="2"/>
      <c r="AI82" s="2"/>
      <c r="AJ82" s="2"/>
      <c r="AK82" s="2"/>
      <c r="AL82" s="22"/>
      <c r="AM82" s="238">
        <f>SUM(AM76:AM81)</f>
        <v>2175</v>
      </c>
      <c r="AN82" s="238">
        <f>SUM(AN76:AN81)</f>
        <v>0</v>
      </c>
      <c r="AO82" s="365">
        <f t="shared" si="18"/>
        <v>3473</v>
      </c>
      <c r="AP82" s="339" t="e">
        <f t="shared" si="19"/>
        <v>#DIV/0!</v>
      </c>
      <c r="AR82" s="237">
        <f>SUM(AR76:AR81)</f>
        <v>3473</v>
      </c>
      <c r="AS82" s="237">
        <f>SUM(AS76:AS81)</f>
        <v>0</v>
      </c>
      <c r="AT82" s="237"/>
      <c r="AU82" s="237"/>
      <c r="AV82" s="340"/>
      <c r="AW82" s="238"/>
      <c r="AX82" s="340"/>
      <c r="AY82" s="113"/>
      <c r="AZ82" s="222"/>
      <c r="BA82" s="222"/>
      <c r="BB82" s="105"/>
      <c r="BD82" s="481"/>
    </row>
    <row r="83" spans="1:56" ht="12.75" customHeight="1" x14ac:dyDescent="0.2">
      <c r="A83" s="6" t="s">
        <v>298</v>
      </c>
      <c r="B83" s="11"/>
      <c r="C83" s="11"/>
      <c r="D83" s="11"/>
      <c r="E83" s="11"/>
      <c r="F83" s="11"/>
      <c r="G83" s="11"/>
      <c r="H83" s="11"/>
      <c r="I83" s="13"/>
      <c r="J83" s="11"/>
      <c r="K83" s="11"/>
      <c r="L83" s="11"/>
      <c r="M83" s="13"/>
      <c r="N83" s="11"/>
      <c r="O83" s="11"/>
      <c r="P83" s="11"/>
      <c r="Q83" s="13"/>
      <c r="R83" s="11"/>
      <c r="S83" s="11"/>
      <c r="T83" s="11"/>
      <c r="U83" s="13"/>
      <c r="V83" s="11"/>
      <c r="W83" s="11"/>
      <c r="X83" s="11"/>
      <c r="Y83" s="13"/>
      <c r="Z83" s="11"/>
      <c r="AA83" s="11"/>
      <c r="AB83" s="11"/>
      <c r="AC83" s="13"/>
      <c r="AD83" s="13"/>
      <c r="AE83" s="13"/>
      <c r="AF83" s="13"/>
      <c r="AG83" s="13"/>
      <c r="AH83" s="13"/>
      <c r="AI83" s="13"/>
      <c r="AJ83" s="13"/>
      <c r="AK83" s="13"/>
      <c r="AL83" s="481"/>
      <c r="AM83" s="481"/>
      <c r="AN83" s="481"/>
      <c r="AO83" s="482"/>
      <c r="AP83" s="482"/>
      <c r="AW83" s="2"/>
      <c r="AX83" s="2"/>
      <c r="BA83" s="481"/>
      <c r="BB83" s="481"/>
      <c r="BD83" s="481"/>
    </row>
    <row r="84" spans="1:56" x14ac:dyDescent="0.2">
      <c r="A84" s="481"/>
      <c r="B84" s="481"/>
      <c r="C84" s="481"/>
      <c r="D84" s="481"/>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482"/>
      <c r="BA84" s="481"/>
      <c r="BB84" s="481"/>
      <c r="BD84" s="481"/>
    </row>
    <row r="85" spans="1:56" x14ac:dyDescent="0.2">
      <c r="I85" s="507"/>
      <c r="M85" s="507"/>
      <c r="Q85" s="507"/>
      <c r="U85" s="507"/>
      <c r="Y85" s="507"/>
      <c r="AC85" s="507"/>
      <c r="AK85" s="507"/>
      <c r="AL85" s="481"/>
      <c r="AM85" s="481"/>
      <c r="AN85" s="481"/>
      <c r="AW85" s="507"/>
      <c r="AX85" s="507"/>
      <c r="AY85" s="63"/>
      <c r="AZ85" s="63"/>
      <c r="BA85" s="481"/>
      <c r="BB85" s="481"/>
      <c r="BD85" s="481"/>
    </row>
    <row r="86" spans="1:56" x14ac:dyDescent="0.2">
      <c r="I86" s="507"/>
      <c r="M86" s="507"/>
      <c r="Q86" s="507"/>
      <c r="U86" s="507"/>
      <c r="Y86" s="507"/>
      <c r="AC86" s="507"/>
      <c r="AK86" s="507"/>
      <c r="AL86" s="481"/>
      <c r="AM86" s="481"/>
      <c r="AN86" s="481"/>
      <c r="AW86" s="507"/>
      <c r="AX86" s="507"/>
      <c r="AY86" s="63"/>
      <c r="AZ86" s="63"/>
      <c r="BA86" s="481"/>
      <c r="BB86" s="481"/>
      <c r="BD86" s="481"/>
    </row>
    <row r="87" spans="1:56" x14ac:dyDescent="0.2">
      <c r="I87" s="507"/>
      <c r="M87" s="507"/>
      <c r="Q87" s="507"/>
      <c r="U87" s="507"/>
      <c r="Y87" s="507"/>
      <c r="AC87" s="507"/>
      <c r="AK87" s="507"/>
      <c r="AL87" s="481"/>
      <c r="AM87" s="481"/>
      <c r="AN87" s="481"/>
      <c r="AW87" s="507"/>
      <c r="AX87" s="507"/>
      <c r="AZ87" s="63"/>
    </row>
    <row r="88" spans="1:56" x14ac:dyDescent="0.2">
      <c r="I88" s="507"/>
      <c r="M88" s="507"/>
      <c r="Q88" s="507"/>
      <c r="U88" s="507"/>
      <c r="Y88" s="507"/>
      <c r="AC88" s="507"/>
      <c r="AK88" s="507"/>
      <c r="AL88" s="481"/>
      <c r="AM88" s="481"/>
      <c r="AN88" s="481"/>
      <c r="AW88" s="2"/>
      <c r="AX88" s="2"/>
      <c r="AZ88" s="63"/>
    </row>
    <row r="89" spans="1:56" x14ac:dyDescent="0.2">
      <c r="I89" s="2"/>
      <c r="M89" s="2"/>
      <c r="Q89" s="2"/>
      <c r="U89" s="2"/>
      <c r="Y89" s="2"/>
      <c r="AC89" s="2"/>
      <c r="AK89" s="93"/>
      <c r="AL89" s="481"/>
      <c r="AM89" s="481"/>
      <c r="AN89" s="481"/>
      <c r="AW89" s="2"/>
      <c r="AX89" s="2"/>
      <c r="AZ89" s="63"/>
    </row>
    <row r="90" spans="1:56" x14ac:dyDescent="0.2">
      <c r="I90" s="2"/>
      <c r="M90" s="2"/>
      <c r="Q90" s="2"/>
      <c r="U90" s="2"/>
      <c r="Y90" s="2"/>
      <c r="AC90" s="2"/>
      <c r="AK90" s="94"/>
      <c r="AL90" s="481"/>
      <c r="AM90" s="481"/>
      <c r="AN90" s="481"/>
      <c r="AW90" s="2"/>
      <c r="AX90" s="2"/>
    </row>
    <row r="91" spans="1:56" x14ac:dyDescent="0.2">
      <c r="I91" s="2"/>
      <c r="M91" s="2"/>
      <c r="Q91" s="2"/>
      <c r="U91" s="2"/>
      <c r="Y91" s="2"/>
      <c r="AC91" s="2"/>
      <c r="AK91" s="94"/>
      <c r="AL91" s="481"/>
      <c r="AM91" s="481"/>
      <c r="AN91" s="481"/>
      <c r="AW91" s="29"/>
      <c r="AX91" s="29"/>
    </row>
    <row r="92" spans="1:56" x14ac:dyDescent="0.2">
      <c r="E92" s="480"/>
      <c r="F92" s="480"/>
      <c r="G92" s="480"/>
      <c r="H92" s="480"/>
      <c r="J92" s="480"/>
      <c r="K92" s="480"/>
      <c r="L92" s="480"/>
      <c r="AC92" s="9"/>
      <c r="AD92" s="32"/>
      <c r="AE92" s="32"/>
      <c r="AF92" s="32"/>
      <c r="AG92" s="32"/>
      <c r="AH92" s="32"/>
      <c r="AI92" s="32"/>
      <c r="AJ92" s="32"/>
      <c r="AK92" s="40"/>
      <c r="AL92" s="481"/>
      <c r="AM92" s="481"/>
      <c r="AN92" s="481"/>
      <c r="AW92" s="32"/>
      <c r="AX92" s="32"/>
    </row>
    <row r="93" spans="1:56" x14ac:dyDescent="0.2">
      <c r="E93" s="480"/>
      <c r="F93" s="480"/>
      <c r="G93" s="480"/>
      <c r="H93" s="480"/>
      <c r="J93" s="480"/>
      <c r="K93" s="480"/>
      <c r="L93" s="480"/>
      <c r="AC93" s="9"/>
      <c r="AD93" s="32"/>
      <c r="AE93" s="32"/>
      <c r="AF93" s="32"/>
      <c r="AG93" s="32"/>
      <c r="AH93" s="32"/>
      <c r="AI93" s="32"/>
      <c r="AJ93" s="32"/>
      <c r="AK93" s="508"/>
      <c r="AL93" s="481"/>
      <c r="AM93" s="481"/>
      <c r="AN93" s="481"/>
      <c r="AW93" s="32"/>
      <c r="AX93" s="32"/>
    </row>
    <row r="94" spans="1:56" x14ac:dyDescent="0.2">
      <c r="E94" s="480"/>
      <c r="F94" s="480"/>
      <c r="G94" s="480"/>
      <c r="H94" s="480"/>
      <c r="J94" s="480"/>
      <c r="K94" s="480"/>
      <c r="L94" s="480"/>
      <c r="AC94" s="32"/>
      <c r="AD94" s="32"/>
      <c r="AE94" s="32"/>
      <c r="AF94" s="32"/>
      <c r="AG94" s="32"/>
      <c r="AH94" s="32"/>
      <c r="AI94" s="32"/>
      <c r="AJ94" s="32"/>
      <c r="AK94" s="32"/>
      <c r="AL94" s="481"/>
      <c r="AM94" s="481"/>
      <c r="AN94" s="481"/>
      <c r="AW94" s="33"/>
      <c r="AX94" s="33"/>
    </row>
    <row r="95" spans="1:56" x14ac:dyDescent="0.2">
      <c r="E95" s="480"/>
      <c r="F95" s="480"/>
      <c r="G95" s="480"/>
      <c r="H95" s="480"/>
      <c r="J95" s="480"/>
      <c r="K95" s="480"/>
      <c r="L95" s="480"/>
      <c r="AC95" s="33"/>
      <c r="AD95" s="33"/>
      <c r="AE95" s="33"/>
      <c r="AF95" s="33"/>
      <c r="AG95" s="33"/>
      <c r="AH95" s="33"/>
      <c r="AI95" s="33"/>
      <c r="AJ95" s="33"/>
      <c r="AK95" s="33"/>
      <c r="AL95" s="481"/>
      <c r="AM95" s="481"/>
      <c r="AN95" s="481"/>
      <c r="AW95" s="33"/>
      <c r="AX95" s="33"/>
    </row>
    <row r="96" spans="1:56" x14ac:dyDescent="0.2">
      <c r="E96" s="480"/>
      <c r="F96" s="480"/>
      <c r="G96" s="480"/>
      <c r="H96" s="480"/>
      <c r="J96" s="480"/>
      <c r="K96" s="480"/>
      <c r="L96" s="480"/>
      <c r="AC96" s="33"/>
      <c r="AD96" s="33"/>
      <c r="AE96" s="33"/>
      <c r="AF96" s="33"/>
      <c r="AG96" s="33"/>
      <c r="AH96" s="33"/>
      <c r="AI96" s="33"/>
      <c r="AJ96" s="33"/>
      <c r="AK96" s="33"/>
      <c r="AL96" s="481"/>
      <c r="AM96" s="481"/>
      <c r="AN96" s="481"/>
      <c r="AW96" s="481"/>
      <c r="AX96" s="481"/>
    </row>
    <row r="97" spans="5:50" x14ac:dyDescent="0.2">
      <c r="E97" s="480"/>
      <c r="F97" s="480"/>
      <c r="G97" s="480"/>
      <c r="H97" s="480"/>
      <c r="J97" s="480"/>
      <c r="K97" s="480"/>
      <c r="L97" s="480"/>
      <c r="AC97" s="481"/>
      <c r="AD97" s="481"/>
      <c r="AE97" s="481"/>
      <c r="AF97" s="481"/>
      <c r="AG97" s="481"/>
      <c r="AH97" s="481"/>
      <c r="AI97" s="481"/>
      <c r="AJ97" s="481"/>
      <c r="AK97" s="481"/>
      <c r="AL97" s="481"/>
      <c r="AM97" s="481"/>
      <c r="AN97" s="481"/>
      <c r="AW97" s="481"/>
      <c r="AX97" s="481"/>
    </row>
    <row r="98" spans="5:50" x14ac:dyDescent="0.2">
      <c r="E98" s="480"/>
      <c r="F98" s="480"/>
      <c r="G98" s="480"/>
      <c r="H98" s="480"/>
      <c r="J98" s="480"/>
      <c r="K98" s="480"/>
      <c r="L98" s="480"/>
      <c r="AC98" s="481"/>
      <c r="AD98" s="481"/>
      <c r="AE98" s="481"/>
      <c r="AF98" s="481"/>
      <c r="AG98" s="481"/>
      <c r="AH98" s="481"/>
      <c r="AI98" s="481"/>
      <c r="AJ98" s="481"/>
      <c r="AK98" s="481"/>
      <c r="AL98" s="481"/>
      <c r="AM98" s="481"/>
      <c r="AN98" s="481"/>
      <c r="AW98" s="481"/>
      <c r="AX98" s="481"/>
    </row>
    <row r="99" spans="5:50" x14ac:dyDescent="0.2">
      <c r="E99" s="480"/>
      <c r="F99" s="480"/>
      <c r="G99" s="480"/>
      <c r="H99" s="480"/>
      <c r="J99" s="480"/>
      <c r="K99" s="480"/>
      <c r="L99" s="480"/>
      <c r="AC99" s="481"/>
      <c r="AD99" s="481"/>
      <c r="AE99" s="481"/>
      <c r="AF99" s="481"/>
      <c r="AG99" s="481"/>
      <c r="AH99" s="481"/>
      <c r="AI99" s="481"/>
      <c r="AJ99" s="481"/>
      <c r="AK99" s="481"/>
      <c r="AL99" s="481"/>
      <c r="AM99" s="481"/>
      <c r="AN99" s="481"/>
      <c r="AW99" s="481"/>
      <c r="AX99" s="481"/>
    </row>
    <row r="100" spans="5:50" x14ac:dyDescent="0.2">
      <c r="E100" s="480"/>
      <c r="F100" s="480"/>
      <c r="G100" s="480"/>
      <c r="H100" s="480"/>
      <c r="J100" s="480"/>
      <c r="K100" s="480"/>
      <c r="L100" s="480"/>
      <c r="AC100" s="481"/>
      <c r="AD100" s="481"/>
      <c r="AE100" s="481"/>
      <c r="AF100" s="481"/>
      <c r="AG100" s="481"/>
      <c r="AH100" s="481"/>
      <c r="AI100" s="481"/>
      <c r="AJ100" s="481"/>
      <c r="AK100" s="481"/>
      <c r="AL100" s="481"/>
      <c r="AM100" s="481"/>
      <c r="AN100" s="481"/>
      <c r="AW100" s="481"/>
      <c r="AX100" s="481"/>
    </row>
    <row r="101" spans="5:50" x14ac:dyDescent="0.2">
      <c r="E101" s="480"/>
      <c r="F101" s="480"/>
      <c r="G101" s="480"/>
      <c r="H101" s="480"/>
      <c r="J101" s="480"/>
      <c r="K101" s="480"/>
      <c r="L101" s="480"/>
      <c r="AC101" s="481"/>
      <c r="AD101" s="481"/>
      <c r="AE101" s="481"/>
      <c r="AF101" s="481"/>
      <c r="AG101" s="481"/>
      <c r="AH101" s="481"/>
      <c r="AI101" s="481"/>
      <c r="AJ101" s="481"/>
      <c r="AK101" s="481"/>
      <c r="AL101" s="481"/>
      <c r="AM101" s="481"/>
      <c r="AN101" s="481"/>
    </row>
  </sheetData>
  <mergeCells count="10">
    <mergeCell ref="A32:B32"/>
    <mergeCell ref="C62:D62"/>
    <mergeCell ref="C63:D63"/>
    <mergeCell ref="AO63:AP63"/>
    <mergeCell ref="C74:D74"/>
    <mergeCell ref="C75:D75"/>
    <mergeCell ref="AO75:AP75"/>
    <mergeCell ref="C10:D10"/>
    <mergeCell ref="C11:D11"/>
    <mergeCell ref="AO11:AP11"/>
  </mergeCells>
  <conditionalFormatting sqref="A73 AD69:AK72 A81:A82 AU69:AX72 AS72:AT72 A60:A61 AV49:AZ49 AV41:AX48 A44:A47 A50 AS41:AU50 A40 B40:B55 AS55:AW55 N55:U55 AM41:AN49 J41:AK49 AR42:AR49 F42:I49">
    <cfRule type="cellIs" dxfId="68" priority="3" stopIfTrue="1" operator="equal">
      <formula>0</formula>
    </cfRule>
  </conditionalFormatting>
  <conditionalFormatting sqref="AR72 AR41 AR55 AR50">
    <cfRule type="cellIs" dxfId="67" priority="2" stopIfTrue="1" operator="equal">
      <formula>0</formula>
    </cfRule>
  </conditionalFormatting>
  <conditionalFormatting sqref="F41:I41">
    <cfRule type="cellIs" dxfId="66" priority="1" stopIfTrue="1" operator="equal">
      <formula>0</formula>
    </cfRule>
  </conditionalFormatting>
  <printOptions horizontalCentered="1"/>
  <pageMargins left="0.3" right="0.3" top="0.4" bottom="0.6" header="0" footer="0.3"/>
  <pageSetup scale="65" orientation="landscape" r:id="rId1"/>
  <headerFooter alignWithMargins="0">
    <oddFooter>&amp;L&amp;F&amp;CPage 4</oddFooter>
  </headerFooter>
  <colBreaks count="1" manualBreakCount="1">
    <brk id="51" max="72"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CP100"/>
  <sheetViews>
    <sheetView topLeftCell="A8" zoomScale="80" zoomScaleNormal="80" workbookViewId="0">
      <selection activeCell="CT32" sqref="CT32"/>
    </sheetView>
  </sheetViews>
  <sheetFormatPr defaultColWidth="9.140625" defaultRowHeight="12.75" x14ac:dyDescent="0.2"/>
  <cols>
    <col min="1" max="1" width="2.7109375" style="1183" customWidth="1"/>
    <col min="2" max="2" width="52.85546875" style="1183" customWidth="1"/>
    <col min="3" max="3" width="11.7109375" style="1183" customWidth="1"/>
    <col min="4" max="4" width="10.28515625" style="1183" customWidth="1"/>
    <col min="5" max="5" width="1.5703125" style="1145" customWidth="1"/>
    <col min="6" max="6" width="11.85546875" style="1145" customWidth="1"/>
    <col min="7" max="7" width="8.5703125" style="1145" customWidth="1"/>
    <col min="8" max="10" width="9.140625" style="1184" customWidth="1"/>
    <col min="11" max="11" width="8.5703125" style="1184" customWidth="1"/>
    <col min="12" max="12" width="8.5703125" style="941" customWidth="1"/>
    <col min="13" max="13" width="8.5703125" style="1184" customWidth="1"/>
    <col min="14" max="14" width="9.28515625" style="1184" customWidth="1"/>
    <col min="15" max="19" width="8.5703125" style="1184" hidden="1" customWidth="1"/>
    <col min="20" max="20" width="11.28515625" style="1184" hidden="1" customWidth="1"/>
    <col min="21" max="21" width="9.28515625" style="1184" hidden="1" customWidth="1"/>
    <col min="22" max="22" width="9.42578125" style="1184" hidden="1" customWidth="1"/>
    <col min="23" max="23" width="11.28515625" style="1184" hidden="1" customWidth="1"/>
    <col min="24" max="24" width="12" style="1184" hidden="1" customWidth="1"/>
    <col min="25" max="25" width="9.28515625" style="1184" hidden="1" customWidth="1"/>
    <col min="26" max="26" width="9.42578125" style="1184" hidden="1" customWidth="1"/>
    <col min="27" max="29" width="9.28515625" style="1184" hidden="1" customWidth="1"/>
    <col min="30" max="30" width="9.42578125" style="1184" hidden="1" customWidth="1"/>
    <col min="31" max="33" width="9.28515625" style="1184" hidden="1" customWidth="1"/>
    <col min="34" max="35" width="9.42578125" style="1184" hidden="1" customWidth="1"/>
    <col min="36" max="37" width="9.28515625" style="1184" hidden="1" customWidth="1"/>
    <col min="38" max="39" width="9.42578125" style="1184" hidden="1" customWidth="1"/>
    <col min="40" max="47" width="9.28515625" style="1184" hidden="1" customWidth="1"/>
    <col min="48" max="49" width="9.7109375" style="1184" hidden="1" customWidth="1"/>
    <col min="50" max="58" width="9.7109375" style="1183" hidden="1" customWidth="1"/>
    <col min="59" max="59" width="1.5703125" style="1183" customWidth="1"/>
    <col min="60" max="62" width="10" style="1183" hidden="1" customWidth="1"/>
    <col min="63" max="63" width="9.7109375" style="1183" hidden="1" customWidth="1"/>
    <col min="64" max="64" width="1.5703125" style="1183" hidden="1" customWidth="1"/>
    <col min="65" max="65" width="12" style="1183" bestFit="1" customWidth="1"/>
    <col min="66" max="69" width="9.5703125" style="1183" customWidth="1"/>
    <col min="70" max="72" width="9.5703125" style="1183" hidden="1" customWidth="1"/>
    <col min="73" max="73" width="9.5703125" style="1144" hidden="1" customWidth="1"/>
    <col min="74" max="80" width="9.7109375" style="1144" hidden="1" customWidth="1"/>
    <col min="81" max="81" width="1.5703125" style="1144" customWidth="1"/>
    <col min="82" max="82" width="9.140625" style="1180"/>
    <col min="83" max="83" width="9.140625" style="1180" hidden="1" customWidth="1"/>
    <col min="84" max="84" width="14.140625" style="1180" hidden="1" customWidth="1"/>
    <col min="85" max="85" width="11.42578125" style="1180" hidden="1" customWidth="1"/>
    <col min="86" max="94" width="0" style="1180" hidden="1" customWidth="1"/>
    <col min="95" max="16384" width="9.140625" style="1180"/>
  </cols>
  <sheetData>
    <row r="1" spans="1:94" ht="9" customHeight="1" x14ac:dyDescent="0.2"/>
    <row r="3" spans="1:94" x14ac:dyDescent="0.2">
      <c r="BN3" s="1312"/>
      <c r="BO3" s="1312"/>
      <c r="BP3" s="1312"/>
      <c r="BQ3" s="1312"/>
      <c r="BR3" s="1312"/>
      <c r="BS3" s="1312"/>
    </row>
    <row r="4" spans="1:94" x14ac:dyDescent="0.2">
      <c r="BN4" s="1312"/>
      <c r="BO4" s="1312"/>
      <c r="BP4" s="1312"/>
      <c r="BQ4" s="1312"/>
      <c r="BR4" s="1312"/>
      <c r="BS4" s="1312"/>
    </row>
    <row r="5" spans="1:94" ht="7.5" customHeight="1" x14ac:dyDescent="0.2">
      <c r="A5" s="1184"/>
      <c r="B5" s="1184"/>
      <c r="C5" s="1184"/>
      <c r="D5" s="1184"/>
      <c r="AX5" s="1184"/>
      <c r="AY5" s="1184"/>
      <c r="AZ5" s="1184"/>
      <c r="BH5" s="1312"/>
    </row>
    <row r="6" spans="1:94" ht="18" customHeight="1" x14ac:dyDescent="0.2">
      <c r="A6" s="1185" t="s">
        <v>339</v>
      </c>
      <c r="B6" s="1184"/>
      <c r="C6" s="1184"/>
      <c r="D6" s="1184"/>
      <c r="F6" s="1324"/>
      <c r="G6" s="1324"/>
      <c r="K6" s="1889"/>
      <c r="L6" s="2849"/>
      <c r="O6" s="1889"/>
      <c r="P6" s="1889"/>
      <c r="S6" s="1214"/>
      <c r="T6" s="1214"/>
      <c r="U6" s="1214"/>
      <c r="V6" s="1214"/>
      <c r="W6" s="1214"/>
      <c r="X6" s="1214"/>
      <c r="Y6" s="1214"/>
      <c r="Z6" s="1214"/>
      <c r="AA6" s="1214"/>
      <c r="AB6" s="1214"/>
      <c r="AC6" s="1214"/>
      <c r="AD6" s="1214"/>
      <c r="AE6" s="1214"/>
      <c r="AF6" s="1214"/>
      <c r="AG6" s="1214"/>
      <c r="AH6" s="1214"/>
      <c r="AX6" s="1184"/>
      <c r="AY6" s="1184"/>
      <c r="AZ6" s="1184"/>
      <c r="BH6" s="1312"/>
    </row>
    <row r="7" spans="1:94" ht="18" customHeight="1" x14ac:dyDescent="0.2">
      <c r="A7" s="1186" t="s">
        <v>282</v>
      </c>
      <c r="B7" s="943"/>
      <c r="C7" s="943"/>
      <c r="D7" s="943"/>
      <c r="E7" s="899"/>
      <c r="F7" s="899"/>
      <c r="G7" s="899"/>
      <c r="H7" s="943"/>
      <c r="I7" s="943"/>
      <c r="J7" s="943"/>
      <c r="K7" s="943"/>
      <c r="L7" s="943"/>
      <c r="M7" s="943"/>
      <c r="N7" s="943"/>
      <c r="O7" s="943"/>
      <c r="P7" s="943"/>
      <c r="Q7" s="943"/>
      <c r="R7" s="943"/>
      <c r="S7" s="943"/>
      <c r="T7" s="943"/>
      <c r="U7" s="978"/>
      <c r="V7" s="978"/>
      <c r="W7" s="943"/>
      <c r="X7" s="943"/>
      <c r="Y7" s="978"/>
      <c r="Z7" s="978"/>
      <c r="AA7" s="943"/>
      <c r="AB7" s="943"/>
      <c r="AC7" s="943"/>
      <c r="AD7" s="943"/>
      <c r="AE7" s="943"/>
      <c r="AF7" s="943"/>
      <c r="AG7" s="943"/>
      <c r="AH7" s="943"/>
      <c r="AI7" s="943"/>
      <c r="AJ7" s="943"/>
      <c r="AK7" s="943"/>
      <c r="AL7" s="943"/>
      <c r="AM7" s="943"/>
      <c r="AN7" s="943"/>
      <c r="AO7" s="943"/>
      <c r="AP7" s="943"/>
      <c r="AQ7" s="943"/>
      <c r="AR7" s="943"/>
      <c r="AS7" s="943"/>
      <c r="AT7" s="943"/>
      <c r="AU7" s="943"/>
      <c r="AV7" s="943"/>
      <c r="AW7" s="943"/>
      <c r="AX7" s="1184"/>
      <c r="AY7" s="1184"/>
      <c r="AZ7" s="1184"/>
      <c r="BH7" s="1824"/>
    </row>
    <row r="8" spans="1:94" ht="15" x14ac:dyDescent="0.2">
      <c r="A8" s="944"/>
      <c r="B8" s="943"/>
      <c r="C8" s="943"/>
      <c r="D8" s="943"/>
      <c r="E8" s="899"/>
      <c r="F8" s="899"/>
      <c r="G8" s="899"/>
      <c r="H8" s="943"/>
      <c r="I8" s="943"/>
      <c r="J8" s="978"/>
      <c r="K8" s="943"/>
      <c r="L8" s="1360"/>
      <c r="M8" s="943"/>
      <c r="N8" s="978"/>
      <c r="O8" s="943"/>
      <c r="P8" s="1360"/>
      <c r="Q8" s="943"/>
      <c r="R8" s="978"/>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943"/>
      <c r="AV8" s="943"/>
      <c r="AW8" s="943"/>
      <c r="AX8" s="1184"/>
      <c r="AY8" s="1184"/>
      <c r="AZ8" s="1184"/>
    </row>
    <row r="9" spans="1:94" ht="9.75" customHeight="1" x14ac:dyDescent="0.2">
      <c r="A9" s="941"/>
      <c r="B9" s="941"/>
      <c r="C9" s="941"/>
      <c r="D9" s="941"/>
      <c r="E9" s="897"/>
      <c r="F9" s="897"/>
      <c r="G9" s="897"/>
      <c r="H9" s="941"/>
      <c r="I9" s="941"/>
      <c r="J9" s="941"/>
      <c r="K9" s="941"/>
      <c r="M9" s="941"/>
      <c r="N9" s="941"/>
      <c r="O9" s="941"/>
      <c r="P9" s="941"/>
      <c r="Q9" s="941"/>
      <c r="R9" s="941"/>
      <c r="S9" s="981"/>
      <c r="T9" s="981"/>
      <c r="U9" s="981"/>
      <c r="V9" s="941"/>
      <c r="W9" s="981"/>
      <c r="X9" s="981"/>
      <c r="Y9" s="981"/>
      <c r="Z9" s="941"/>
      <c r="AA9" s="981"/>
      <c r="AB9" s="981"/>
      <c r="AC9" s="981"/>
      <c r="AD9" s="941"/>
      <c r="AE9" s="981"/>
      <c r="AF9" s="981"/>
      <c r="AG9" s="981"/>
      <c r="AH9" s="941"/>
      <c r="AI9" s="981"/>
      <c r="AJ9" s="941"/>
      <c r="AK9" s="981"/>
      <c r="AL9" s="941"/>
      <c r="AM9" s="981"/>
      <c r="AN9" s="941"/>
      <c r="AO9" s="981"/>
      <c r="AP9" s="941"/>
      <c r="AQ9" s="981"/>
      <c r="AR9" s="941"/>
      <c r="AS9" s="981"/>
      <c r="AT9" s="941"/>
      <c r="AU9" s="981"/>
      <c r="AV9" s="941"/>
      <c r="AW9" s="941"/>
      <c r="AX9" s="941"/>
      <c r="AY9" s="941"/>
      <c r="AZ9" s="941"/>
      <c r="BA9" s="940"/>
      <c r="BB9" s="940"/>
      <c r="BC9" s="940"/>
      <c r="BD9" s="940"/>
      <c r="BE9" s="940"/>
      <c r="BF9" s="940"/>
      <c r="BG9" s="940"/>
      <c r="BH9" s="940"/>
      <c r="BI9" s="940"/>
      <c r="BJ9" s="972"/>
      <c r="BK9" s="972"/>
      <c r="BL9" s="940"/>
      <c r="BM9" s="940"/>
      <c r="BN9" s="940"/>
      <c r="BO9" s="940"/>
      <c r="BP9" s="940"/>
      <c r="BZ9" s="1145"/>
      <c r="CA9" s="1145"/>
      <c r="CB9" s="1145"/>
    </row>
    <row r="10" spans="1:94" x14ac:dyDescent="0.2">
      <c r="A10" s="945" t="s">
        <v>1</v>
      </c>
      <c r="B10" s="946"/>
      <c r="C10" s="3073" t="s">
        <v>671</v>
      </c>
      <c r="D10" s="3074"/>
      <c r="E10" s="901"/>
      <c r="F10" s="2958"/>
      <c r="G10" s="902"/>
      <c r="H10" s="982"/>
      <c r="I10" s="982"/>
      <c r="J10" s="983"/>
      <c r="K10" s="982"/>
      <c r="L10" s="982"/>
      <c r="M10" s="982"/>
      <c r="N10" s="983"/>
      <c r="O10" s="982"/>
      <c r="P10" s="982"/>
      <c r="Q10" s="982"/>
      <c r="R10" s="983"/>
      <c r="S10" s="985"/>
      <c r="T10" s="982"/>
      <c r="U10" s="982"/>
      <c r="V10" s="983"/>
      <c r="W10" s="982"/>
      <c r="X10" s="982"/>
      <c r="Y10" s="982"/>
      <c r="Z10" s="983"/>
      <c r="AA10" s="982"/>
      <c r="AB10" s="982"/>
      <c r="AC10" s="982"/>
      <c r="AD10" s="983"/>
      <c r="AE10" s="982"/>
      <c r="AF10" s="982"/>
      <c r="AG10" s="982"/>
      <c r="AH10" s="983"/>
      <c r="AI10" s="984"/>
      <c r="AJ10" s="982"/>
      <c r="AK10" s="982"/>
      <c r="AL10" s="983"/>
      <c r="AM10" s="984"/>
      <c r="AN10" s="982"/>
      <c r="AO10" s="982"/>
      <c r="AP10" s="983"/>
      <c r="AQ10" s="941"/>
      <c r="AR10" s="982"/>
      <c r="AS10" s="941"/>
      <c r="AT10" s="983"/>
      <c r="AU10" s="982"/>
      <c r="AV10" s="941"/>
      <c r="AW10" s="982"/>
      <c r="AX10" s="983"/>
      <c r="AY10" s="982"/>
      <c r="AZ10" s="982"/>
      <c r="BA10" s="982"/>
      <c r="BB10" s="982"/>
      <c r="BC10" s="985"/>
      <c r="BD10" s="983"/>
      <c r="BE10" s="983"/>
      <c r="BF10" s="983"/>
      <c r="BG10" s="986"/>
      <c r="BH10" s="987" t="s">
        <v>660</v>
      </c>
      <c r="BI10" s="988"/>
      <c r="BJ10" s="988" t="s">
        <v>563</v>
      </c>
      <c r="BK10" s="989"/>
      <c r="BL10" s="990"/>
      <c r="BM10" s="991"/>
      <c r="BN10" s="991"/>
      <c r="BO10" s="991"/>
      <c r="BP10" s="991"/>
      <c r="BQ10" s="991"/>
      <c r="BR10" s="991"/>
      <c r="BS10" s="991"/>
      <c r="BT10" s="991"/>
      <c r="BU10" s="1992"/>
      <c r="BV10" s="1992"/>
      <c r="BW10" s="1992"/>
      <c r="BX10" s="1990"/>
      <c r="BY10" s="1991"/>
      <c r="BZ10" s="1992"/>
      <c r="CA10" s="1985"/>
      <c r="CB10" s="2026"/>
      <c r="CC10" s="1150"/>
    </row>
    <row r="11" spans="1:94" ht="13.5" x14ac:dyDescent="0.2">
      <c r="A11" s="945" t="s">
        <v>2</v>
      </c>
      <c r="B11" s="946"/>
      <c r="C11" s="3184" t="s">
        <v>38</v>
      </c>
      <c r="D11" s="3185"/>
      <c r="E11" s="1801"/>
      <c r="F11" s="1993" t="s">
        <v>670</v>
      </c>
      <c r="G11" s="907" t="s">
        <v>558</v>
      </c>
      <c r="H11" s="992" t="s">
        <v>559</v>
      </c>
      <c r="I11" s="992" t="s">
        <v>560</v>
      </c>
      <c r="J11" s="993" t="s">
        <v>561</v>
      </c>
      <c r="K11" s="992" t="s">
        <v>508</v>
      </c>
      <c r="L11" s="992" t="s">
        <v>507</v>
      </c>
      <c r="M11" s="992" t="s">
        <v>506</v>
      </c>
      <c r="N11" s="993" t="s">
        <v>505</v>
      </c>
      <c r="O11" s="992" t="s">
        <v>382</v>
      </c>
      <c r="P11" s="992" t="s">
        <v>383</v>
      </c>
      <c r="Q11" s="992" t="s">
        <v>384</v>
      </c>
      <c r="R11" s="993" t="s">
        <v>385</v>
      </c>
      <c r="S11" s="995" t="s">
        <v>368</v>
      </c>
      <c r="T11" s="992" t="s">
        <v>367</v>
      </c>
      <c r="U11" s="992" t="s">
        <v>366</v>
      </c>
      <c r="V11" s="993" t="s">
        <v>364</v>
      </c>
      <c r="W11" s="992" t="s">
        <v>348</v>
      </c>
      <c r="X11" s="992" t="s">
        <v>349</v>
      </c>
      <c r="Y11" s="992" t="s">
        <v>350</v>
      </c>
      <c r="Z11" s="993" t="s">
        <v>351</v>
      </c>
      <c r="AA11" s="992" t="s">
        <v>315</v>
      </c>
      <c r="AB11" s="992" t="s">
        <v>314</v>
      </c>
      <c r="AC11" s="992" t="s">
        <v>313</v>
      </c>
      <c r="AD11" s="993" t="s">
        <v>311</v>
      </c>
      <c r="AE11" s="992" t="s">
        <v>270</v>
      </c>
      <c r="AF11" s="992" t="s">
        <v>271</v>
      </c>
      <c r="AG11" s="992" t="s">
        <v>272</v>
      </c>
      <c r="AH11" s="993" t="s">
        <v>273</v>
      </c>
      <c r="AI11" s="994" t="s">
        <v>223</v>
      </c>
      <c r="AJ11" s="992" t="s">
        <v>224</v>
      </c>
      <c r="AK11" s="992" t="s">
        <v>225</v>
      </c>
      <c r="AL11" s="993" t="s">
        <v>222</v>
      </c>
      <c r="AM11" s="994" t="s">
        <v>189</v>
      </c>
      <c r="AN11" s="992" t="s">
        <v>190</v>
      </c>
      <c r="AO11" s="992" t="s">
        <v>191</v>
      </c>
      <c r="AP11" s="993" t="s">
        <v>192</v>
      </c>
      <c r="AQ11" s="992" t="s">
        <v>121</v>
      </c>
      <c r="AR11" s="992" t="s">
        <v>120</v>
      </c>
      <c r="AS11" s="992" t="s">
        <v>119</v>
      </c>
      <c r="AT11" s="993" t="s">
        <v>118</v>
      </c>
      <c r="AU11" s="992" t="s">
        <v>81</v>
      </c>
      <c r="AV11" s="992" t="s">
        <v>82</v>
      </c>
      <c r="AW11" s="992" t="s">
        <v>83</v>
      </c>
      <c r="AX11" s="993" t="s">
        <v>29</v>
      </c>
      <c r="AY11" s="992" t="s">
        <v>30</v>
      </c>
      <c r="AZ11" s="992" t="s">
        <v>31</v>
      </c>
      <c r="BA11" s="992" t="s">
        <v>32</v>
      </c>
      <c r="BB11" s="992" t="s">
        <v>33</v>
      </c>
      <c r="BC11" s="995" t="s">
        <v>34</v>
      </c>
      <c r="BD11" s="993" t="s">
        <v>35</v>
      </c>
      <c r="BE11" s="993" t="s">
        <v>36</v>
      </c>
      <c r="BF11" s="993" t="s">
        <v>37</v>
      </c>
      <c r="BG11" s="996"/>
      <c r="BH11" s="992" t="s">
        <v>558</v>
      </c>
      <c r="BI11" s="992" t="s">
        <v>508</v>
      </c>
      <c r="BJ11" s="3071" t="s">
        <v>38</v>
      </c>
      <c r="BK11" s="3072"/>
      <c r="BL11" s="2914"/>
      <c r="BM11" s="994" t="s">
        <v>562</v>
      </c>
      <c r="BN11" s="994" t="s">
        <v>509</v>
      </c>
      <c r="BO11" s="994" t="s">
        <v>502</v>
      </c>
      <c r="BP11" s="994" t="s">
        <v>379</v>
      </c>
      <c r="BQ11" s="994" t="s">
        <v>360</v>
      </c>
      <c r="BR11" s="994" t="s">
        <v>317</v>
      </c>
      <c r="BS11" s="994" t="s">
        <v>275</v>
      </c>
      <c r="BT11" s="994" t="s">
        <v>227</v>
      </c>
      <c r="BU11" s="1948" t="s">
        <v>123</v>
      </c>
      <c r="BV11" s="1948" t="s">
        <v>122</v>
      </c>
      <c r="BW11" s="1948" t="s">
        <v>42</v>
      </c>
      <c r="BX11" s="1948" t="s">
        <v>39</v>
      </c>
      <c r="BY11" s="1993" t="s">
        <v>40</v>
      </c>
      <c r="BZ11" s="1993" t="s">
        <v>142</v>
      </c>
      <c r="CA11" s="1993" t="s">
        <v>143</v>
      </c>
      <c r="CB11" s="1948" t="s">
        <v>144</v>
      </c>
      <c r="CC11" s="1150"/>
      <c r="CD11" s="1315"/>
      <c r="CE11" s="2737" t="s">
        <v>533</v>
      </c>
      <c r="CF11" s="2738"/>
      <c r="CG11" s="2738"/>
      <c r="CH11" s="2738"/>
      <c r="CI11" s="1315"/>
      <c r="CJ11" s="2738" t="s">
        <v>534</v>
      </c>
      <c r="CK11" s="2738"/>
      <c r="CM11" s="2739" t="s">
        <v>535</v>
      </c>
      <c r="CN11" s="2739"/>
      <c r="CO11" s="2739"/>
      <c r="CP11" s="2739"/>
    </row>
    <row r="12" spans="1:94" x14ac:dyDescent="0.2">
      <c r="A12" s="945"/>
      <c r="B12" s="946"/>
      <c r="C12" s="2859"/>
      <c r="D12" s="1803"/>
      <c r="E12" s="2858"/>
      <c r="F12" s="1997"/>
      <c r="G12" s="1151"/>
      <c r="H12" s="1224"/>
      <c r="I12" s="1224"/>
      <c r="J12" s="1225"/>
      <c r="K12" s="1224"/>
      <c r="L12" s="1224"/>
      <c r="M12" s="1224"/>
      <c r="N12" s="1225"/>
      <c r="O12" s="1224"/>
      <c r="P12" s="1224"/>
      <c r="Q12" s="1224"/>
      <c r="R12" s="1225"/>
      <c r="S12" s="1228"/>
      <c r="T12" s="1224"/>
      <c r="U12" s="1224"/>
      <c r="V12" s="1225"/>
      <c r="W12" s="1224"/>
      <c r="X12" s="1224"/>
      <c r="Y12" s="1224"/>
      <c r="Z12" s="1225"/>
      <c r="AA12" s="1224"/>
      <c r="AB12" s="1224"/>
      <c r="AC12" s="1224"/>
      <c r="AD12" s="1225"/>
      <c r="AE12" s="1224"/>
      <c r="AF12" s="1224"/>
      <c r="AG12" s="1224"/>
      <c r="AH12" s="1225"/>
      <c r="AI12" s="1226"/>
      <c r="AJ12" s="1224"/>
      <c r="AK12" s="1224"/>
      <c r="AL12" s="1225"/>
      <c r="AM12" s="1226"/>
      <c r="AN12" s="1224"/>
      <c r="AO12" s="1224"/>
      <c r="AP12" s="1225"/>
      <c r="AQ12" s="1226"/>
      <c r="AR12" s="1224"/>
      <c r="AS12" s="1224"/>
      <c r="AT12" s="1225"/>
      <c r="AU12" s="990"/>
      <c r="AV12" s="990"/>
      <c r="AW12" s="990"/>
      <c r="AX12" s="1227"/>
      <c r="AY12" s="990"/>
      <c r="AZ12" s="990"/>
      <c r="BA12" s="990"/>
      <c r="BB12" s="990"/>
      <c r="BC12" s="996"/>
      <c r="BD12" s="1227"/>
      <c r="BE12" s="1227"/>
      <c r="BF12" s="1227"/>
      <c r="BG12" s="996"/>
      <c r="BH12" s="1226"/>
      <c r="BI12" s="1224"/>
      <c r="BJ12" s="982"/>
      <c r="BK12" s="983"/>
      <c r="BL12" s="2914"/>
      <c r="BM12" s="1226"/>
      <c r="BN12" s="1226"/>
      <c r="BO12" s="1226"/>
      <c r="BP12" s="1226"/>
      <c r="BQ12" s="1228"/>
      <c r="BR12" s="1226"/>
      <c r="BS12" s="1226"/>
      <c r="BT12" s="1226"/>
      <c r="BU12" s="1997"/>
      <c r="BV12" s="2027" t="s">
        <v>241</v>
      </c>
      <c r="BW12" s="2027" t="s">
        <v>241</v>
      </c>
      <c r="BX12" s="2027" t="s">
        <v>241</v>
      </c>
      <c r="BY12" s="2028" t="s">
        <v>241</v>
      </c>
      <c r="BZ12" s="901"/>
      <c r="CA12" s="901"/>
      <c r="CB12" s="2161"/>
      <c r="CC12" s="1150"/>
      <c r="CD12" s="1315"/>
      <c r="CE12" s="1315"/>
      <c r="CF12" s="1315"/>
      <c r="CG12" s="1315"/>
      <c r="CH12" s="1315"/>
      <c r="CP12" s="2740"/>
    </row>
    <row r="13" spans="1:94" ht="12.75" customHeight="1" x14ac:dyDescent="0.2">
      <c r="A13" s="947" t="s">
        <v>59</v>
      </c>
      <c r="B13" s="948"/>
      <c r="C13" s="2438"/>
      <c r="D13" s="1059"/>
      <c r="E13" s="2529"/>
      <c r="F13" s="921"/>
      <c r="G13" s="900"/>
      <c r="H13" s="946"/>
      <c r="I13" s="946"/>
      <c r="J13" s="1059"/>
      <c r="K13" s="946"/>
      <c r="L13" s="946"/>
      <c r="M13" s="946"/>
      <c r="N13" s="1059"/>
      <c r="O13" s="946"/>
      <c r="P13" s="946"/>
      <c r="Q13" s="946"/>
      <c r="R13" s="1059"/>
      <c r="S13" s="1034"/>
      <c r="T13" s="946"/>
      <c r="U13" s="946"/>
      <c r="V13" s="1059"/>
      <c r="W13" s="946"/>
      <c r="X13" s="946"/>
      <c r="Y13" s="946"/>
      <c r="Z13" s="1059"/>
      <c r="AA13" s="946"/>
      <c r="AB13" s="946"/>
      <c r="AC13" s="946"/>
      <c r="AD13" s="1059"/>
      <c r="AE13" s="946"/>
      <c r="AF13" s="946"/>
      <c r="AG13" s="946"/>
      <c r="AH13" s="1059"/>
      <c r="AI13" s="946"/>
      <c r="AJ13" s="946"/>
      <c r="AK13" s="946"/>
      <c r="AL13" s="1059"/>
      <c r="AM13" s="946"/>
      <c r="AN13" s="946"/>
      <c r="AO13" s="946"/>
      <c r="AP13" s="1059"/>
      <c r="AQ13" s="946"/>
      <c r="AR13" s="946"/>
      <c r="AS13" s="946"/>
      <c r="AT13" s="1059"/>
      <c r="AU13" s="946"/>
      <c r="AV13" s="946"/>
      <c r="AW13" s="946"/>
      <c r="AX13" s="1059"/>
      <c r="AY13" s="2438"/>
      <c r="AZ13" s="946"/>
      <c r="BA13" s="946"/>
      <c r="BB13" s="941"/>
      <c r="BC13" s="986"/>
      <c r="BD13" s="950"/>
      <c r="BE13" s="950"/>
      <c r="BF13" s="950"/>
      <c r="BG13" s="1034"/>
      <c r="BH13" s="946"/>
      <c r="BI13" s="946"/>
      <c r="BJ13" s="946"/>
      <c r="BK13" s="1059"/>
      <c r="BL13" s="946"/>
      <c r="BM13" s="1034"/>
      <c r="BN13" s="1034"/>
      <c r="BO13" s="1034"/>
      <c r="BP13" s="1034"/>
      <c r="BQ13" s="1034"/>
      <c r="BR13" s="1229"/>
      <c r="BS13" s="1229"/>
      <c r="BT13" s="1229"/>
      <c r="BU13" s="1152"/>
      <c r="BV13" s="1152"/>
      <c r="BW13" s="1152"/>
      <c r="BX13" s="1999"/>
      <c r="BY13" s="1152"/>
      <c r="BZ13" s="2164"/>
      <c r="CA13" s="2164"/>
      <c r="CB13" s="2165"/>
      <c r="CC13" s="1150"/>
      <c r="CD13" s="1315"/>
      <c r="CE13" s="1315"/>
      <c r="CF13" s="1315"/>
      <c r="CG13" s="1315"/>
      <c r="CH13" s="1315"/>
      <c r="CP13" s="2734"/>
    </row>
    <row r="14" spans="1:94" ht="12.75" customHeight="1" x14ac:dyDescent="0.2">
      <c r="A14" s="946"/>
      <c r="B14" s="954" t="s">
        <v>84</v>
      </c>
      <c r="C14" s="957">
        <v>11085</v>
      </c>
      <c r="D14" s="1035">
        <v>0.24021063124363448</v>
      </c>
      <c r="E14" s="922"/>
      <c r="F14" s="2223">
        <v>57232</v>
      </c>
      <c r="G14" s="1155">
        <v>52997</v>
      </c>
      <c r="H14" s="1230">
        <v>53663.48</v>
      </c>
      <c r="I14" s="1230">
        <v>51613</v>
      </c>
      <c r="J14" s="1231">
        <v>46147</v>
      </c>
      <c r="K14" s="1230">
        <v>50535</v>
      </c>
      <c r="L14" s="1230">
        <v>47647</v>
      </c>
      <c r="M14" s="1230">
        <v>31458</v>
      </c>
      <c r="N14" s="1231">
        <v>36251</v>
      </c>
      <c r="O14" s="1230">
        <v>39429</v>
      </c>
      <c r="P14" s="1230">
        <v>32199</v>
      </c>
      <c r="Q14" s="1230">
        <v>28858</v>
      </c>
      <c r="R14" s="1231">
        <v>28875</v>
      </c>
      <c r="S14" s="1930">
        <v>25158</v>
      </c>
      <c r="T14" s="1230">
        <v>25267</v>
      </c>
      <c r="U14" s="1230">
        <v>25694</v>
      </c>
      <c r="V14" s="1231">
        <v>30535</v>
      </c>
      <c r="W14" s="1230">
        <v>32631</v>
      </c>
      <c r="X14" s="1230">
        <v>27990</v>
      </c>
      <c r="Y14" s="1230">
        <v>31234</v>
      </c>
      <c r="Z14" s="1231">
        <v>32117</v>
      </c>
      <c r="AA14" s="1230">
        <v>31474</v>
      </c>
      <c r="AB14" s="1230">
        <v>27430</v>
      </c>
      <c r="AC14" s="1230">
        <v>24056</v>
      </c>
      <c r="AD14" s="1231">
        <v>26384</v>
      </c>
      <c r="AE14" s="1230">
        <v>31741</v>
      </c>
      <c r="AF14" s="1230">
        <v>34481</v>
      </c>
      <c r="AG14" s="1230">
        <v>35280</v>
      </c>
      <c r="AH14" s="1231">
        <v>36123</v>
      </c>
      <c r="AI14" s="1230">
        <v>51747</v>
      </c>
      <c r="AJ14" s="1230">
        <v>43765</v>
      </c>
      <c r="AK14" s="1230">
        <v>46616</v>
      </c>
      <c r="AL14" s="1231">
        <v>53600</v>
      </c>
      <c r="AM14" s="1230">
        <v>71218</v>
      </c>
      <c r="AN14" s="1230">
        <v>67044</v>
      </c>
      <c r="AO14" s="1230">
        <v>43529</v>
      </c>
      <c r="AP14" s="1231">
        <v>46307</v>
      </c>
      <c r="AQ14" s="1230">
        <v>54086</v>
      </c>
      <c r="AR14" s="1230">
        <v>50900</v>
      </c>
      <c r="AS14" s="1230">
        <v>39596</v>
      </c>
      <c r="AT14" s="1231">
        <v>39676</v>
      </c>
      <c r="AU14" s="1230">
        <v>36739</v>
      </c>
      <c r="AV14" s="1230">
        <v>33072</v>
      </c>
      <c r="AW14" s="1230">
        <v>43016</v>
      </c>
      <c r="AX14" s="1231">
        <v>56801</v>
      </c>
      <c r="AY14" s="1209">
        <v>53686</v>
      </c>
      <c r="AZ14" s="1259">
        <v>60447</v>
      </c>
      <c r="BA14" s="1259">
        <v>56588</v>
      </c>
      <c r="BB14" s="1260">
        <v>74990</v>
      </c>
      <c r="BC14" s="1261">
        <v>74727</v>
      </c>
      <c r="BD14" s="1260">
        <v>67907</v>
      </c>
      <c r="BE14" s="1260">
        <v>54960</v>
      </c>
      <c r="BF14" s="1260">
        <v>70996</v>
      </c>
      <c r="BG14" s="1034"/>
      <c r="BH14" s="1007">
        <v>204420.48000000001</v>
      </c>
      <c r="BI14" s="1007">
        <v>165891</v>
      </c>
      <c r="BJ14" s="1006">
        <v>38529.48000000001</v>
      </c>
      <c r="BK14" s="1299">
        <v>0.23225780783767661</v>
      </c>
      <c r="BL14" s="1201"/>
      <c r="BM14" s="2231">
        <v>204420.48000000001</v>
      </c>
      <c r="BN14" s="2231">
        <v>165891</v>
      </c>
      <c r="BO14" s="2231">
        <v>129361</v>
      </c>
      <c r="BP14" s="2231">
        <v>106654</v>
      </c>
      <c r="BQ14" s="2527">
        <v>123972</v>
      </c>
      <c r="BR14" s="1846">
        <v>109344</v>
      </c>
      <c r="BS14" s="1367">
        <v>137625</v>
      </c>
      <c r="BT14" s="1367">
        <v>195728</v>
      </c>
      <c r="BU14" s="1317">
        <v>228098</v>
      </c>
      <c r="BV14" s="1317">
        <v>184258</v>
      </c>
      <c r="BW14" s="1317">
        <v>169628</v>
      </c>
      <c r="BX14" s="1317">
        <v>245711</v>
      </c>
      <c r="BY14" s="1317">
        <v>268590</v>
      </c>
      <c r="BZ14" s="2166">
        <v>223925</v>
      </c>
      <c r="CA14" s="2166">
        <v>178176</v>
      </c>
      <c r="CB14" s="2166">
        <v>175983</v>
      </c>
      <c r="CC14" s="1153"/>
      <c r="CE14" s="1920">
        <v>15448</v>
      </c>
      <c r="CF14" s="1180">
        <v>0.47976645237429733</v>
      </c>
      <c r="CG14" s="1180">
        <v>-4363</v>
      </c>
      <c r="CH14" s="1180">
        <v>-0.23955582113066284</v>
      </c>
      <c r="CJ14" s="1920">
        <v>115356</v>
      </c>
      <c r="CK14" s="1315">
        <v>89064.48000000001</v>
      </c>
      <c r="CL14" s="1920"/>
      <c r="CM14" s="1315">
        <v>38529.48000000001</v>
      </c>
      <c r="CN14" s="1315">
        <v>0.23225780783767661</v>
      </c>
      <c r="CO14" s="1315">
        <v>0</v>
      </c>
      <c r="CP14" s="1180">
        <v>0</v>
      </c>
    </row>
    <row r="15" spans="1:94" ht="12.75" customHeight="1" x14ac:dyDescent="0.2">
      <c r="A15" s="946"/>
      <c r="B15" s="954" t="s">
        <v>202</v>
      </c>
      <c r="C15" s="957">
        <v>-56</v>
      </c>
      <c r="D15" s="1035">
        <v>-8.7227414330218064E-2</v>
      </c>
      <c r="E15" s="922"/>
      <c r="F15" s="2223">
        <v>586</v>
      </c>
      <c r="G15" s="1155">
        <v>639</v>
      </c>
      <c r="H15" s="1230">
        <v>538.52</v>
      </c>
      <c r="I15" s="1230">
        <v>586</v>
      </c>
      <c r="J15" s="1231">
        <v>642</v>
      </c>
      <c r="K15" s="1230">
        <v>920</v>
      </c>
      <c r="L15" s="1230">
        <v>781</v>
      </c>
      <c r="M15" s="1230">
        <v>623</v>
      </c>
      <c r="N15" s="1231">
        <v>667</v>
      </c>
      <c r="O15" s="1230">
        <v>839</v>
      </c>
      <c r="P15" s="1230">
        <v>620</v>
      </c>
      <c r="Q15" s="1230">
        <v>874</v>
      </c>
      <c r="R15" s="1231">
        <v>598</v>
      </c>
      <c r="S15" s="1930">
        <v>363</v>
      </c>
      <c r="T15" s="1230">
        <v>349</v>
      </c>
      <c r="U15" s="1230">
        <v>461</v>
      </c>
      <c r="V15" s="1231">
        <v>381</v>
      </c>
      <c r="W15" s="1230">
        <v>448</v>
      </c>
      <c r="X15" s="1230">
        <v>277</v>
      </c>
      <c r="Y15" s="1230">
        <v>403</v>
      </c>
      <c r="Z15" s="1231">
        <v>239</v>
      </c>
      <c r="AA15" s="1230">
        <v>542</v>
      </c>
      <c r="AB15" s="1230">
        <v>289</v>
      </c>
      <c r="AC15" s="1230">
        <v>357</v>
      </c>
      <c r="AD15" s="1231">
        <v>458</v>
      </c>
      <c r="AE15" s="1230">
        <v>482</v>
      </c>
      <c r="AF15" s="1230">
        <v>570</v>
      </c>
      <c r="AG15" s="1230">
        <v>534</v>
      </c>
      <c r="AH15" s="1231">
        <v>644</v>
      </c>
      <c r="AI15" s="1230">
        <v>790</v>
      </c>
      <c r="AJ15" s="1230">
        <v>806</v>
      </c>
      <c r="AK15" s="1230">
        <v>796</v>
      </c>
      <c r="AL15" s="1231">
        <v>1183</v>
      </c>
      <c r="AM15" s="1230">
        <v>1486</v>
      </c>
      <c r="AN15" s="1230">
        <v>1555</v>
      </c>
      <c r="AO15" s="1230">
        <v>1010</v>
      </c>
      <c r="AP15" s="1231">
        <v>900</v>
      </c>
      <c r="AQ15" s="1230">
        <v>904</v>
      </c>
      <c r="AR15" s="1230">
        <v>833</v>
      </c>
      <c r="AS15" s="1230">
        <v>542</v>
      </c>
      <c r="AT15" s="1231">
        <v>509</v>
      </c>
      <c r="AU15" s="1230">
        <v>516</v>
      </c>
      <c r="AV15" s="1230">
        <v>460</v>
      </c>
      <c r="AW15" s="1230">
        <v>828</v>
      </c>
      <c r="AX15" s="1231">
        <v>1052</v>
      </c>
      <c r="AY15" s="1196">
        <v>777</v>
      </c>
      <c r="AZ15" s="1270">
        <v>719</v>
      </c>
      <c r="BA15" s="1270">
        <v>827</v>
      </c>
      <c r="BB15" s="1007">
        <v>1093</v>
      </c>
      <c r="BC15" s="1261">
        <v>1149</v>
      </c>
      <c r="BD15" s="1260">
        <v>924</v>
      </c>
      <c r="BE15" s="1260">
        <v>666</v>
      </c>
      <c r="BF15" s="1260">
        <v>1290</v>
      </c>
      <c r="BG15" s="1034"/>
      <c r="BH15" s="1007">
        <v>2405.52</v>
      </c>
      <c r="BI15" s="1007">
        <v>2991</v>
      </c>
      <c r="BJ15" s="1006">
        <v>-585.48</v>
      </c>
      <c r="BK15" s="1299">
        <v>-0.19574724172517552</v>
      </c>
      <c r="BL15" s="1201"/>
      <c r="BM15" s="2231">
        <v>2405.52</v>
      </c>
      <c r="BN15" s="2231">
        <v>2991</v>
      </c>
      <c r="BO15" s="2231">
        <v>2931</v>
      </c>
      <c r="BP15" s="2231">
        <v>1554</v>
      </c>
      <c r="BQ15" s="2527">
        <v>1367</v>
      </c>
      <c r="BR15" s="1846">
        <v>1646</v>
      </c>
      <c r="BS15" s="1367">
        <v>2230</v>
      </c>
      <c r="BT15" s="1367">
        <v>3575</v>
      </c>
      <c r="BU15" s="1317">
        <v>4951</v>
      </c>
      <c r="BV15" s="1317">
        <v>2788</v>
      </c>
      <c r="BW15" s="1317">
        <v>2856</v>
      </c>
      <c r="BX15" s="1317">
        <v>3416</v>
      </c>
      <c r="BY15" s="1317">
        <v>4029</v>
      </c>
      <c r="BZ15" s="2166">
        <v>1269</v>
      </c>
      <c r="CA15" s="2166">
        <v>0</v>
      </c>
      <c r="CB15" s="2166">
        <v>0</v>
      </c>
      <c r="CC15" s="1153"/>
      <c r="CE15" s="1920">
        <v>161</v>
      </c>
      <c r="CF15" s="1180">
        <v>0.25967741935483873</v>
      </c>
      <c r="CG15" s="1180">
        <v>-217</v>
      </c>
      <c r="CH15" s="1180">
        <v>-0.34690483368505681</v>
      </c>
      <c r="CJ15" s="1920">
        <v>2071</v>
      </c>
      <c r="CK15" s="1315">
        <v>334.52</v>
      </c>
      <c r="CL15" s="1920"/>
      <c r="CM15" s="1315">
        <v>-585.48</v>
      </c>
      <c r="CN15" s="1315">
        <v>-0.19574724172517552</v>
      </c>
      <c r="CO15" s="1315">
        <v>0</v>
      </c>
      <c r="CP15" s="1180">
        <v>0</v>
      </c>
    </row>
    <row r="16" spans="1:94" ht="12.75" customHeight="1" x14ac:dyDescent="0.2">
      <c r="A16" s="948"/>
      <c r="B16" s="946"/>
      <c r="C16" s="1189">
        <v>11029</v>
      </c>
      <c r="D16" s="1190">
        <v>0.23571779691807904</v>
      </c>
      <c r="E16" s="920"/>
      <c r="F16" s="2959">
        <v>57818</v>
      </c>
      <c r="G16" s="1158">
        <v>53636</v>
      </c>
      <c r="H16" s="1238">
        <v>54202</v>
      </c>
      <c r="I16" s="1238">
        <v>52199</v>
      </c>
      <c r="J16" s="1240">
        <v>46789</v>
      </c>
      <c r="K16" s="1238">
        <v>51455</v>
      </c>
      <c r="L16" s="1238">
        <v>48428</v>
      </c>
      <c r="M16" s="1238">
        <v>32081</v>
      </c>
      <c r="N16" s="1240">
        <v>36918</v>
      </c>
      <c r="O16" s="1238">
        <v>40268</v>
      </c>
      <c r="P16" s="1238">
        <v>32819</v>
      </c>
      <c r="Q16" s="1238">
        <v>29732</v>
      </c>
      <c r="R16" s="1240">
        <v>29473</v>
      </c>
      <c r="S16" s="1944">
        <v>25521</v>
      </c>
      <c r="T16" s="1238">
        <v>25616</v>
      </c>
      <c r="U16" s="1238">
        <v>26155</v>
      </c>
      <c r="V16" s="1240">
        <v>30916</v>
      </c>
      <c r="W16" s="1238">
        <v>33079</v>
      </c>
      <c r="X16" s="1238">
        <v>28267</v>
      </c>
      <c r="Y16" s="1238">
        <v>31637</v>
      </c>
      <c r="Z16" s="1239">
        <v>32356</v>
      </c>
      <c r="AA16" s="1825">
        <v>32016</v>
      </c>
      <c r="AB16" s="1238">
        <v>27719</v>
      </c>
      <c r="AC16" s="1238">
        <v>24413</v>
      </c>
      <c r="AD16" s="1240">
        <v>26842</v>
      </c>
      <c r="AE16" s="1238">
        <v>32223</v>
      </c>
      <c r="AF16" s="1238">
        <v>35051</v>
      </c>
      <c r="AG16" s="1238">
        <v>35814</v>
      </c>
      <c r="AH16" s="1240">
        <v>36767</v>
      </c>
      <c r="AI16" s="1238">
        <v>52537</v>
      </c>
      <c r="AJ16" s="1238">
        <v>44571</v>
      </c>
      <c r="AK16" s="1238">
        <v>47412</v>
      </c>
      <c r="AL16" s="1240">
        <v>54783</v>
      </c>
      <c r="AM16" s="1238">
        <v>72704</v>
      </c>
      <c r="AN16" s="1238">
        <v>68599</v>
      </c>
      <c r="AO16" s="1238">
        <v>44539</v>
      </c>
      <c r="AP16" s="1240">
        <v>47207</v>
      </c>
      <c r="AQ16" s="1238">
        <v>54990</v>
      </c>
      <c r="AR16" s="1238">
        <v>51733</v>
      </c>
      <c r="AS16" s="1238">
        <v>40138</v>
      </c>
      <c r="AT16" s="1240">
        <v>40185</v>
      </c>
      <c r="AU16" s="1238">
        <v>37255</v>
      </c>
      <c r="AV16" s="1238">
        <v>33532</v>
      </c>
      <c r="AW16" s="1238">
        <v>43844</v>
      </c>
      <c r="AX16" s="1240">
        <v>57853</v>
      </c>
      <c r="AY16" s="1384">
        <v>54463</v>
      </c>
      <c r="AZ16" s="1266">
        <v>61166</v>
      </c>
      <c r="BA16" s="1266">
        <v>57415</v>
      </c>
      <c r="BB16" s="1266">
        <v>76083</v>
      </c>
      <c r="BC16" s="1243">
        <v>75876</v>
      </c>
      <c r="BD16" s="1240">
        <v>68831</v>
      </c>
      <c r="BE16" s="1240">
        <v>55626</v>
      </c>
      <c r="BF16" s="1240">
        <v>72286</v>
      </c>
      <c r="BG16" s="1034"/>
      <c r="BH16" s="1826">
        <v>206826</v>
      </c>
      <c r="BI16" s="1826">
        <v>168882</v>
      </c>
      <c r="BJ16" s="1395">
        <v>37944</v>
      </c>
      <c r="BK16" s="1190">
        <v>0.22467758553309411</v>
      </c>
      <c r="BL16" s="1201"/>
      <c r="BM16" s="2538">
        <v>206826</v>
      </c>
      <c r="BN16" s="1942">
        <v>168882</v>
      </c>
      <c r="BO16" s="1942">
        <v>132292</v>
      </c>
      <c r="BP16" s="1942">
        <v>108208</v>
      </c>
      <c r="BQ16" s="1386">
        <v>125339</v>
      </c>
      <c r="BR16" s="1386">
        <v>110990</v>
      </c>
      <c r="BS16" s="1386">
        <v>139855</v>
      </c>
      <c r="BT16" s="1386">
        <v>199303</v>
      </c>
      <c r="BU16" s="2032">
        <v>233049</v>
      </c>
      <c r="BV16" s="2032">
        <v>187046</v>
      </c>
      <c r="BW16" s="2032">
        <v>172484</v>
      </c>
      <c r="BX16" s="2032">
        <v>249127</v>
      </c>
      <c r="BY16" s="2032">
        <v>272619</v>
      </c>
      <c r="BZ16" s="2167">
        <v>225194</v>
      </c>
      <c r="CA16" s="2167">
        <v>178176</v>
      </c>
      <c r="CB16" s="2167">
        <v>175983</v>
      </c>
      <c r="CC16" s="1153"/>
      <c r="CE16" s="1920">
        <v>15609</v>
      </c>
      <c r="CF16" s="1180">
        <v>0.4756086413358116</v>
      </c>
      <c r="CG16" s="1180">
        <v>-4580</v>
      </c>
      <c r="CH16" s="1180">
        <v>-0.23989084441773256</v>
      </c>
      <c r="CJ16" s="1920">
        <v>117427</v>
      </c>
      <c r="CK16" s="1315">
        <v>89399</v>
      </c>
      <c r="CL16" s="1920"/>
      <c r="CM16" s="1315">
        <v>37944</v>
      </c>
      <c r="CN16" s="1315">
        <v>0.22467758553309411</v>
      </c>
      <c r="CO16" s="1315">
        <v>0</v>
      </c>
      <c r="CP16" s="1180">
        <v>0</v>
      </c>
    </row>
    <row r="17" spans="1:94" ht="12.75" customHeight="1" x14ac:dyDescent="0.2">
      <c r="A17" s="947" t="s">
        <v>5</v>
      </c>
      <c r="B17" s="946"/>
      <c r="C17" s="957"/>
      <c r="D17" s="1035"/>
      <c r="E17" s="920"/>
      <c r="F17" s="2222"/>
      <c r="G17" s="2967"/>
      <c r="H17" s="2909"/>
      <c r="I17" s="2909"/>
      <c r="J17" s="1382"/>
      <c r="K17" s="1230"/>
      <c r="L17" s="1230"/>
      <c r="M17" s="1230"/>
      <c r="N17" s="1231"/>
      <c r="O17" s="1230"/>
      <c r="P17" s="1230"/>
      <c r="Q17" s="1230"/>
      <c r="R17" s="1231"/>
      <c r="S17" s="1930"/>
      <c r="T17" s="1230"/>
      <c r="U17" s="1230"/>
      <c r="V17" s="1231"/>
      <c r="W17" s="1230"/>
      <c r="X17" s="1230"/>
      <c r="Y17" s="1230"/>
      <c r="Z17" s="1231"/>
      <c r="AA17" s="1230"/>
      <c r="AB17" s="1230"/>
      <c r="AC17" s="1230"/>
      <c r="AD17" s="1231"/>
      <c r="AE17" s="1230"/>
      <c r="AF17" s="1230"/>
      <c r="AG17" s="1230"/>
      <c r="AH17" s="1231"/>
      <c r="AI17" s="1230"/>
      <c r="AJ17" s="1230"/>
      <c r="AK17" s="1230"/>
      <c r="AL17" s="1231"/>
      <c r="AM17" s="1230"/>
      <c r="AN17" s="1230"/>
      <c r="AO17" s="1230"/>
      <c r="AP17" s="1231"/>
      <c r="AQ17" s="1230"/>
      <c r="AR17" s="1230"/>
      <c r="AS17" s="1230"/>
      <c r="AT17" s="1231"/>
      <c r="AU17" s="1230"/>
      <c r="AV17" s="1230"/>
      <c r="AW17" s="1230"/>
      <c r="AX17" s="1231"/>
      <c r="AY17" s="1196"/>
      <c r="AZ17" s="1270"/>
      <c r="BA17" s="1270"/>
      <c r="BB17" s="1270"/>
      <c r="BC17" s="1237"/>
      <c r="BD17" s="1231"/>
      <c r="BE17" s="1231"/>
      <c r="BF17" s="1231"/>
      <c r="BG17" s="1034"/>
      <c r="BH17" s="1007"/>
      <c r="BI17" s="1007">
        <v>0</v>
      </c>
      <c r="BJ17" s="1006"/>
      <c r="BK17" s="1035"/>
      <c r="BL17" s="1201"/>
      <c r="BM17" s="2903"/>
      <c r="BN17" s="1412"/>
      <c r="BO17" s="1412"/>
      <c r="BP17" s="1412"/>
      <c r="BQ17" s="1412"/>
      <c r="BR17" s="1434"/>
      <c r="BS17" s="1434"/>
      <c r="BT17" s="1434"/>
      <c r="BU17" s="1331"/>
      <c r="BV17" s="1331"/>
      <c r="BW17" s="1331"/>
      <c r="BX17" s="1317"/>
      <c r="BY17" s="1317"/>
      <c r="BZ17" s="2166"/>
      <c r="CA17" s="2166"/>
      <c r="CB17" s="2166"/>
      <c r="CC17" s="1153"/>
      <c r="CE17" s="1920"/>
      <c r="CJ17" s="1920"/>
      <c r="CK17" s="1315"/>
      <c r="CL17" s="1920"/>
      <c r="CM17" s="1315"/>
      <c r="CN17" s="1315"/>
      <c r="CO17" s="1315"/>
    </row>
    <row r="18" spans="1:94" ht="12.75" hidden="1" customHeight="1" x14ac:dyDescent="0.2">
      <c r="A18" s="947"/>
      <c r="B18" s="946" t="s">
        <v>292</v>
      </c>
      <c r="C18" s="957">
        <v>5795</v>
      </c>
      <c r="D18" s="1035">
        <v>0.24953709684364639</v>
      </c>
      <c r="E18" s="920"/>
      <c r="F18" s="2223">
        <v>29018</v>
      </c>
      <c r="G18" s="1155">
        <v>26048</v>
      </c>
      <c r="H18" s="1230">
        <v>27686</v>
      </c>
      <c r="I18" s="1230">
        <v>27059</v>
      </c>
      <c r="J18" s="1231">
        <v>23223</v>
      </c>
      <c r="K18" s="1230">
        <v>26346</v>
      </c>
      <c r="L18" s="1230">
        <v>24890</v>
      </c>
      <c r="M18" s="1230">
        <v>16110</v>
      </c>
      <c r="N18" s="1231">
        <v>18084</v>
      </c>
      <c r="O18" s="1230">
        <v>21551</v>
      </c>
      <c r="P18" s="1230">
        <v>15459</v>
      </c>
      <c r="Q18" s="1230">
        <v>14364</v>
      </c>
      <c r="R18" s="1231">
        <v>14535</v>
      </c>
      <c r="S18" s="1930">
        <v>11613</v>
      </c>
      <c r="T18" s="1230">
        <v>11831</v>
      </c>
      <c r="U18" s="1230">
        <v>12250</v>
      </c>
      <c r="V18" s="1231">
        <v>15747</v>
      </c>
      <c r="W18" s="1230">
        <v>16633</v>
      </c>
      <c r="X18" s="1230">
        <v>13690</v>
      </c>
      <c r="Y18" s="1230">
        <v>15480</v>
      </c>
      <c r="Z18" s="1231">
        <v>16487</v>
      </c>
      <c r="AA18" s="1230">
        <v>15508</v>
      </c>
      <c r="AB18" s="1230">
        <v>13476</v>
      </c>
      <c r="AC18" s="1230">
        <v>12048</v>
      </c>
      <c r="AD18" s="1231">
        <v>12789</v>
      </c>
      <c r="AE18" s="1230">
        <v>15948</v>
      </c>
      <c r="AF18" s="1230">
        <v>16167</v>
      </c>
      <c r="AG18" s="1230">
        <v>17541</v>
      </c>
      <c r="AH18" s="1231">
        <v>17968</v>
      </c>
      <c r="AI18" s="1230">
        <v>24803</v>
      </c>
      <c r="AJ18" s="1230">
        <v>21369</v>
      </c>
      <c r="AK18" s="1230">
        <v>22217</v>
      </c>
      <c r="AL18" s="1231">
        <v>27227</v>
      </c>
      <c r="AM18" s="1230">
        <v>33880</v>
      </c>
      <c r="AN18" s="1230">
        <v>33144</v>
      </c>
      <c r="AO18" s="1230">
        <v>20664</v>
      </c>
      <c r="AP18" s="1231"/>
      <c r="AQ18" s="1230"/>
      <c r="AR18" s="1230"/>
      <c r="AS18" s="1230"/>
      <c r="AT18" s="1231"/>
      <c r="AU18" s="1230"/>
      <c r="AV18" s="1230"/>
      <c r="AW18" s="1230"/>
      <c r="AX18" s="1231"/>
      <c r="AY18" s="1196"/>
      <c r="AZ18" s="1270"/>
      <c r="BA18" s="1270"/>
      <c r="BB18" s="1270"/>
      <c r="BC18" s="1237"/>
      <c r="BD18" s="1231"/>
      <c r="BE18" s="1231"/>
      <c r="BF18" s="1231"/>
      <c r="BG18" s="1034"/>
      <c r="BH18" s="1007">
        <v>104016</v>
      </c>
      <c r="BI18" s="1007">
        <v>85430</v>
      </c>
      <c r="BJ18" s="1006">
        <v>18586</v>
      </c>
      <c r="BK18" s="1035">
        <v>0.21755823481212688</v>
      </c>
      <c r="BL18" s="1201"/>
      <c r="BM18" s="2527">
        <v>104016</v>
      </c>
      <c r="BN18" s="2231">
        <v>85430</v>
      </c>
      <c r="BO18" s="2231">
        <v>65909</v>
      </c>
      <c r="BP18" s="2231">
        <v>51441</v>
      </c>
      <c r="BQ18" s="2527">
        <v>62290</v>
      </c>
      <c r="BR18" s="1846">
        <v>53821</v>
      </c>
      <c r="BS18" s="1367">
        <v>67624</v>
      </c>
      <c r="BT18" s="1367">
        <v>95616</v>
      </c>
      <c r="BU18" s="1317">
        <v>110021</v>
      </c>
      <c r="BV18" s="1317">
        <v>83777</v>
      </c>
      <c r="BW18" s="1317">
        <v>74307</v>
      </c>
      <c r="BX18" s="1317">
        <v>111803</v>
      </c>
      <c r="BY18" s="1317"/>
      <c r="BZ18" s="2166"/>
      <c r="CA18" s="2166"/>
      <c r="CB18" s="2166"/>
      <c r="CC18" s="1153"/>
      <c r="CE18" s="1920">
        <v>9431</v>
      </c>
      <c r="CF18" s="1180">
        <v>0.61006533410958019</v>
      </c>
      <c r="CG18" s="1180">
        <v>-3636</v>
      </c>
      <c r="CH18" s="1180">
        <v>-0.3605282372659338</v>
      </c>
      <c r="CJ18" s="1920">
        <v>59084</v>
      </c>
      <c r="CK18" s="1315">
        <v>44932</v>
      </c>
      <c r="CL18" s="1920"/>
      <c r="CM18" s="1315">
        <v>18586</v>
      </c>
      <c r="CN18" s="1315">
        <v>0.21755823481212688</v>
      </c>
      <c r="CO18" s="1315">
        <v>0</v>
      </c>
      <c r="CP18" s="1180">
        <v>0</v>
      </c>
    </row>
    <row r="19" spans="1:94" ht="12.75" hidden="1" customHeight="1" x14ac:dyDescent="0.2">
      <c r="A19" s="947"/>
      <c r="B19" s="946" t="s">
        <v>293</v>
      </c>
      <c r="C19" s="1191">
        <v>279</v>
      </c>
      <c r="D19" s="1192">
        <v>1.7770700636942676</v>
      </c>
      <c r="E19" s="920"/>
      <c r="F19" s="2240">
        <v>436</v>
      </c>
      <c r="G19" s="1161">
        <v>286</v>
      </c>
      <c r="H19" s="1250">
        <v>221</v>
      </c>
      <c r="I19" s="1250">
        <v>88</v>
      </c>
      <c r="J19" s="1251">
        <v>157</v>
      </c>
      <c r="K19" s="1250">
        <v>331</v>
      </c>
      <c r="L19" s="1250">
        <v>178</v>
      </c>
      <c r="M19" s="1250">
        <v>251</v>
      </c>
      <c r="N19" s="1251">
        <v>192</v>
      </c>
      <c r="O19" s="1250">
        <v>222</v>
      </c>
      <c r="P19" s="1250">
        <v>174</v>
      </c>
      <c r="Q19" s="1250">
        <v>266</v>
      </c>
      <c r="R19" s="1251">
        <v>162</v>
      </c>
      <c r="S19" s="1931">
        <v>40</v>
      </c>
      <c r="T19" s="1250">
        <v>88</v>
      </c>
      <c r="U19" s="1250">
        <v>77</v>
      </c>
      <c r="V19" s="1251">
        <v>61</v>
      </c>
      <c r="W19" s="1252">
        <v>-266</v>
      </c>
      <c r="X19" s="1250">
        <v>290</v>
      </c>
      <c r="Y19" s="1250">
        <v>229</v>
      </c>
      <c r="Z19" s="1251">
        <v>270</v>
      </c>
      <c r="AA19" s="1250">
        <v>1250</v>
      </c>
      <c r="AB19" s="1250">
        <v>598</v>
      </c>
      <c r="AC19" s="1250">
        <v>557</v>
      </c>
      <c r="AD19" s="1251">
        <v>295</v>
      </c>
      <c r="AE19" s="1250">
        <v>1365</v>
      </c>
      <c r="AF19" s="1250">
        <v>2014</v>
      </c>
      <c r="AG19" s="1250">
        <v>2256</v>
      </c>
      <c r="AH19" s="1251">
        <v>1064</v>
      </c>
      <c r="AI19" s="1250">
        <v>1048</v>
      </c>
      <c r="AJ19" s="1250">
        <v>1175</v>
      </c>
      <c r="AK19" s="1250">
        <v>1559</v>
      </c>
      <c r="AL19" s="1251">
        <v>999</v>
      </c>
      <c r="AM19" s="1250">
        <v>1641</v>
      </c>
      <c r="AN19" s="1250">
        <v>2757</v>
      </c>
      <c r="AO19" s="1250">
        <v>897</v>
      </c>
      <c r="AP19" s="1231"/>
      <c r="AQ19" s="1230"/>
      <c r="AR19" s="1230"/>
      <c r="AS19" s="1230"/>
      <c r="AT19" s="1231"/>
      <c r="AU19" s="1230"/>
      <c r="AV19" s="1230"/>
      <c r="AW19" s="1230"/>
      <c r="AX19" s="1231"/>
      <c r="AY19" s="1196"/>
      <c r="AZ19" s="1270"/>
      <c r="BA19" s="1270"/>
      <c r="BB19" s="1270"/>
      <c r="BC19" s="1237"/>
      <c r="BD19" s="1231"/>
      <c r="BE19" s="1231"/>
      <c r="BF19" s="1231"/>
      <c r="BG19" s="1034"/>
      <c r="BH19" s="1308">
        <v>752</v>
      </c>
      <c r="BI19" s="1308">
        <v>952</v>
      </c>
      <c r="BJ19" s="1303">
        <v>-200</v>
      </c>
      <c r="BK19" s="1192">
        <v>-0.21008403361344538</v>
      </c>
      <c r="BL19" s="1201"/>
      <c r="BM19" s="2524">
        <v>752</v>
      </c>
      <c r="BN19" s="2524">
        <v>952</v>
      </c>
      <c r="BO19" s="2524">
        <v>824</v>
      </c>
      <c r="BP19" s="2524">
        <v>266</v>
      </c>
      <c r="BQ19" s="2524">
        <v>523</v>
      </c>
      <c r="BR19" s="1827">
        <v>2700</v>
      </c>
      <c r="BS19" s="1380">
        <v>6699</v>
      </c>
      <c r="BT19" s="1380">
        <v>4781</v>
      </c>
      <c r="BU19" s="2029">
        <v>6243</v>
      </c>
      <c r="BV19" s="2029">
        <v>4813</v>
      </c>
      <c r="BW19" s="2029">
        <v>76</v>
      </c>
      <c r="BX19" s="2029">
        <v>3837</v>
      </c>
      <c r="BY19" s="1317"/>
      <c r="BZ19" s="2166"/>
      <c r="CA19" s="2166"/>
      <c r="CB19" s="2166"/>
      <c r="CC19" s="1153"/>
      <c r="CE19" s="1920">
        <v>4</v>
      </c>
      <c r="CF19" s="1180">
        <v>2.2988505747126436E-2</v>
      </c>
      <c r="CG19" s="1180">
        <v>275</v>
      </c>
      <c r="CH19" s="1180">
        <v>1.7540815579471412</v>
      </c>
      <c r="CJ19" s="1920">
        <v>621</v>
      </c>
      <c r="CK19" s="1315">
        <v>131</v>
      </c>
      <c r="CL19" s="1920"/>
      <c r="CM19" s="1315">
        <v>-200</v>
      </c>
      <c r="CN19" s="1315">
        <v>-0.21008403361344538</v>
      </c>
      <c r="CO19" s="1315">
        <v>0</v>
      </c>
      <c r="CP19" s="1180">
        <v>0</v>
      </c>
    </row>
    <row r="20" spans="1:94" ht="12.75" hidden="1" customHeight="1" x14ac:dyDescent="0.2">
      <c r="A20" s="948"/>
      <c r="B20" s="1201" t="s">
        <v>636</v>
      </c>
      <c r="C20" s="957">
        <v>6074</v>
      </c>
      <c r="D20" s="1035">
        <v>0.25979469632164243</v>
      </c>
      <c r="E20" s="920"/>
      <c r="F20" s="2223">
        <v>29454</v>
      </c>
      <c r="G20" s="1155">
        <v>26334</v>
      </c>
      <c r="H20" s="1230">
        <v>27907</v>
      </c>
      <c r="I20" s="1230">
        <v>27147</v>
      </c>
      <c r="J20" s="1258">
        <v>23380</v>
      </c>
      <c r="K20" s="1230">
        <v>26677</v>
      </c>
      <c r="L20" s="1230">
        <v>25068</v>
      </c>
      <c r="M20" s="1230">
        <v>16361</v>
      </c>
      <c r="N20" s="1258">
        <v>18276</v>
      </c>
      <c r="O20" s="1230">
        <v>21773</v>
      </c>
      <c r="P20" s="1230">
        <v>15633</v>
      </c>
      <c r="Q20" s="1230">
        <v>14630</v>
      </c>
      <c r="R20" s="1258">
        <v>14697</v>
      </c>
      <c r="S20" s="1930">
        <v>11653</v>
      </c>
      <c r="T20" s="1230">
        <v>11919</v>
      </c>
      <c r="U20" s="1230">
        <v>12327</v>
      </c>
      <c r="V20" s="1258">
        <v>15808</v>
      </c>
      <c r="W20" s="1230">
        <v>16367</v>
      </c>
      <c r="X20" s="1230">
        <v>13980</v>
      </c>
      <c r="Y20" s="1230">
        <v>15709</v>
      </c>
      <c r="Z20" s="1258">
        <v>16757</v>
      </c>
      <c r="AA20" s="1230">
        <v>16758</v>
      </c>
      <c r="AB20" s="1230">
        <v>14074</v>
      </c>
      <c r="AC20" s="1230">
        <v>12605</v>
      </c>
      <c r="AD20" s="1231">
        <v>13084</v>
      </c>
      <c r="AE20" s="1230">
        <v>17313</v>
      </c>
      <c r="AF20" s="1230">
        <v>18181</v>
      </c>
      <c r="AG20" s="1230">
        <v>19797</v>
      </c>
      <c r="AH20" s="1231">
        <v>19032</v>
      </c>
      <c r="AI20" s="1230">
        <v>25851</v>
      </c>
      <c r="AJ20" s="1230">
        <v>22544</v>
      </c>
      <c r="AK20" s="1230">
        <v>23776</v>
      </c>
      <c r="AL20" s="1231">
        <v>28226</v>
      </c>
      <c r="AM20" s="1230">
        <v>35521</v>
      </c>
      <c r="AN20" s="1230">
        <v>35901</v>
      </c>
      <c r="AO20" s="1230">
        <v>21561</v>
      </c>
      <c r="AP20" s="1231">
        <v>23281</v>
      </c>
      <c r="AQ20" s="1230">
        <v>26203</v>
      </c>
      <c r="AR20" s="1230">
        <v>24376</v>
      </c>
      <c r="AS20" s="1230">
        <v>19368</v>
      </c>
      <c r="AT20" s="1231">
        <v>18643</v>
      </c>
      <c r="AU20" s="1230">
        <v>13122</v>
      </c>
      <c r="AV20" s="1230">
        <v>14195</v>
      </c>
      <c r="AW20" s="1230">
        <v>20116</v>
      </c>
      <c r="AX20" s="1231">
        <v>26950</v>
      </c>
      <c r="AY20" s="1196">
        <v>24166</v>
      </c>
      <c r="AZ20" s="1270">
        <v>28443</v>
      </c>
      <c r="BA20" s="1270">
        <v>25351</v>
      </c>
      <c r="BB20" s="1270">
        <v>37680</v>
      </c>
      <c r="BC20" s="1237">
        <v>36567</v>
      </c>
      <c r="BD20" s="1231">
        <v>31848</v>
      </c>
      <c r="BE20" s="1231">
        <v>24885</v>
      </c>
      <c r="BF20" s="1231">
        <v>33368</v>
      </c>
      <c r="BG20" s="1034"/>
      <c r="BH20" s="1007">
        <v>104768</v>
      </c>
      <c r="BI20" s="1007">
        <v>86382</v>
      </c>
      <c r="BJ20" s="1006">
        <v>18386</v>
      </c>
      <c r="BK20" s="1035">
        <v>0.2128452686902364</v>
      </c>
      <c r="BL20" s="1201"/>
      <c r="BM20" s="2231">
        <v>104768</v>
      </c>
      <c r="BN20" s="1209">
        <v>86382</v>
      </c>
      <c r="BO20" s="1209">
        <v>66733</v>
      </c>
      <c r="BP20" s="1209">
        <v>51707</v>
      </c>
      <c r="BQ20" s="1367">
        <v>62813</v>
      </c>
      <c r="BR20" s="1367">
        <v>56521</v>
      </c>
      <c r="BS20" s="1367">
        <v>74323</v>
      </c>
      <c r="BT20" s="1367">
        <v>100397</v>
      </c>
      <c r="BU20" s="1317">
        <v>116264</v>
      </c>
      <c r="BV20" s="1317">
        <v>88590</v>
      </c>
      <c r="BW20" s="1317">
        <v>74383</v>
      </c>
      <c r="BX20" s="1317">
        <v>115640</v>
      </c>
      <c r="BY20" s="1317">
        <v>126668</v>
      </c>
      <c r="BZ20" s="2166">
        <v>105283</v>
      </c>
      <c r="CA20" s="2166">
        <v>84396</v>
      </c>
      <c r="CB20" s="2166">
        <v>82758</v>
      </c>
      <c r="CC20" s="1153"/>
      <c r="CE20" s="1920">
        <v>9435</v>
      </c>
      <c r="CF20" s="1180">
        <v>0.60353099213202843</v>
      </c>
      <c r="CG20" s="1180">
        <v>-3361</v>
      </c>
      <c r="CH20" s="1180">
        <v>-0.34373629581038601</v>
      </c>
      <c r="CJ20" s="1920">
        <v>59705</v>
      </c>
      <c r="CK20" s="1315">
        <v>45063</v>
      </c>
      <c r="CL20" s="1920"/>
      <c r="CM20" s="1315">
        <v>18386</v>
      </c>
      <c r="CN20" s="1315">
        <v>0.2128452686902364</v>
      </c>
      <c r="CO20" s="1315">
        <v>0</v>
      </c>
      <c r="CP20" s="1180">
        <v>0</v>
      </c>
    </row>
    <row r="21" spans="1:94" ht="12.75" hidden="1" customHeight="1" x14ac:dyDescent="0.2">
      <c r="A21" s="948"/>
      <c r="B21" s="954" t="s">
        <v>64</v>
      </c>
      <c r="C21" s="957">
        <v>811</v>
      </c>
      <c r="D21" s="1035">
        <v>0.25131701270529905</v>
      </c>
      <c r="E21" s="920"/>
      <c r="F21" s="2223">
        <v>4038</v>
      </c>
      <c r="G21" s="1155">
        <v>4335</v>
      </c>
      <c r="H21" s="1230">
        <v>3513</v>
      </c>
      <c r="I21" s="1230">
        <v>3017</v>
      </c>
      <c r="J21" s="1231">
        <v>3227</v>
      </c>
      <c r="K21" s="1230">
        <v>3423</v>
      </c>
      <c r="L21" s="1230">
        <v>2586</v>
      </c>
      <c r="M21" s="1230">
        <v>2511</v>
      </c>
      <c r="N21" s="1231">
        <v>2795</v>
      </c>
      <c r="O21" s="1230">
        <v>3034</v>
      </c>
      <c r="P21" s="1230">
        <v>2767</v>
      </c>
      <c r="Q21" s="1230">
        <v>2469</v>
      </c>
      <c r="R21" s="1231">
        <v>3065</v>
      </c>
      <c r="S21" s="1930">
        <v>3265</v>
      </c>
      <c r="T21" s="1230">
        <v>2727</v>
      </c>
      <c r="U21" s="1230">
        <v>2738</v>
      </c>
      <c r="V21" s="1231">
        <v>2922</v>
      </c>
      <c r="W21" s="1230">
        <v>3473</v>
      </c>
      <c r="X21" s="1230">
        <v>2565</v>
      </c>
      <c r="Y21" s="1230">
        <v>2887</v>
      </c>
      <c r="Z21" s="1231">
        <v>3263</v>
      </c>
      <c r="AA21" s="1230">
        <v>3987</v>
      </c>
      <c r="AB21" s="1230">
        <v>2854</v>
      </c>
      <c r="AC21" s="1230">
        <v>2644</v>
      </c>
      <c r="AD21" s="1231">
        <v>3775</v>
      </c>
      <c r="AE21" s="1230">
        <v>3521</v>
      </c>
      <c r="AF21" s="1230">
        <v>3216</v>
      </c>
      <c r="AG21" s="1230">
        <v>3404</v>
      </c>
      <c r="AH21" s="1231">
        <v>3704</v>
      </c>
      <c r="AI21" s="1230">
        <v>4557</v>
      </c>
      <c r="AJ21" s="1230">
        <v>3437</v>
      </c>
      <c r="AK21" s="1230">
        <v>3327</v>
      </c>
      <c r="AL21" s="1231">
        <v>3938</v>
      </c>
      <c r="AM21" s="1230">
        <v>5565</v>
      </c>
      <c r="AN21" s="1230">
        <v>3601</v>
      </c>
      <c r="AO21" s="1230">
        <v>4817</v>
      </c>
      <c r="AP21" s="1231">
        <v>3882</v>
      </c>
      <c r="AQ21" s="1230">
        <v>5573</v>
      </c>
      <c r="AR21" s="1230">
        <v>4015</v>
      </c>
      <c r="AS21" s="1230">
        <v>4360</v>
      </c>
      <c r="AT21" s="1231">
        <v>4246</v>
      </c>
      <c r="AU21" s="1230">
        <v>4505</v>
      </c>
      <c r="AV21" s="1230">
        <v>3057</v>
      </c>
      <c r="AW21" s="1230">
        <v>3477</v>
      </c>
      <c r="AX21" s="1231">
        <v>3781</v>
      </c>
      <c r="AY21" s="1196">
        <v>4683</v>
      </c>
      <c r="AZ21" s="1270">
        <v>3272</v>
      </c>
      <c r="BA21" s="1270">
        <v>3510</v>
      </c>
      <c r="BB21" s="1270">
        <v>4049</v>
      </c>
      <c r="BC21" s="1237">
        <v>4303</v>
      </c>
      <c r="BD21" s="1231">
        <v>3039</v>
      </c>
      <c r="BE21" s="1231">
        <v>2854</v>
      </c>
      <c r="BF21" s="1231">
        <v>3430</v>
      </c>
      <c r="BG21" s="1034"/>
      <c r="BH21" s="1007">
        <v>14092</v>
      </c>
      <c r="BI21" s="1007">
        <v>11315</v>
      </c>
      <c r="BJ21" s="1006">
        <v>2777</v>
      </c>
      <c r="BK21" s="1035">
        <v>0.24542642509942555</v>
      </c>
      <c r="BL21" s="1201"/>
      <c r="BM21" s="2231">
        <v>14092</v>
      </c>
      <c r="BN21" s="2231">
        <v>11315</v>
      </c>
      <c r="BO21" s="2231">
        <v>11335</v>
      </c>
      <c r="BP21" s="2231">
        <v>11652</v>
      </c>
      <c r="BQ21" s="2527">
        <v>12188</v>
      </c>
      <c r="BR21" s="1846">
        <v>13260</v>
      </c>
      <c r="BS21" s="1367">
        <v>13845</v>
      </c>
      <c r="BT21" s="1367">
        <v>15259</v>
      </c>
      <c r="BU21" s="1317">
        <v>17865</v>
      </c>
      <c r="BV21" s="1317">
        <v>18194</v>
      </c>
      <c r="BW21" s="1317">
        <v>14820</v>
      </c>
      <c r="BX21" s="1317">
        <v>15514</v>
      </c>
      <c r="BY21" s="1317">
        <v>13626</v>
      </c>
      <c r="BZ21" s="2166">
        <v>13053</v>
      </c>
      <c r="CA21" s="2166">
        <v>11158</v>
      </c>
      <c r="CB21" s="2166">
        <v>10157</v>
      </c>
      <c r="CC21" s="1153"/>
      <c r="CE21" s="1920">
        <v>-181</v>
      </c>
      <c r="CF21" s="1180">
        <v>-6.5413805565594507E-2</v>
      </c>
      <c r="CG21" s="1180">
        <v>992</v>
      </c>
      <c r="CH21" s="1180">
        <v>0.31673081827089355</v>
      </c>
      <c r="CJ21" s="1920">
        <v>7892</v>
      </c>
      <c r="CK21" s="1315">
        <v>6200</v>
      </c>
      <c r="CL21" s="1920"/>
      <c r="CM21" s="1315">
        <v>2777</v>
      </c>
      <c r="CN21" s="1315">
        <v>0.24542642509942555</v>
      </c>
      <c r="CO21" s="1315">
        <v>0</v>
      </c>
      <c r="CP21" s="1180">
        <v>0</v>
      </c>
    </row>
    <row r="22" spans="1:94" ht="12.75" customHeight="1" x14ac:dyDescent="0.2">
      <c r="A22" s="948"/>
      <c r="B22" s="1201" t="s">
        <v>715</v>
      </c>
      <c r="C22" s="957">
        <v>6885</v>
      </c>
      <c r="D22" s="1035">
        <v>0.25876649002142293</v>
      </c>
      <c r="E22" s="920"/>
      <c r="F22" s="2223">
        <v>33492</v>
      </c>
      <c r="G22" s="1155">
        <v>30669</v>
      </c>
      <c r="H22" s="1230">
        <v>31420</v>
      </c>
      <c r="I22" s="1230">
        <v>30164</v>
      </c>
      <c r="J22" s="1231">
        <v>26607</v>
      </c>
      <c r="K22" s="1155">
        <v>30100</v>
      </c>
      <c r="L22" s="1230">
        <v>27654</v>
      </c>
      <c r="M22" s="1230">
        <v>18872</v>
      </c>
      <c r="N22" s="1231">
        <v>21071</v>
      </c>
      <c r="O22" s="1230"/>
      <c r="P22" s="1230"/>
      <c r="Q22" s="1230"/>
      <c r="R22" s="1231"/>
      <c r="S22" s="1930"/>
      <c r="T22" s="1230"/>
      <c r="U22" s="1230"/>
      <c r="V22" s="1231"/>
      <c r="W22" s="1230"/>
      <c r="X22" s="1230"/>
      <c r="Y22" s="1230"/>
      <c r="Z22" s="1231"/>
      <c r="AA22" s="1230"/>
      <c r="AB22" s="1230"/>
      <c r="AC22" s="1230"/>
      <c r="AD22" s="1231"/>
      <c r="AE22" s="1230"/>
      <c r="AF22" s="1230"/>
      <c r="AG22" s="1230"/>
      <c r="AH22" s="1231"/>
      <c r="AI22" s="1230"/>
      <c r="AJ22" s="1230"/>
      <c r="AK22" s="1230"/>
      <c r="AL22" s="1231"/>
      <c r="AM22" s="1230"/>
      <c r="AN22" s="1230"/>
      <c r="AO22" s="1230"/>
      <c r="AP22" s="1231"/>
      <c r="AQ22" s="1230"/>
      <c r="AR22" s="1230"/>
      <c r="AS22" s="1230"/>
      <c r="AT22" s="1231"/>
      <c r="AU22" s="1230"/>
      <c r="AV22" s="1230"/>
      <c r="AW22" s="1230"/>
      <c r="AX22" s="1231"/>
      <c r="AY22" s="1196"/>
      <c r="AZ22" s="1270"/>
      <c r="BA22" s="1270"/>
      <c r="BB22" s="1270"/>
      <c r="BC22" s="1237"/>
      <c r="BD22" s="1231"/>
      <c r="BE22" s="1231"/>
      <c r="BF22" s="1231"/>
      <c r="BG22" s="1034"/>
      <c r="BH22" s="1007"/>
      <c r="BI22" s="1007"/>
      <c r="BJ22" s="1006"/>
      <c r="BK22" s="1035"/>
      <c r="BL22" s="1201"/>
      <c r="BM22" s="2231">
        <v>118860</v>
      </c>
      <c r="BN22" s="2231">
        <v>97697</v>
      </c>
      <c r="BO22" s="2231">
        <v>78068</v>
      </c>
      <c r="BP22" s="2231">
        <v>63359</v>
      </c>
      <c r="BQ22" s="2527">
        <v>75001</v>
      </c>
      <c r="BR22" s="1846"/>
      <c r="BS22" s="1367"/>
      <c r="BT22" s="1367"/>
      <c r="BU22" s="1317"/>
      <c r="BV22" s="1317"/>
      <c r="BW22" s="1317"/>
      <c r="BX22" s="1317"/>
      <c r="BY22" s="1317"/>
      <c r="BZ22" s="2166"/>
      <c r="CA22" s="2166"/>
      <c r="CB22" s="2166"/>
      <c r="CC22" s="1153"/>
      <c r="CE22" s="1920"/>
      <c r="CJ22" s="1920"/>
      <c r="CK22" s="1315"/>
      <c r="CL22" s="1920"/>
      <c r="CM22" s="1315"/>
      <c r="CN22" s="1315"/>
      <c r="CO22" s="1315"/>
    </row>
    <row r="23" spans="1:94" ht="12.75" customHeight="1" x14ac:dyDescent="0.2">
      <c r="A23" s="948"/>
      <c r="B23" s="954" t="s">
        <v>93</v>
      </c>
      <c r="C23" s="957">
        <v>909</v>
      </c>
      <c r="D23" s="1035">
        <v>0.32545649838882923</v>
      </c>
      <c r="E23" s="920"/>
      <c r="F23" s="2223">
        <v>3702</v>
      </c>
      <c r="G23" s="1155">
        <v>3825</v>
      </c>
      <c r="H23" s="1230">
        <v>3517</v>
      </c>
      <c r="I23" s="1230">
        <v>3142</v>
      </c>
      <c r="J23" s="1231">
        <v>2793</v>
      </c>
      <c r="K23" s="1230">
        <v>3294</v>
      </c>
      <c r="L23" s="1230">
        <v>3362</v>
      </c>
      <c r="M23" s="1230">
        <v>2425</v>
      </c>
      <c r="N23" s="1231">
        <v>3446</v>
      </c>
      <c r="O23" s="1230">
        <v>3840</v>
      </c>
      <c r="P23" s="1230">
        <v>3725</v>
      </c>
      <c r="Q23" s="1230">
        <v>2857</v>
      </c>
      <c r="R23" s="1231">
        <v>3047</v>
      </c>
      <c r="S23" s="1930">
        <v>3197</v>
      </c>
      <c r="T23" s="1230">
        <v>3015</v>
      </c>
      <c r="U23" s="1230">
        <v>2484</v>
      </c>
      <c r="V23" s="1231">
        <v>2455</v>
      </c>
      <c r="W23" s="1230">
        <v>3137</v>
      </c>
      <c r="X23" s="1230">
        <v>3426</v>
      </c>
      <c r="Y23" s="1230">
        <v>2857</v>
      </c>
      <c r="Z23" s="1231">
        <v>3080</v>
      </c>
      <c r="AA23" s="1230">
        <v>3794</v>
      </c>
      <c r="AB23" s="1230">
        <v>3423</v>
      </c>
      <c r="AC23" s="1230">
        <v>3657</v>
      </c>
      <c r="AD23" s="1231">
        <v>3089</v>
      </c>
      <c r="AE23" s="1230">
        <v>1242</v>
      </c>
      <c r="AF23" s="1230">
        <v>1421</v>
      </c>
      <c r="AG23" s="1230">
        <v>1222</v>
      </c>
      <c r="AH23" s="1231">
        <v>1552</v>
      </c>
      <c r="AI23" s="1230">
        <v>1546</v>
      </c>
      <c r="AJ23" s="1230">
        <v>1859</v>
      </c>
      <c r="AK23" s="1230">
        <v>1709</v>
      </c>
      <c r="AL23" s="1231">
        <v>2183</v>
      </c>
      <c r="AM23" s="1230">
        <v>2253</v>
      </c>
      <c r="AN23" s="1230">
        <v>2017</v>
      </c>
      <c r="AO23" s="1230">
        <v>1577</v>
      </c>
      <c r="AP23" s="1231">
        <v>2224</v>
      </c>
      <c r="AQ23" s="1230">
        <v>2320</v>
      </c>
      <c r="AR23" s="1230">
        <v>1910</v>
      </c>
      <c r="AS23" s="1230">
        <v>2120</v>
      </c>
      <c r="AT23" s="1231">
        <v>2156</v>
      </c>
      <c r="AU23" s="1230">
        <v>1697</v>
      </c>
      <c r="AV23" s="1230">
        <v>1856</v>
      </c>
      <c r="AW23" s="1230">
        <v>1606</v>
      </c>
      <c r="AX23" s="1231">
        <v>1849</v>
      </c>
      <c r="AY23" s="1196">
        <v>1694</v>
      </c>
      <c r="AZ23" s="1270">
        <v>2331</v>
      </c>
      <c r="BA23" s="1270">
        <v>2158</v>
      </c>
      <c r="BB23" s="1270">
        <v>2399</v>
      </c>
      <c r="BC23" s="1237">
        <v>2477</v>
      </c>
      <c r="BD23" s="1231">
        <v>2338</v>
      </c>
      <c r="BE23" s="1231">
        <v>2276</v>
      </c>
      <c r="BF23" s="1231">
        <v>3066</v>
      </c>
      <c r="BG23" s="1034"/>
      <c r="BH23" s="1007">
        <v>13277</v>
      </c>
      <c r="BI23" s="1007">
        <v>12527</v>
      </c>
      <c r="BJ23" s="1006">
        <v>750</v>
      </c>
      <c r="BK23" s="1035">
        <v>5.9870679332641494E-2</v>
      </c>
      <c r="BL23" s="1201"/>
      <c r="BM23" s="2231">
        <v>13277</v>
      </c>
      <c r="BN23" s="2231">
        <v>12527</v>
      </c>
      <c r="BO23" s="2231">
        <v>13469</v>
      </c>
      <c r="BP23" s="2231">
        <v>11151</v>
      </c>
      <c r="BQ23" s="2527">
        <v>12500</v>
      </c>
      <c r="BR23" s="1846">
        <v>13963</v>
      </c>
      <c r="BS23" s="1367">
        <v>5437</v>
      </c>
      <c r="BT23" s="1367">
        <v>7297</v>
      </c>
      <c r="BU23" s="1317">
        <v>8071</v>
      </c>
      <c r="BV23" s="1317">
        <v>8506</v>
      </c>
      <c r="BW23" s="1317">
        <v>7008</v>
      </c>
      <c r="BX23" s="1317">
        <v>8582</v>
      </c>
      <c r="BY23" s="1317">
        <v>10157</v>
      </c>
      <c r="BZ23" s="2166">
        <v>9013</v>
      </c>
      <c r="CA23" s="2166">
        <v>8802</v>
      </c>
      <c r="CB23" s="2166">
        <v>1308</v>
      </c>
      <c r="CC23" s="1153"/>
      <c r="CE23" s="1920">
        <v>-363</v>
      </c>
      <c r="CF23" s="1180">
        <v>-9.7449664429530194E-2</v>
      </c>
      <c r="CG23" s="1180">
        <v>1272</v>
      </c>
      <c r="CH23" s="1180">
        <v>0.42290616281835941</v>
      </c>
      <c r="CJ23" s="1920">
        <v>9233</v>
      </c>
      <c r="CK23" s="1315">
        <v>4044</v>
      </c>
      <c r="CL23" s="1920"/>
      <c r="CM23" s="1315">
        <v>750</v>
      </c>
      <c r="CN23" s="1315">
        <v>5.9870679332641494E-2</v>
      </c>
      <c r="CO23" s="1315">
        <v>0</v>
      </c>
      <c r="CP23" s="1180">
        <v>0</v>
      </c>
    </row>
    <row r="24" spans="1:94" ht="12.75" customHeight="1" x14ac:dyDescent="0.2">
      <c r="A24" s="948"/>
      <c r="B24" s="954" t="s">
        <v>66</v>
      </c>
      <c r="C24" s="957">
        <v>-838</v>
      </c>
      <c r="D24" s="1035">
        <v>-0.86391752577319592</v>
      </c>
      <c r="E24" s="920"/>
      <c r="F24" s="2223">
        <v>132</v>
      </c>
      <c r="G24" s="1155">
        <v>896</v>
      </c>
      <c r="H24" s="1230">
        <v>988</v>
      </c>
      <c r="I24" s="1230">
        <v>960</v>
      </c>
      <c r="J24" s="1231">
        <v>970</v>
      </c>
      <c r="K24" s="1230">
        <v>1032</v>
      </c>
      <c r="L24" s="1230">
        <v>1554</v>
      </c>
      <c r="M24" s="1230">
        <v>1031</v>
      </c>
      <c r="N24" s="1231">
        <v>1325</v>
      </c>
      <c r="O24" s="1230">
        <v>1405</v>
      </c>
      <c r="P24" s="1230">
        <v>1430</v>
      </c>
      <c r="Q24" s="1230">
        <v>1321</v>
      </c>
      <c r="R24" s="1231">
        <v>1359</v>
      </c>
      <c r="S24" s="1930">
        <v>1275</v>
      </c>
      <c r="T24" s="1230">
        <v>1138</v>
      </c>
      <c r="U24" s="1230">
        <v>1142</v>
      </c>
      <c r="V24" s="1231">
        <v>1091</v>
      </c>
      <c r="W24" s="1230">
        <v>1207</v>
      </c>
      <c r="X24" s="1230">
        <v>1403</v>
      </c>
      <c r="Y24" s="1230">
        <v>1500</v>
      </c>
      <c r="Z24" s="1231">
        <v>1490</v>
      </c>
      <c r="AA24" s="1230">
        <v>1306</v>
      </c>
      <c r="AB24" s="1230">
        <v>1398</v>
      </c>
      <c r="AC24" s="1230">
        <v>1381</v>
      </c>
      <c r="AD24" s="1231">
        <v>1444</v>
      </c>
      <c r="AE24" s="1230">
        <v>1386</v>
      </c>
      <c r="AF24" s="1230">
        <v>1292</v>
      </c>
      <c r="AG24" s="1230">
        <v>1834</v>
      </c>
      <c r="AH24" s="1231">
        <v>1891</v>
      </c>
      <c r="AI24" s="1230">
        <v>1822</v>
      </c>
      <c r="AJ24" s="1230">
        <v>1838</v>
      </c>
      <c r="AK24" s="1230">
        <v>1881</v>
      </c>
      <c r="AL24" s="1231">
        <v>1852</v>
      </c>
      <c r="AM24" s="1230">
        <v>2030</v>
      </c>
      <c r="AN24" s="1230">
        <v>1993</v>
      </c>
      <c r="AO24" s="1230">
        <v>2068</v>
      </c>
      <c r="AP24" s="1231">
        <v>1948</v>
      </c>
      <c r="AQ24" s="1230">
        <v>2016</v>
      </c>
      <c r="AR24" s="1230">
        <v>2074</v>
      </c>
      <c r="AS24" s="1230">
        <v>2075</v>
      </c>
      <c r="AT24" s="1231">
        <v>1951</v>
      </c>
      <c r="AU24" s="1230">
        <v>1822</v>
      </c>
      <c r="AV24" s="1230">
        <v>1632</v>
      </c>
      <c r="AW24" s="1230">
        <v>1702</v>
      </c>
      <c r="AX24" s="1231">
        <v>1632</v>
      </c>
      <c r="AY24" s="1196">
        <v>1630</v>
      </c>
      <c r="AZ24" s="1270">
        <v>1605</v>
      </c>
      <c r="BA24" s="1270">
        <v>1605</v>
      </c>
      <c r="BB24" s="1270">
        <v>1535</v>
      </c>
      <c r="BC24" s="1237">
        <v>1555</v>
      </c>
      <c r="BD24" s="1231">
        <v>1528</v>
      </c>
      <c r="BE24" s="1231">
        <v>1534</v>
      </c>
      <c r="BF24" s="1231">
        <v>1536</v>
      </c>
      <c r="BG24" s="1034"/>
      <c r="BH24" s="1007">
        <v>3814</v>
      </c>
      <c r="BI24" s="1007">
        <v>4942</v>
      </c>
      <c r="BJ24" s="1006">
        <v>-1128</v>
      </c>
      <c r="BK24" s="1035">
        <v>-0.22824767300687981</v>
      </c>
      <c r="BL24" s="1201"/>
      <c r="BM24" s="2231">
        <v>3814</v>
      </c>
      <c r="BN24" s="2231">
        <v>4942</v>
      </c>
      <c r="BO24" s="2231">
        <v>5515</v>
      </c>
      <c r="BP24" s="2231">
        <v>4646</v>
      </c>
      <c r="BQ24" s="2527">
        <v>5600</v>
      </c>
      <c r="BR24" s="1846">
        <v>5529</v>
      </c>
      <c r="BS24" s="1367">
        <v>6403</v>
      </c>
      <c r="BT24" s="1367">
        <v>7393</v>
      </c>
      <c r="BU24" s="1317">
        <v>8039</v>
      </c>
      <c r="BV24" s="1317">
        <v>8116</v>
      </c>
      <c r="BW24" s="1317">
        <v>6788</v>
      </c>
      <c r="BX24" s="1317">
        <v>6375</v>
      </c>
      <c r="BY24" s="1317">
        <v>6153</v>
      </c>
      <c r="BZ24" s="2166">
        <v>5464</v>
      </c>
      <c r="CA24" s="2166">
        <v>4653</v>
      </c>
      <c r="CB24" s="2166">
        <v>4742</v>
      </c>
      <c r="CC24" s="1153"/>
      <c r="CE24" s="1920">
        <v>124</v>
      </c>
      <c r="CF24" s="1180">
        <v>8.6713286713286708E-2</v>
      </c>
      <c r="CG24" s="1180">
        <v>-962</v>
      </c>
      <c r="CH24" s="1180">
        <v>-0.95063081248648262</v>
      </c>
      <c r="CJ24" s="1920">
        <v>3910</v>
      </c>
      <c r="CK24" s="1315">
        <v>-96</v>
      </c>
      <c r="CL24" s="1920"/>
      <c r="CM24" s="1315">
        <v>-1128</v>
      </c>
      <c r="CN24" s="1315">
        <v>-0.22824767300687981</v>
      </c>
      <c r="CO24" s="1315">
        <v>0</v>
      </c>
      <c r="CP24" s="1180">
        <v>0</v>
      </c>
    </row>
    <row r="25" spans="1:94" ht="12.75" customHeight="1" x14ac:dyDescent="0.2">
      <c r="A25" s="948"/>
      <c r="B25" s="954" t="s">
        <v>67</v>
      </c>
      <c r="C25" s="957">
        <v>194</v>
      </c>
      <c r="D25" s="1035">
        <v>0.19556451612903225</v>
      </c>
      <c r="E25" s="920"/>
      <c r="F25" s="2223">
        <v>1186</v>
      </c>
      <c r="G25" s="1155">
        <v>1569</v>
      </c>
      <c r="H25" s="1230">
        <v>1340</v>
      </c>
      <c r="I25" s="1230">
        <v>1402</v>
      </c>
      <c r="J25" s="1231">
        <v>992</v>
      </c>
      <c r="K25" s="1230">
        <v>999</v>
      </c>
      <c r="L25" s="1230">
        <v>958</v>
      </c>
      <c r="M25" s="1230">
        <v>1536</v>
      </c>
      <c r="N25" s="1231">
        <v>656</v>
      </c>
      <c r="O25" s="1230">
        <v>1053</v>
      </c>
      <c r="P25" s="1230">
        <v>1043</v>
      </c>
      <c r="Q25" s="1230">
        <v>1201</v>
      </c>
      <c r="R25" s="1231">
        <v>797</v>
      </c>
      <c r="S25" s="1930">
        <v>1196</v>
      </c>
      <c r="T25" s="1230">
        <v>1278</v>
      </c>
      <c r="U25" s="1230">
        <v>995</v>
      </c>
      <c r="V25" s="1231">
        <v>1204</v>
      </c>
      <c r="W25" s="1230">
        <v>1272</v>
      </c>
      <c r="X25" s="1230">
        <v>1346</v>
      </c>
      <c r="Y25" s="1230">
        <v>1220</v>
      </c>
      <c r="Z25" s="1231">
        <v>1042</v>
      </c>
      <c r="AA25" s="1230">
        <v>1406</v>
      </c>
      <c r="AB25" s="1230">
        <v>1406</v>
      </c>
      <c r="AC25" s="1230">
        <v>1339</v>
      </c>
      <c r="AD25" s="1231">
        <v>1354</v>
      </c>
      <c r="AE25" s="1230">
        <v>1437</v>
      </c>
      <c r="AF25" s="1230">
        <v>1332</v>
      </c>
      <c r="AG25" s="1230">
        <v>1485</v>
      </c>
      <c r="AH25" s="1231">
        <v>1367</v>
      </c>
      <c r="AI25" s="1230">
        <v>1477</v>
      </c>
      <c r="AJ25" s="1230">
        <v>1288</v>
      </c>
      <c r="AK25" s="1230">
        <v>1390</v>
      </c>
      <c r="AL25" s="1231">
        <v>1277</v>
      </c>
      <c r="AM25" s="1230">
        <v>1256</v>
      </c>
      <c r="AN25" s="1230">
        <v>1264</v>
      </c>
      <c r="AO25" s="1230">
        <v>1329</v>
      </c>
      <c r="AP25" s="1231">
        <v>1325</v>
      </c>
      <c r="AQ25" s="1230">
        <v>1426</v>
      </c>
      <c r="AR25" s="1230">
        <v>1660</v>
      </c>
      <c r="AS25" s="1230">
        <v>1494</v>
      </c>
      <c r="AT25" s="1231">
        <v>1536</v>
      </c>
      <c r="AU25" s="1230">
        <v>1630</v>
      </c>
      <c r="AV25" s="1230">
        <v>1590</v>
      </c>
      <c r="AW25" s="1230">
        <v>1556</v>
      </c>
      <c r="AX25" s="1231">
        <v>1639</v>
      </c>
      <c r="AY25" s="1196">
        <v>1596</v>
      </c>
      <c r="AZ25" s="1270">
        <v>1544</v>
      </c>
      <c r="BA25" s="1270">
        <v>1573</v>
      </c>
      <c r="BB25" s="1270">
        <v>1670</v>
      </c>
      <c r="BC25" s="1237">
        <v>1639</v>
      </c>
      <c r="BD25" s="1231">
        <v>1526</v>
      </c>
      <c r="BE25" s="1231">
        <v>1571</v>
      </c>
      <c r="BF25" s="1231">
        <v>1602</v>
      </c>
      <c r="BG25" s="1034"/>
      <c r="BH25" s="1007">
        <v>5303</v>
      </c>
      <c r="BI25" s="1007">
        <v>4149</v>
      </c>
      <c r="BJ25" s="1006">
        <v>1154</v>
      </c>
      <c r="BK25" s="1035">
        <v>0.27813931067727166</v>
      </c>
      <c r="BL25" s="1201"/>
      <c r="BM25" s="2231">
        <v>5303</v>
      </c>
      <c r="BN25" s="2231">
        <v>4149</v>
      </c>
      <c r="BO25" s="2231">
        <v>4094</v>
      </c>
      <c r="BP25" s="2231">
        <v>4673</v>
      </c>
      <c r="BQ25" s="2527">
        <v>4880</v>
      </c>
      <c r="BR25" s="1846">
        <v>5505</v>
      </c>
      <c r="BS25" s="1367">
        <v>5621</v>
      </c>
      <c r="BT25" s="1367">
        <v>5432</v>
      </c>
      <c r="BU25" s="1317">
        <v>5174</v>
      </c>
      <c r="BV25" s="1317">
        <v>6116</v>
      </c>
      <c r="BW25" s="1317">
        <v>6415</v>
      </c>
      <c r="BX25" s="1317">
        <v>6383</v>
      </c>
      <c r="BY25" s="1317">
        <v>6338</v>
      </c>
      <c r="BZ25" s="2166">
        <v>6066</v>
      </c>
      <c r="CA25" s="2166">
        <v>5819</v>
      </c>
      <c r="CB25" s="2166">
        <v>5491</v>
      </c>
      <c r="CC25" s="1153"/>
      <c r="CE25" s="1920">
        <v>-85</v>
      </c>
      <c r="CF25" s="1180">
        <v>-8.1495685522531155E-2</v>
      </c>
      <c r="CG25" s="1180">
        <v>279</v>
      </c>
      <c r="CH25" s="1180">
        <v>0.27706020165156342</v>
      </c>
      <c r="CJ25" s="1920">
        <v>3150</v>
      </c>
      <c r="CK25" s="1315">
        <v>2153</v>
      </c>
      <c r="CL25" s="1920"/>
      <c r="CM25" s="1315">
        <v>1154</v>
      </c>
      <c r="CN25" s="1315">
        <v>0.27813931067727166</v>
      </c>
      <c r="CO25" s="1315">
        <v>0</v>
      </c>
      <c r="CP25" s="1180">
        <v>0</v>
      </c>
    </row>
    <row r="26" spans="1:94" ht="12.75" customHeight="1" x14ac:dyDescent="0.2">
      <c r="A26" s="948"/>
      <c r="B26" s="954" t="s">
        <v>62</v>
      </c>
      <c r="C26" s="957">
        <v>-376</v>
      </c>
      <c r="D26" s="1035">
        <v>-0.5013333333333333</v>
      </c>
      <c r="E26" s="920"/>
      <c r="F26" s="2223">
        <v>374</v>
      </c>
      <c r="G26" s="1155">
        <v>244</v>
      </c>
      <c r="H26" s="1230">
        <v>247</v>
      </c>
      <c r="I26" s="1230">
        <v>769</v>
      </c>
      <c r="J26" s="1231">
        <v>750</v>
      </c>
      <c r="K26" s="1230">
        <v>578</v>
      </c>
      <c r="L26" s="1230">
        <v>366</v>
      </c>
      <c r="M26" s="1230">
        <v>60</v>
      </c>
      <c r="N26" s="1231">
        <v>48</v>
      </c>
      <c r="O26" s="1230">
        <v>31</v>
      </c>
      <c r="P26" s="1230">
        <v>26</v>
      </c>
      <c r="Q26" s="1230">
        <v>28</v>
      </c>
      <c r="R26" s="1231">
        <v>32</v>
      </c>
      <c r="S26" s="1930">
        <v>30</v>
      </c>
      <c r="T26" s="1230">
        <v>22</v>
      </c>
      <c r="U26" s="1230">
        <v>28</v>
      </c>
      <c r="V26" s="1231">
        <v>34</v>
      </c>
      <c r="W26" s="1230">
        <v>26</v>
      </c>
      <c r="X26" s="1230">
        <v>28</v>
      </c>
      <c r="Y26" s="1230">
        <v>44</v>
      </c>
      <c r="Z26" s="1231">
        <v>34</v>
      </c>
      <c r="AA26" s="1230">
        <v>25</v>
      </c>
      <c r="AB26" s="1230">
        <v>38</v>
      </c>
      <c r="AC26" s="1230">
        <v>41</v>
      </c>
      <c r="AD26" s="1231">
        <v>47</v>
      </c>
      <c r="AE26" s="1230">
        <v>39</v>
      </c>
      <c r="AF26" s="1230">
        <v>47</v>
      </c>
      <c r="AG26" s="1230">
        <v>54</v>
      </c>
      <c r="AH26" s="1231">
        <v>56</v>
      </c>
      <c r="AI26" s="1230">
        <v>56</v>
      </c>
      <c r="AJ26" s="1230">
        <v>56</v>
      </c>
      <c r="AK26" s="1230">
        <v>80</v>
      </c>
      <c r="AL26" s="1231">
        <v>102</v>
      </c>
      <c r="AM26" s="1230">
        <v>90</v>
      </c>
      <c r="AN26" s="1230">
        <v>97</v>
      </c>
      <c r="AO26" s="1230">
        <v>63</v>
      </c>
      <c r="AP26" s="1231">
        <v>58</v>
      </c>
      <c r="AQ26" s="1230">
        <v>44</v>
      </c>
      <c r="AR26" s="1230">
        <v>51</v>
      </c>
      <c r="AS26" s="1230">
        <v>104</v>
      </c>
      <c r="AT26" s="1231">
        <v>243</v>
      </c>
      <c r="AU26" s="1230">
        <v>671</v>
      </c>
      <c r="AV26" s="1230">
        <v>1758</v>
      </c>
      <c r="AW26" s="1230">
        <v>2459</v>
      </c>
      <c r="AX26" s="1231">
        <v>2915</v>
      </c>
      <c r="AY26" s="1196">
        <v>4124</v>
      </c>
      <c r="AZ26" s="1270">
        <v>5305</v>
      </c>
      <c r="BA26" s="1270">
        <v>5435</v>
      </c>
      <c r="BB26" s="1270">
        <v>5060</v>
      </c>
      <c r="BC26" s="1237">
        <v>4659</v>
      </c>
      <c r="BD26" s="1231">
        <v>4412</v>
      </c>
      <c r="BE26" s="1231">
        <v>4434</v>
      </c>
      <c r="BF26" s="1231">
        <v>4246</v>
      </c>
      <c r="BG26" s="1034"/>
      <c r="BH26" s="1007">
        <v>2010</v>
      </c>
      <c r="BI26" s="1007">
        <v>1052</v>
      </c>
      <c r="BJ26" s="1006">
        <v>958</v>
      </c>
      <c r="BK26" s="1035">
        <v>0.91064638783269958</v>
      </c>
      <c r="BL26" s="1201"/>
      <c r="BM26" s="2231">
        <v>2010</v>
      </c>
      <c r="BN26" s="2231">
        <v>1052</v>
      </c>
      <c r="BO26" s="2231">
        <v>117</v>
      </c>
      <c r="BP26" s="2231">
        <v>114</v>
      </c>
      <c r="BQ26" s="2527">
        <v>132</v>
      </c>
      <c r="BR26" s="1846">
        <v>151</v>
      </c>
      <c r="BS26" s="1367">
        <v>196</v>
      </c>
      <c r="BT26" s="1367">
        <v>294</v>
      </c>
      <c r="BU26" s="1317">
        <v>308</v>
      </c>
      <c r="BV26" s="1317">
        <v>442</v>
      </c>
      <c r="BW26" s="1317">
        <v>7803</v>
      </c>
      <c r="BX26" s="1317">
        <v>19924</v>
      </c>
      <c r="BY26" s="1317">
        <v>17751</v>
      </c>
      <c r="BZ26" s="2166">
        <v>7194</v>
      </c>
      <c r="CA26" s="2166">
        <v>3711</v>
      </c>
      <c r="CB26" s="2166">
        <v>0</v>
      </c>
      <c r="CC26" s="1153"/>
      <c r="CE26" s="1920">
        <v>340</v>
      </c>
      <c r="CF26" s="1180">
        <v>13.076923076923077</v>
      </c>
      <c r="CG26" s="1180">
        <v>-716</v>
      </c>
      <c r="CH26" s="1180">
        <v>-13.57825641025641</v>
      </c>
      <c r="CJ26" s="1920">
        <v>474</v>
      </c>
      <c r="CK26" s="1315">
        <v>1536</v>
      </c>
      <c r="CL26" s="1920"/>
      <c r="CM26" s="1315">
        <v>958</v>
      </c>
      <c r="CN26" s="1315">
        <v>0.91064638783269958</v>
      </c>
      <c r="CO26" s="1315">
        <v>0</v>
      </c>
      <c r="CP26" s="1180">
        <v>0</v>
      </c>
    </row>
    <row r="27" spans="1:94" ht="12.75" customHeight="1" x14ac:dyDescent="0.2">
      <c r="A27" s="948"/>
      <c r="B27" s="954" t="s">
        <v>68</v>
      </c>
      <c r="C27" s="957">
        <v>-1381</v>
      </c>
      <c r="D27" s="1035">
        <v>-0.32379835873388041</v>
      </c>
      <c r="E27" s="920"/>
      <c r="F27" s="2223">
        <v>2884</v>
      </c>
      <c r="G27" s="1155">
        <v>5026</v>
      </c>
      <c r="H27" s="1230">
        <v>2597</v>
      </c>
      <c r="I27" s="1230">
        <v>2523</v>
      </c>
      <c r="J27" s="1231">
        <v>4265</v>
      </c>
      <c r="K27" s="1230">
        <v>2928</v>
      </c>
      <c r="L27" s="1230">
        <v>2100</v>
      </c>
      <c r="M27" s="1230">
        <v>1824</v>
      </c>
      <c r="N27" s="1231">
        <v>1530</v>
      </c>
      <c r="O27" s="1230">
        <v>2277</v>
      </c>
      <c r="P27" s="1230">
        <v>2771</v>
      </c>
      <c r="Q27" s="1230">
        <v>1900</v>
      </c>
      <c r="R27" s="1231">
        <v>2009</v>
      </c>
      <c r="S27" s="1930">
        <v>1908</v>
      </c>
      <c r="T27" s="1230">
        <v>2238</v>
      </c>
      <c r="U27" s="1230">
        <v>2024</v>
      </c>
      <c r="V27" s="1231">
        <v>2218</v>
      </c>
      <c r="W27" s="1230">
        <v>2841</v>
      </c>
      <c r="X27" s="1230">
        <v>2049</v>
      </c>
      <c r="Y27" s="1230">
        <v>2797</v>
      </c>
      <c r="Z27" s="1231">
        <v>3041</v>
      </c>
      <c r="AA27" s="1230">
        <v>1877</v>
      </c>
      <c r="AB27" s="1230">
        <v>3310</v>
      </c>
      <c r="AC27" s="1230">
        <v>2824</v>
      </c>
      <c r="AD27" s="1231">
        <v>2668</v>
      </c>
      <c r="AE27" s="1230">
        <v>3243</v>
      </c>
      <c r="AF27" s="1230">
        <v>3197</v>
      </c>
      <c r="AG27" s="1230">
        <v>3536</v>
      </c>
      <c r="AH27" s="1231">
        <v>4472</v>
      </c>
      <c r="AI27" s="1230">
        <v>3668</v>
      </c>
      <c r="AJ27" s="1230">
        <v>3720</v>
      </c>
      <c r="AK27" s="1230">
        <v>2632</v>
      </c>
      <c r="AL27" s="1231">
        <v>3319</v>
      </c>
      <c r="AM27" s="1230">
        <v>4728</v>
      </c>
      <c r="AN27" s="1230">
        <v>4268</v>
      </c>
      <c r="AO27" s="1230">
        <v>4186</v>
      </c>
      <c r="AP27" s="1231">
        <v>3730</v>
      </c>
      <c r="AQ27" s="1230">
        <v>6030</v>
      </c>
      <c r="AR27" s="1230">
        <v>4108</v>
      </c>
      <c r="AS27" s="1230">
        <v>2461</v>
      </c>
      <c r="AT27" s="1231">
        <v>3886</v>
      </c>
      <c r="AU27" s="1230">
        <v>2268</v>
      </c>
      <c r="AV27" s="1230">
        <v>7826</v>
      </c>
      <c r="AW27" s="1230">
        <v>3206</v>
      </c>
      <c r="AX27" s="1231">
        <v>3942</v>
      </c>
      <c r="AY27" s="1196">
        <v>3477</v>
      </c>
      <c r="AZ27" s="1270">
        <v>3587</v>
      </c>
      <c r="BA27" s="1270">
        <v>2594</v>
      </c>
      <c r="BB27" s="1270">
        <v>2953</v>
      </c>
      <c r="BC27" s="1237">
        <v>2341</v>
      </c>
      <c r="BD27" s="1231">
        <v>3444</v>
      </c>
      <c r="BE27" s="1231">
        <v>1855</v>
      </c>
      <c r="BF27" s="1231">
        <v>6038</v>
      </c>
      <c r="BG27" s="1034"/>
      <c r="BH27" s="1007">
        <v>14411</v>
      </c>
      <c r="BI27" s="1007">
        <v>8382</v>
      </c>
      <c r="BJ27" s="1006">
        <v>6029</v>
      </c>
      <c r="BK27" s="1035">
        <v>0.71927940825578618</v>
      </c>
      <c r="BL27" s="1201"/>
      <c r="BM27" s="2231">
        <v>14411</v>
      </c>
      <c r="BN27" s="2231">
        <v>8382</v>
      </c>
      <c r="BO27" s="2231">
        <v>8957</v>
      </c>
      <c r="BP27" s="2231">
        <v>8388</v>
      </c>
      <c r="BQ27" s="2527">
        <v>10728</v>
      </c>
      <c r="BR27" s="1846">
        <v>10679</v>
      </c>
      <c r="BS27" s="1367">
        <v>14448</v>
      </c>
      <c r="BT27" s="1367">
        <v>13339</v>
      </c>
      <c r="BU27" s="1317">
        <v>16912</v>
      </c>
      <c r="BV27" s="1317">
        <v>16485</v>
      </c>
      <c r="BW27" s="1317">
        <v>17242</v>
      </c>
      <c r="BX27" s="1317">
        <v>12611</v>
      </c>
      <c r="BY27" s="1317">
        <v>13678</v>
      </c>
      <c r="BZ27" s="2166">
        <v>12162</v>
      </c>
      <c r="CA27" s="2166">
        <v>5080</v>
      </c>
      <c r="CB27" s="2166">
        <v>9626</v>
      </c>
      <c r="CC27" s="1153"/>
      <c r="CE27" s="1920">
        <v>-671</v>
      </c>
      <c r="CF27" s="1180">
        <v>-0.24215084806928908</v>
      </c>
      <c r="CG27" s="1180">
        <v>-710</v>
      </c>
      <c r="CH27" s="1180">
        <v>-8.1647510664591333E-2</v>
      </c>
      <c r="CJ27" s="1920">
        <v>5454</v>
      </c>
      <c r="CK27" s="1315">
        <v>8957</v>
      </c>
      <c r="CL27" s="1920"/>
      <c r="CM27" s="1315">
        <v>6029</v>
      </c>
      <c r="CN27" s="1315">
        <v>0.71927940825578618</v>
      </c>
      <c r="CO27" s="1315">
        <v>0</v>
      </c>
      <c r="CP27" s="1180">
        <v>0</v>
      </c>
    </row>
    <row r="28" spans="1:94" ht="12.75" customHeight="1" x14ac:dyDescent="0.2">
      <c r="A28" s="948"/>
      <c r="B28" s="954" t="s">
        <v>69</v>
      </c>
      <c r="C28" s="957">
        <v>-216</v>
      </c>
      <c r="D28" s="1035">
        <v>-0.56692913385826771</v>
      </c>
      <c r="E28" s="1166"/>
      <c r="F28" s="2223">
        <v>165</v>
      </c>
      <c r="G28" s="1155">
        <v>164</v>
      </c>
      <c r="H28" s="1230">
        <v>181</v>
      </c>
      <c r="I28" s="1230">
        <v>331</v>
      </c>
      <c r="J28" s="1231">
        <v>381</v>
      </c>
      <c r="K28" s="1230">
        <v>395</v>
      </c>
      <c r="L28" s="1230">
        <v>503</v>
      </c>
      <c r="M28" s="1230">
        <v>382</v>
      </c>
      <c r="N28" s="1231">
        <v>315</v>
      </c>
      <c r="O28" s="1230">
        <v>275</v>
      </c>
      <c r="P28" s="1230">
        <v>292</v>
      </c>
      <c r="Q28" s="1230">
        <v>251</v>
      </c>
      <c r="R28" s="1231">
        <v>251</v>
      </c>
      <c r="S28" s="1930">
        <v>259</v>
      </c>
      <c r="T28" s="1230">
        <v>268</v>
      </c>
      <c r="U28" s="1230">
        <v>256</v>
      </c>
      <c r="V28" s="1231">
        <v>315</v>
      </c>
      <c r="W28" s="1230">
        <v>574</v>
      </c>
      <c r="X28" s="1230">
        <v>603</v>
      </c>
      <c r="Y28" s="1230">
        <v>616</v>
      </c>
      <c r="Z28" s="1231">
        <v>602</v>
      </c>
      <c r="AA28" s="1230">
        <v>483</v>
      </c>
      <c r="AB28" s="1230">
        <v>408</v>
      </c>
      <c r="AC28" s="1230">
        <v>380</v>
      </c>
      <c r="AD28" s="1231">
        <v>368</v>
      </c>
      <c r="AE28" s="1230">
        <v>1940</v>
      </c>
      <c r="AF28" s="1230">
        <v>1080</v>
      </c>
      <c r="AG28" s="1230">
        <v>499</v>
      </c>
      <c r="AH28" s="1231">
        <v>497</v>
      </c>
      <c r="AI28" s="1230">
        <v>500</v>
      </c>
      <c r="AJ28" s="1230">
        <v>513</v>
      </c>
      <c r="AK28" s="1230">
        <v>554</v>
      </c>
      <c r="AL28" s="1231">
        <v>641</v>
      </c>
      <c r="AM28" s="1230">
        <v>632</v>
      </c>
      <c r="AN28" s="1230">
        <v>596</v>
      </c>
      <c r="AO28" s="1230">
        <v>575</v>
      </c>
      <c r="AP28" s="1231">
        <v>619</v>
      </c>
      <c r="AQ28" s="1230">
        <v>649</v>
      </c>
      <c r="AR28" s="1230">
        <v>637</v>
      </c>
      <c r="AS28" s="1230">
        <v>618</v>
      </c>
      <c r="AT28" s="1231">
        <v>602</v>
      </c>
      <c r="AU28" s="1230">
        <v>655</v>
      </c>
      <c r="AV28" s="1230">
        <v>463</v>
      </c>
      <c r="AW28" s="1230">
        <v>411</v>
      </c>
      <c r="AX28" s="1231">
        <v>409</v>
      </c>
      <c r="AY28" s="1196">
        <v>436</v>
      </c>
      <c r="AZ28" s="1270">
        <v>495</v>
      </c>
      <c r="BA28" s="1270">
        <v>472</v>
      </c>
      <c r="BB28" s="1270">
        <v>430</v>
      </c>
      <c r="BC28" s="1237">
        <v>438</v>
      </c>
      <c r="BD28" s="1231">
        <v>380</v>
      </c>
      <c r="BE28" s="1231">
        <v>420</v>
      </c>
      <c r="BF28" s="1231">
        <v>410</v>
      </c>
      <c r="BG28" s="1034"/>
      <c r="BH28" s="1007">
        <v>1057</v>
      </c>
      <c r="BI28" s="1007">
        <v>1595</v>
      </c>
      <c r="BJ28" s="1006">
        <v>-538</v>
      </c>
      <c r="BK28" s="1035">
        <v>-0.33730407523510969</v>
      </c>
      <c r="BL28" s="1201"/>
      <c r="BM28" s="2231">
        <v>1057</v>
      </c>
      <c r="BN28" s="2231">
        <v>1595</v>
      </c>
      <c r="BO28" s="2231">
        <v>1069</v>
      </c>
      <c r="BP28" s="2231">
        <v>1098</v>
      </c>
      <c r="BQ28" s="2527">
        <v>2395</v>
      </c>
      <c r="BR28" s="1846">
        <v>1639</v>
      </c>
      <c r="BS28" s="1367">
        <v>4016</v>
      </c>
      <c r="BT28" s="1367">
        <v>2208</v>
      </c>
      <c r="BU28" s="1317">
        <v>2422</v>
      </c>
      <c r="BV28" s="1317">
        <v>2506</v>
      </c>
      <c r="BW28" s="1317">
        <v>1938</v>
      </c>
      <c r="BX28" s="1317">
        <v>1833</v>
      </c>
      <c r="BY28" s="1317">
        <v>1648</v>
      </c>
      <c r="BZ28" s="2166">
        <v>1439</v>
      </c>
      <c r="CA28" s="2166">
        <v>1087</v>
      </c>
      <c r="CB28" s="2166">
        <v>1295</v>
      </c>
      <c r="CC28" s="1153"/>
      <c r="CE28" s="1920">
        <v>211</v>
      </c>
      <c r="CF28" s="1180">
        <v>0.7226027397260274</v>
      </c>
      <c r="CG28" s="1180">
        <v>-427</v>
      </c>
      <c r="CH28" s="1180">
        <v>-1.2895318735842951</v>
      </c>
      <c r="CJ28" s="1920">
        <v>1200</v>
      </c>
      <c r="CK28" s="1315">
        <v>-143</v>
      </c>
      <c r="CL28" s="1920"/>
      <c r="CM28" s="1315">
        <v>-538</v>
      </c>
      <c r="CN28" s="1315">
        <v>-0.33730407523510969</v>
      </c>
      <c r="CO28" s="1315">
        <v>0</v>
      </c>
      <c r="CP28" s="1180">
        <v>0</v>
      </c>
    </row>
    <row r="29" spans="1:94" ht="12.75" customHeight="1" x14ac:dyDescent="0.2">
      <c r="A29" s="948"/>
      <c r="B29" s="1528" t="s">
        <v>684</v>
      </c>
      <c r="C29" s="957">
        <v>546</v>
      </c>
      <c r="D29" s="1035" t="s">
        <v>41</v>
      </c>
      <c r="E29" s="1166"/>
      <c r="F29" s="2223">
        <v>546</v>
      </c>
      <c r="G29" s="1961">
        <v>0</v>
      </c>
      <c r="H29" s="1065">
        <v>0</v>
      </c>
      <c r="I29" s="1065">
        <v>0</v>
      </c>
      <c r="J29" s="2025">
        <v>0</v>
      </c>
      <c r="K29" s="1961">
        <v>0</v>
      </c>
      <c r="L29" s="1065">
        <v>0</v>
      </c>
      <c r="M29" s="1065">
        <v>0</v>
      </c>
      <c r="N29" s="2025">
        <v>0</v>
      </c>
      <c r="O29" s="1230"/>
      <c r="P29" s="1230"/>
      <c r="Q29" s="1230"/>
      <c r="R29" s="1231"/>
      <c r="S29" s="1930"/>
      <c r="T29" s="1230"/>
      <c r="U29" s="1230"/>
      <c r="V29" s="1231"/>
      <c r="W29" s="1230"/>
      <c r="X29" s="1230"/>
      <c r="Y29" s="1230"/>
      <c r="Z29" s="1231"/>
      <c r="AA29" s="1230"/>
      <c r="AB29" s="1230"/>
      <c r="AC29" s="1230"/>
      <c r="AD29" s="1231"/>
      <c r="AE29" s="1230"/>
      <c r="AF29" s="1230"/>
      <c r="AG29" s="1230"/>
      <c r="AH29" s="1231"/>
      <c r="AI29" s="1230"/>
      <c r="AJ29" s="1230"/>
      <c r="AK29" s="1230"/>
      <c r="AL29" s="1231"/>
      <c r="AM29" s="1230"/>
      <c r="AN29" s="1230"/>
      <c r="AO29" s="1230"/>
      <c r="AP29" s="1231"/>
      <c r="AQ29" s="1230"/>
      <c r="AR29" s="1230"/>
      <c r="AS29" s="1230"/>
      <c r="AT29" s="1231"/>
      <c r="AU29" s="1230"/>
      <c r="AV29" s="1230"/>
      <c r="AW29" s="1230"/>
      <c r="AX29" s="1231"/>
      <c r="AY29" s="1196"/>
      <c r="AZ29" s="1270"/>
      <c r="BA29" s="1270"/>
      <c r="BB29" s="1270"/>
      <c r="BC29" s="1237"/>
      <c r="BD29" s="1231"/>
      <c r="BE29" s="1231"/>
      <c r="BF29" s="1231"/>
      <c r="BG29" s="1034"/>
      <c r="BH29" s="1007">
        <v>0</v>
      </c>
      <c r="BI29" s="1007"/>
      <c r="BJ29" s="1006"/>
      <c r="BK29" s="1035"/>
      <c r="BL29" s="1201"/>
      <c r="BM29" s="2231">
        <v>0</v>
      </c>
      <c r="BN29" s="2231">
        <v>0</v>
      </c>
      <c r="BO29" s="2231">
        <v>0</v>
      </c>
      <c r="BP29" s="2231">
        <v>0</v>
      </c>
      <c r="BQ29" s="2527">
        <v>0</v>
      </c>
      <c r="BR29" s="1846"/>
      <c r="BS29" s="1367"/>
      <c r="BT29" s="1367"/>
      <c r="BU29" s="1317"/>
      <c r="BV29" s="1317"/>
      <c r="BW29" s="1317"/>
      <c r="BX29" s="1317"/>
      <c r="BY29" s="1317"/>
      <c r="BZ29" s="2166"/>
      <c r="CA29" s="2166"/>
      <c r="CB29" s="2166"/>
      <c r="CC29" s="1153"/>
      <c r="CE29" s="1920"/>
      <c r="CJ29" s="1920"/>
      <c r="CK29" s="1315"/>
      <c r="CL29" s="1920"/>
      <c r="CM29" s="1315"/>
      <c r="CN29" s="1315"/>
      <c r="CO29" s="1315"/>
    </row>
    <row r="30" spans="1:94" ht="12.75" customHeight="1" x14ac:dyDescent="0.2">
      <c r="A30" s="946"/>
      <c r="B30" s="954" t="s">
        <v>70</v>
      </c>
      <c r="C30" s="957">
        <v>535</v>
      </c>
      <c r="D30" s="1035">
        <v>0.29234972677595628</v>
      </c>
      <c r="E30" s="920"/>
      <c r="F30" s="2223">
        <v>2365</v>
      </c>
      <c r="G30" s="1155">
        <v>2066</v>
      </c>
      <c r="H30" s="1230">
        <v>2326</v>
      </c>
      <c r="I30" s="1230">
        <v>1874</v>
      </c>
      <c r="J30" s="1231">
        <v>1830</v>
      </c>
      <c r="K30" s="1230">
        <v>821</v>
      </c>
      <c r="L30" s="1230">
        <v>1088</v>
      </c>
      <c r="M30" s="1230">
        <v>1101</v>
      </c>
      <c r="N30" s="1231">
        <v>1138</v>
      </c>
      <c r="O30" s="1230">
        <v>1145</v>
      </c>
      <c r="P30" s="1230">
        <v>1265</v>
      </c>
      <c r="Q30" s="1230">
        <v>527</v>
      </c>
      <c r="R30" s="1231">
        <v>598</v>
      </c>
      <c r="S30" s="1930">
        <v>397</v>
      </c>
      <c r="T30" s="1230">
        <v>779</v>
      </c>
      <c r="U30" s="1230">
        <v>692</v>
      </c>
      <c r="V30" s="1231">
        <v>737</v>
      </c>
      <c r="W30" s="1230">
        <v>919</v>
      </c>
      <c r="X30" s="1230">
        <v>859</v>
      </c>
      <c r="Y30" s="1230">
        <v>902</v>
      </c>
      <c r="Z30" s="1231">
        <v>1042</v>
      </c>
      <c r="AA30" s="1230">
        <v>1285</v>
      </c>
      <c r="AB30" s="1230">
        <v>1059</v>
      </c>
      <c r="AC30" s="1230">
        <v>1506</v>
      </c>
      <c r="AD30" s="1231">
        <v>1337</v>
      </c>
      <c r="AE30" s="1230">
        <v>1312</v>
      </c>
      <c r="AF30" s="1230">
        <v>1374</v>
      </c>
      <c r="AG30" s="1230">
        <v>1981</v>
      </c>
      <c r="AH30" s="1231">
        <v>1980</v>
      </c>
      <c r="AI30" s="1230">
        <v>2274</v>
      </c>
      <c r="AJ30" s="1230">
        <v>1989</v>
      </c>
      <c r="AK30" s="1230">
        <v>1978</v>
      </c>
      <c r="AL30" s="1231">
        <v>1979</v>
      </c>
      <c r="AM30" s="1230">
        <v>2125</v>
      </c>
      <c r="AN30" s="1230">
        <v>2275</v>
      </c>
      <c r="AO30" s="1230">
        <v>2425</v>
      </c>
      <c r="AP30" s="1231">
        <v>2433</v>
      </c>
      <c r="AQ30" s="1230">
        <v>2574</v>
      </c>
      <c r="AR30" s="1230">
        <v>3216</v>
      </c>
      <c r="AS30" s="1230">
        <v>2613</v>
      </c>
      <c r="AT30" s="1231">
        <v>1905</v>
      </c>
      <c r="AU30" s="1230">
        <v>2597</v>
      </c>
      <c r="AV30" s="1230">
        <v>2312</v>
      </c>
      <c r="AW30" s="1230">
        <v>1378</v>
      </c>
      <c r="AX30" s="1231">
        <v>1566</v>
      </c>
      <c r="AY30" s="1196">
        <v>1897</v>
      </c>
      <c r="AZ30" s="1270">
        <v>1550</v>
      </c>
      <c r="BA30" s="1270">
        <v>1341</v>
      </c>
      <c r="BB30" s="1270">
        <v>1372</v>
      </c>
      <c r="BC30" s="1237">
        <v>1370</v>
      </c>
      <c r="BD30" s="1231">
        <v>1663</v>
      </c>
      <c r="BE30" s="1231">
        <v>1517</v>
      </c>
      <c r="BF30" s="1231">
        <v>1521</v>
      </c>
      <c r="BG30" s="1034"/>
      <c r="BH30" s="1007">
        <v>8096</v>
      </c>
      <c r="BI30" s="1007">
        <v>4148</v>
      </c>
      <c r="BJ30" s="1006">
        <v>3948</v>
      </c>
      <c r="BK30" s="1035">
        <v>0.95178399228543875</v>
      </c>
      <c r="BL30" s="1201"/>
      <c r="BM30" s="2231">
        <v>8096</v>
      </c>
      <c r="BN30" s="2231">
        <v>4148</v>
      </c>
      <c r="BO30" s="2231">
        <v>3535</v>
      </c>
      <c r="BP30" s="2231">
        <v>2605</v>
      </c>
      <c r="BQ30" s="2527">
        <v>3722</v>
      </c>
      <c r="BR30" s="1846">
        <v>5187</v>
      </c>
      <c r="BS30" s="1367">
        <v>6647</v>
      </c>
      <c r="BT30" s="1367">
        <v>8220</v>
      </c>
      <c r="BU30" s="1317">
        <v>9258</v>
      </c>
      <c r="BV30" s="1317">
        <v>10308</v>
      </c>
      <c r="BW30" s="1317">
        <v>7853</v>
      </c>
      <c r="BX30" s="1317">
        <v>6160</v>
      </c>
      <c r="BY30" s="1317">
        <v>6071</v>
      </c>
      <c r="BZ30" s="2166">
        <v>4302</v>
      </c>
      <c r="CA30" s="2166">
        <v>2798</v>
      </c>
      <c r="CB30" s="2166">
        <v>3261</v>
      </c>
      <c r="CC30" s="1153"/>
      <c r="CE30" s="1920">
        <v>-177</v>
      </c>
      <c r="CF30" s="1180">
        <v>-0.13992094861660079</v>
      </c>
      <c r="CG30" s="1180">
        <v>712</v>
      </c>
      <c r="CH30" s="1180">
        <v>0.43227067539255704</v>
      </c>
      <c r="CJ30" s="1920">
        <v>3327</v>
      </c>
      <c r="CK30" s="1315">
        <v>4769</v>
      </c>
      <c r="CL30" s="1920"/>
      <c r="CM30" s="1315">
        <v>3948</v>
      </c>
      <c r="CN30" s="1315">
        <v>0.95178399228543875</v>
      </c>
      <c r="CO30" s="1315">
        <v>0</v>
      </c>
      <c r="CP30" s="1180">
        <v>0</v>
      </c>
    </row>
    <row r="31" spans="1:94" ht="12.75" customHeight="1" x14ac:dyDescent="0.2">
      <c r="A31" s="946"/>
      <c r="B31" s="946" t="s">
        <v>164</v>
      </c>
      <c r="C31" s="957">
        <v>0</v>
      </c>
      <c r="D31" s="1035">
        <v>0</v>
      </c>
      <c r="E31" s="920"/>
      <c r="F31" s="2965">
        <v>0</v>
      </c>
      <c r="G31" s="1961">
        <v>0</v>
      </c>
      <c r="H31" s="1007">
        <v>0</v>
      </c>
      <c r="I31" s="1007">
        <v>0</v>
      </c>
      <c r="J31" s="1260">
        <v>0</v>
      </c>
      <c r="K31" s="1007">
        <v>0</v>
      </c>
      <c r="L31" s="1007">
        <v>0</v>
      </c>
      <c r="M31" s="1007">
        <v>0</v>
      </c>
      <c r="N31" s="1260">
        <v>0</v>
      </c>
      <c r="O31" s="1007">
        <v>0</v>
      </c>
      <c r="P31" s="1007">
        <v>0</v>
      </c>
      <c r="Q31" s="1007">
        <v>0</v>
      </c>
      <c r="R31" s="1260">
        <v>0</v>
      </c>
      <c r="S31" s="1261">
        <v>165</v>
      </c>
      <c r="T31" s="1007">
        <v>0</v>
      </c>
      <c r="U31" s="1007">
        <v>0</v>
      </c>
      <c r="V31" s="1260">
        <v>0</v>
      </c>
      <c r="W31" s="1007">
        <v>0</v>
      </c>
      <c r="X31" s="1007">
        <v>0</v>
      </c>
      <c r="Y31" s="1007">
        <v>0</v>
      </c>
      <c r="Z31" s="1260">
        <v>0</v>
      </c>
      <c r="AA31" s="1007">
        <v>0</v>
      </c>
      <c r="AB31" s="1007">
        <v>0</v>
      </c>
      <c r="AC31" s="1007">
        <v>0</v>
      </c>
      <c r="AD31" s="1260">
        <v>0</v>
      </c>
      <c r="AE31" s="1007">
        <v>0</v>
      </c>
      <c r="AF31" s="1007">
        <v>0</v>
      </c>
      <c r="AG31" s="1007">
        <v>13567</v>
      </c>
      <c r="AH31" s="1260">
        <v>0</v>
      </c>
      <c r="AI31" s="1007">
        <v>900</v>
      </c>
      <c r="AJ31" s="1007">
        <v>0</v>
      </c>
      <c r="AK31" s="1007">
        <v>0</v>
      </c>
      <c r="AL31" s="1260">
        <v>0</v>
      </c>
      <c r="AM31" s="1007">
        <v>0</v>
      </c>
      <c r="AN31" s="1007">
        <v>0</v>
      </c>
      <c r="AO31" s="1007">
        <v>0</v>
      </c>
      <c r="AP31" s="1260">
        <v>0</v>
      </c>
      <c r="AQ31" s="1007">
        <v>0</v>
      </c>
      <c r="AR31" s="1007">
        <v>0</v>
      </c>
      <c r="AS31" s="1007">
        <v>0</v>
      </c>
      <c r="AT31" s="1260">
        <v>0</v>
      </c>
      <c r="AU31" s="1007">
        <v>0</v>
      </c>
      <c r="AV31" s="1007">
        <v>5347</v>
      </c>
      <c r="AW31" s="1007">
        <v>0</v>
      </c>
      <c r="AX31" s="1035">
        <v>0</v>
      </c>
      <c r="AY31" s="1209">
        <v>54200</v>
      </c>
      <c r="AZ31" s="1007">
        <v>0</v>
      </c>
      <c r="BA31" s="1007">
        <v>0</v>
      </c>
      <c r="BB31" s="1260">
        <v>0</v>
      </c>
      <c r="BC31" s="1261">
        <v>0</v>
      </c>
      <c r="BD31" s="1260">
        <v>0</v>
      </c>
      <c r="BE31" s="1260">
        <v>0</v>
      </c>
      <c r="BF31" s="1260">
        <v>0</v>
      </c>
      <c r="BG31" s="1034"/>
      <c r="BH31" s="1007">
        <v>0</v>
      </c>
      <c r="BI31" s="1007">
        <v>0</v>
      </c>
      <c r="BJ31" s="1006">
        <v>0</v>
      </c>
      <c r="BK31" s="1035">
        <v>0</v>
      </c>
      <c r="BL31" s="1201"/>
      <c r="BM31" s="2231">
        <v>0</v>
      </c>
      <c r="BN31" s="2231">
        <v>0</v>
      </c>
      <c r="BO31" s="2231">
        <v>0</v>
      </c>
      <c r="BP31" s="2231">
        <v>165</v>
      </c>
      <c r="BQ31" s="2527">
        <v>0</v>
      </c>
      <c r="BR31" s="1846">
        <v>0</v>
      </c>
      <c r="BS31" s="1367">
        <v>13567</v>
      </c>
      <c r="BT31" s="1389">
        <v>900</v>
      </c>
      <c r="BU31" s="2033">
        <v>0</v>
      </c>
      <c r="BV31" s="2033">
        <v>0</v>
      </c>
      <c r="BW31" s="1317">
        <v>180</v>
      </c>
      <c r="BX31" s="2033">
        <v>700</v>
      </c>
      <c r="BY31" s="2033">
        <v>0</v>
      </c>
      <c r="BZ31" s="2166">
        <v>0</v>
      </c>
      <c r="CA31" s="2166">
        <v>0</v>
      </c>
      <c r="CB31" s="2166">
        <v>0</v>
      </c>
      <c r="CC31" s="1153"/>
      <c r="CE31" s="1920">
        <v>0</v>
      </c>
      <c r="CF31" s="1180" t="e">
        <v>#DIV/0!</v>
      </c>
      <c r="CG31" s="1180">
        <v>0</v>
      </c>
      <c r="CH31" s="1180" t="e">
        <v>#DIV/0!</v>
      </c>
      <c r="CJ31" s="1920">
        <v>0</v>
      </c>
      <c r="CK31" s="1315">
        <v>0</v>
      </c>
      <c r="CL31" s="1920"/>
      <c r="CM31" s="1315">
        <v>0</v>
      </c>
      <c r="CN31" s="1315" t="e">
        <v>#DIV/0!</v>
      </c>
      <c r="CO31" s="1315">
        <v>0</v>
      </c>
      <c r="CP31" s="1180" t="e">
        <v>#DIV/0!</v>
      </c>
    </row>
    <row r="32" spans="1:94" ht="12.75" customHeight="1" x14ac:dyDescent="0.2">
      <c r="A32" s="946"/>
      <c r="B32" s="1201" t="s">
        <v>621</v>
      </c>
      <c r="C32" s="957">
        <v>0</v>
      </c>
      <c r="D32" s="1035">
        <v>0</v>
      </c>
      <c r="E32" s="920"/>
      <c r="F32" s="2965">
        <v>0</v>
      </c>
      <c r="G32" s="1961">
        <v>0</v>
      </c>
      <c r="H32" s="1007">
        <v>0</v>
      </c>
      <c r="I32" s="1007">
        <v>0</v>
      </c>
      <c r="J32" s="1260">
        <v>0</v>
      </c>
      <c r="K32" s="1007">
        <v>668</v>
      </c>
      <c r="L32" s="1007"/>
      <c r="M32" s="1007"/>
      <c r="N32" s="1260"/>
      <c r="O32" s="1007"/>
      <c r="P32" s="1007"/>
      <c r="Q32" s="1007"/>
      <c r="R32" s="1260"/>
      <c r="S32" s="1261"/>
      <c r="T32" s="1007"/>
      <c r="U32" s="1007"/>
      <c r="V32" s="1260"/>
      <c r="W32" s="1007"/>
      <c r="X32" s="1007"/>
      <c r="Y32" s="1007"/>
      <c r="Z32" s="1260"/>
      <c r="AA32" s="1007"/>
      <c r="AB32" s="1007"/>
      <c r="AC32" s="1007"/>
      <c r="AD32" s="1260"/>
      <c r="AE32" s="1007"/>
      <c r="AF32" s="1007"/>
      <c r="AG32" s="1007"/>
      <c r="AH32" s="1260"/>
      <c r="AI32" s="1007"/>
      <c r="AJ32" s="1007"/>
      <c r="AK32" s="1007"/>
      <c r="AL32" s="1260"/>
      <c r="AM32" s="1007"/>
      <c r="AN32" s="1007"/>
      <c r="AO32" s="1007"/>
      <c r="AP32" s="1260"/>
      <c r="AQ32" s="1007"/>
      <c r="AR32" s="1007"/>
      <c r="AS32" s="1007"/>
      <c r="AT32" s="1260"/>
      <c r="AU32" s="1007"/>
      <c r="AV32" s="1007"/>
      <c r="AW32" s="1007"/>
      <c r="AX32" s="1035"/>
      <c r="AY32" s="1007"/>
      <c r="AZ32" s="1007"/>
      <c r="BA32" s="1007"/>
      <c r="BB32" s="1007"/>
      <c r="BC32" s="1261"/>
      <c r="BD32" s="1260"/>
      <c r="BE32" s="1260"/>
      <c r="BF32" s="1260"/>
      <c r="BG32" s="1034"/>
      <c r="BH32" s="1007">
        <v>0</v>
      </c>
      <c r="BI32" s="1007">
        <v>668</v>
      </c>
      <c r="BJ32" s="1006">
        <v>-668</v>
      </c>
      <c r="BK32" s="1035">
        <v>0</v>
      </c>
      <c r="BL32" s="1201"/>
      <c r="BM32" s="2231">
        <v>0</v>
      </c>
      <c r="BN32" s="2231">
        <v>668</v>
      </c>
      <c r="BO32" s="2231">
        <v>0</v>
      </c>
      <c r="BP32" s="2231">
        <v>0</v>
      </c>
      <c r="BQ32" s="2527">
        <v>0</v>
      </c>
      <c r="BR32" s="1846">
        <v>0</v>
      </c>
      <c r="BS32" s="1367"/>
      <c r="BT32" s="1389"/>
      <c r="BU32" s="2033"/>
      <c r="BV32" s="2033"/>
      <c r="BW32" s="1317"/>
      <c r="BX32" s="2033"/>
      <c r="BY32" s="2033"/>
      <c r="BZ32" s="2166"/>
      <c r="CA32" s="2166"/>
      <c r="CB32" s="2166"/>
      <c r="CC32" s="1153"/>
      <c r="CE32" s="1920"/>
      <c r="CJ32" s="1920"/>
      <c r="CK32" s="1315"/>
      <c r="CL32" s="1920"/>
      <c r="CM32" s="1315"/>
      <c r="CN32" s="1315"/>
      <c r="CO32" s="1315"/>
    </row>
    <row r="33" spans="1:94" ht="12.75" customHeight="1" x14ac:dyDescent="0.2">
      <c r="A33" s="948"/>
      <c r="B33" s="940"/>
      <c r="C33" s="1189">
        <v>6258</v>
      </c>
      <c r="D33" s="1190">
        <v>0.16217476935834974</v>
      </c>
      <c r="E33" s="920"/>
      <c r="F33" s="2959">
        <v>44846</v>
      </c>
      <c r="G33" s="1238">
        <v>44459</v>
      </c>
      <c r="H33" s="1238">
        <v>42616</v>
      </c>
      <c r="I33" s="1238">
        <v>41165</v>
      </c>
      <c r="J33" s="1239">
        <v>38588</v>
      </c>
      <c r="K33" s="1238">
        <v>40815</v>
      </c>
      <c r="L33" s="1238">
        <v>37585</v>
      </c>
      <c r="M33" s="1238">
        <v>27231</v>
      </c>
      <c r="N33" s="1239">
        <v>29529</v>
      </c>
      <c r="O33" s="1238">
        <v>34833</v>
      </c>
      <c r="P33" s="1238">
        <v>28952</v>
      </c>
      <c r="Q33" s="1238">
        <v>25184</v>
      </c>
      <c r="R33" s="1239">
        <v>25855</v>
      </c>
      <c r="S33" s="1944">
        <v>23345</v>
      </c>
      <c r="T33" s="1238">
        <v>23384</v>
      </c>
      <c r="U33" s="1238">
        <v>22686</v>
      </c>
      <c r="V33" s="1239">
        <v>26784</v>
      </c>
      <c r="W33" s="1238">
        <v>29816</v>
      </c>
      <c r="X33" s="1238">
        <v>26259</v>
      </c>
      <c r="Y33" s="1238">
        <v>28532</v>
      </c>
      <c r="Z33" s="1239">
        <v>30351</v>
      </c>
      <c r="AA33" s="1238">
        <v>30921</v>
      </c>
      <c r="AB33" s="1238">
        <v>27970</v>
      </c>
      <c r="AC33" s="1238">
        <v>26377</v>
      </c>
      <c r="AD33" s="1240">
        <v>27166</v>
      </c>
      <c r="AE33" s="1238">
        <v>31433</v>
      </c>
      <c r="AF33" s="1238">
        <v>31140</v>
      </c>
      <c r="AG33" s="1238">
        <v>47379</v>
      </c>
      <c r="AH33" s="1240">
        <v>34551</v>
      </c>
      <c r="AI33" s="1238">
        <v>42651</v>
      </c>
      <c r="AJ33" s="1238">
        <v>37244</v>
      </c>
      <c r="AK33" s="1238">
        <v>37327</v>
      </c>
      <c r="AL33" s="1240">
        <v>43517</v>
      </c>
      <c r="AM33" s="1238">
        <v>54200</v>
      </c>
      <c r="AN33" s="1238">
        <v>52012</v>
      </c>
      <c r="AO33" s="1238">
        <v>38601</v>
      </c>
      <c r="AP33" s="1240">
        <v>39500</v>
      </c>
      <c r="AQ33" s="1238">
        <v>46835</v>
      </c>
      <c r="AR33" s="1238">
        <v>42047</v>
      </c>
      <c r="AS33" s="1238">
        <v>35213</v>
      </c>
      <c r="AT33" s="1240">
        <v>35168</v>
      </c>
      <c r="AU33" s="1238">
        <v>28967</v>
      </c>
      <c r="AV33" s="1238">
        <v>40216</v>
      </c>
      <c r="AW33" s="1238">
        <v>35911</v>
      </c>
      <c r="AX33" s="1240">
        <v>44683</v>
      </c>
      <c r="AY33" s="1384">
        <v>98603</v>
      </c>
      <c r="AZ33" s="1266">
        <v>48132</v>
      </c>
      <c r="BA33" s="1266">
        <v>44039</v>
      </c>
      <c r="BB33" s="1266">
        <v>57148</v>
      </c>
      <c r="BC33" s="1243">
        <v>55349</v>
      </c>
      <c r="BD33" s="1240">
        <v>50178</v>
      </c>
      <c r="BE33" s="1240">
        <v>41346</v>
      </c>
      <c r="BF33" s="1240">
        <v>55217</v>
      </c>
      <c r="BG33" s="1034"/>
      <c r="BH33" s="1826">
        <v>166828</v>
      </c>
      <c r="BI33" s="1826">
        <v>135160</v>
      </c>
      <c r="BJ33" s="1385">
        <v>31668</v>
      </c>
      <c r="BK33" s="1829">
        <v>0.23430008878366382</v>
      </c>
      <c r="BL33" s="2438"/>
      <c r="BM33" s="2538">
        <v>166828</v>
      </c>
      <c r="BN33" s="1942">
        <v>135160</v>
      </c>
      <c r="BO33" s="1942">
        <v>114824</v>
      </c>
      <c r="BP33" s="1942">
        <v>96199</v>
      </c>
      <c r="BQ33" s="1243">
        <v>114958</v>
      </c>
      <c r="BR33" s="1243">
        <v>112434</v>
      </c>
      <c r="BS33" s="1240">
        <v>144503</v>
      </c>
      <c r="BT33" s="1240">
        <v>160739</v>
      </c>
      <c r="BU33" s="1951">
        <v>184313</v>
      </c>
      <c r="BV33" s="1956">
        <v>159263</v>
      </c>
      <c r="BW33" s="2032">
        <v>149777</v>
      </c>
      <c r="BX33" s="2032">
        <v>247922</v>
      </c>
      <c r="BY33" s="2032">
        <v>202090</v>
      </c>
      <c r="BZ33" s="2167">
        <v>163976</v>
      </c>
      <c r="CA33" s="2167">
        <v>127504</v>
      </c>
      <c r="CB33" s="2167">
        <v>118638</v>
      </c>
      <c r="CC33" s="1153"/>
      <c r="CE33" s="1920">
        <v>8633</v>
      </c>
      <c r="CF33" s="1180">
        <v>0.29818319977894447</v>
      </c>
      <c r="CG33" s="1180">
        <v>-2375</v>
      </c>
      <c r="CH33" s="1180">
        <v>-0.13600843042059474</v>
      </c>
      <c r="CJ33" s="1920">
        <v>94345</v>
      </c>
      <c r="CK33" s="1315">
        <v>72483</v>
      </c>
      <c r="CL33" s="1920"/>
      <c r="CM33" s="1315">
        <v>31668</v>
      </c>
      <c r="CN33" s="1315">
        <v>0.23430008878366382</v>
      </c>
      <c r="CO33" s="1315">
        <v>0</v>
      </c>
      <c r="CP33" s="1180">
        <v>0</v>
      </c>
    </row>
    <row r="34" spans="1:94" s="2304" customFormat="1" ht="24.75" customHeight="1" thickBot="1" x14ac:dyDescent="0.25">
      <c r="A34" s="3199" t="s">
        <v>214</v>
      </c>
      <c r="B34" s="3200"/>
      <c r="C34" s="1189">
        <v>4771</v>
      </c>
      <c r="D34" s="1190">
        <v>0.58175832215583467</v>
      </c>
      <c r="E34" s="920"/>
      <c r="F34" s="2010">
        <v>12972</v>
      </c>
      <c r="G34" s="1169">
        <v>9177</v>
      </c>
      <c r="H34" s="1269">
        <v>11586</v>
      </c>
      <c r="I34" s="1269">
        <v>11034</v>
      </c>
      <c r="J34" s="1231">
        <v>8201</v>
      </c>
      <c r="K34" s="1269">
        <v>10640</v>
      </c>
      <c r="L34" s="1269">
        <v>10843</v>
      </c>
      <c r="M34" s="1269">
        <v>4850</v>
      </c>
      <c r="N34" s="1231">
        <v>7389</v>
      </c>
      <c r="O34" s="1269">
        <v>5435</v>
      </c>
      <c r="P34" s="1269">
        <v>3867</v>
      </c>
      <c r="Q34" s="1269">
        <v>4548</v>
      </c>
      <c r="R34" s="1231">
        <v>3618</v>
      </c>
      <c r="S34" s="1265">
        <v>2176</v>
      </c>
      <c r="T34" s="1269">
        <v>2232</v>
      </c>
      <c r="U34" s="1269">
        <v>3469</v>
      </c>
      <c r="V34" s="1231">
        <v>4132</v>
      </c>
      <c r="W34" s="1270">
        <v>3263</v>
      </c>
      <c r="X34" s="1269">
        <v>2008</v>
      </c>
      <c r="Y34" s="1269">
        <v>3105</v>
      </c>
      <c r="Z34" s="1231">
        <v>2005</v>
      </c>
      <c r="AA34" s="1270">
        <v>1095</v>
      </c>
      <c r="AB34" s="1269">
        <v>-251</v>
      </c>
      <c r="AC34" s="1269">
        <v>-1964</v>
      </c>
      <c r="AD34" s="1780">
        <v>-324</v>
      </c>
      <c r="AE34" s="1195">
        <v>790</v>
      </c>
      <c r="AF34" s="1276">
        <v>3911</v>
      </c>
      <c r="AG34" s="1276">
        <v>-11565</v>
      </c>
      <c r="AH34" s="1277">
        <v>2216</v>
      </c>
      <c r="AI34" s="1195">
        <v>9886</v>
      </c>
      <c r="AJ34" s="1276">
        <v>7327</v>
      </c>
      <c r="AK34" s="1266">
        <v>10085</v>
      </c>
      <c r="AL34" s="1240">
        <v>11266</v>
      </c>
      <c r="AM34" s="1381">
        <v>18504</v>
      </c>
      <c r="AN34" s="1381">
        <v>16587</v>
      </c>
      <c r="AO34" s="1270">
        <v>5938</v>
      </c>
      <c r="AP34" s="1382">
        <v>7707</v>
      </c>
      <c r="AQ34" s="1270">
        <v>8155</v>
      </c>
      <c r="AR34" s="1381">
        <v>9686</v>
      </c>
      <c r="AS34" s="1270">
        <v>4925</v>
      </c>
      <c r="AT34" s="1382">
        <v>5017</v>
      </c>
      <c r="AU34" s="1381">
        <v>8288</v>
      </c>
      <c r="AV34" s="1381">
        <v>-6684</v>
      </c>
      <c r="AW34" s="1381">
        <v>7933</v>
      </c>
      <c r="AX34" s="1382">
        <v>13170</v>
      </c>
      <c r="AY34" s="1456">
        <v>-44140</v>
      </c>
      <c r="AZ34" s="1240">
        <v>13034</v>
      </c>
      <c r="BA34" s="1240">
        <v>13376</v>
      </c>
      <c r="BB34" s="1266">
        <v>18935</v>
      </c>
      <c r="BC34" s="1266">
        <v>20527</v>
      </c>
      <c r="BD34" s="1266">
        <v>18653</v>
      </c>
      <c r="BE34" s="1266">
        <v>14280</v>
      </c>
      <c r="BF34" s="1266">
        <v>17069</v>
      </c>
      <c r="BG34" s="1034"/>
      <c r="BH34" s="1189">
        <v>39998</v>
      </c>
      <c r="BI34" s="1006">
        <v>33722</v>
      </c>
      <c r="BJ34" s="1743">
        <v>6276</v>
      </c>
      <c r="BK34" s="1829">
        <v>0.18610995789099105</v>
      </c>
      <c r="BL34" s="2438"/>
      <c r="BM34" s="2538">
        <v>39998</v>
      </c>
      <c r="BN34" s="2525">
        <v>33722</v>
      </c>
      <c r="BO34" s="2525">
        <v>17468</v>
      </c>
      <c r="BP34" s="2525">
        <v>12009</v>
      </c>
      <c r="BQ34" s="1268">
        <v>10381</v>
      </c>
      <c r="BR34" s="1268">
        <v>-1444</v>
      </c>
      <c r="BS34" s="1268">
        <v>-4648</v>
      </c>
      <c r="BT34" s="1268">
        <v>38564</v>
      </c>
      <c r="BU34" s="2012">
        <v>48736</v>
      </c>
      <c r="BV34" s="2036">
        <v>27783</v>
      </c>
      <c r="BW34" s="2032">
        <v>22707</v>
      </c>
      <c r="BX34" s="1958">
        <v>1205</v>
      </c>
      <c r="BY34" s="1958">
        <v>70529</v>
      </c>
      <c r="BZ34" s="2024">
        <v>61218</v>
      </c>
      <c r="CA34" s="2024">
        <v>50672</v>
      </c>
      <c r="CB34" s="2168">
        <v>57345</v>
      </c>
      <c r="CC34" s="1153"/>
      <c r="CE34" s="1920">
        <v>6976</v>
      </c>
      <c r="CF34" s="1180">
        <v>1.8039824153090251</v>
      </c>
      <c r="CG34" s="1180">
        <v>-2205</v>
      </c>
      <c r="CH34" s="1180">
        <v>-1.2222240931531905</v>
      </c>
      <c r="CI34" s="1180"/>
      <c r="CJ34" s="1920">
        <v>23082</v>
      </c>
      <c r="CK34" s="1315">
        <v>16916</v>
      </c>
      <c r="CL34" s="1920"/>
      <c r="CM34" s="1315">
        <v>6276</v>
      </c>
      <c r="CN34" s="1315">
        <v>0.18610995789099105</v>
      </c>
      <c r="CO34" s="1315">
        <v>0</v>
      </c>
      <c r="CP34" s="1180">
        <v>0</v>
      </c>
    </row>
    <row r="35" spans="1:94" s="2304" customFormat="1" ht="15" customHeight="1" thickTop="1" x14ac:dyDescent="0.2">
      <c r="A35" s="2993"/>
      <c r="B35" s="2526" t="s">
        <v>332</v>
      </c>
      <c r="C35" s="1189">
        <v>669</v>
      </c>
      <c r="D35" s="1190">
        <v>0.21984883338810385</v>
      </c>
      <c r="E35" s="920"/>
      <c r="F35" s="1329">
        <v>3712</v>
      </c>
      <c r="G35" s="1326">
        <v>4021</v>
      </c>
      <c r="H35" s="1407">
        <v>2725</v>
      </c>
      <c r="I35" s="1407">
        <v>3363</v>
      </c>
      <c r="J35" s="1399">
        <v>3043</v>
      </c>
      <c r="K35" s="1407">
        <v>2854</v>
      </c>
      <c r="L35" s="1407">
        <v>3345</v>
      </c>
      <c r="M35" s="1407">
        <v>3776</v>
      </c>
      <c r="N35" s="1399">
        <v>4225</v>
      </c>
      <c r="O35" s="1407">
        <v>3977</v>
      </c>
      <c r="P35" s="1407">
        <v>4348</v>
      </c>
      <c r="Q35" s="1407">
        <v>3916</v>
      </c>
      <c r="R35" s="1399">
        <v>3263</v>
      </c>
      <c r="S35" s="1426">
        <v>5413</v>
      </c>
      <c r="T35" s="1407">
        <v>4592</v>
      </c>
      <c r="U35" s="1407">
        <v>5137</v>
      </c>
      <c r="V35" s="1399">
        <v>4522</v>
      </c>
      <c r="W35" s="1406">
        <v>4542</v>
      </c>
      <c r="X35" s="1407">
        <v>3794</v>
      </c>
      <c r="Y35" s="1407">
        <v>4870</v>
      </c>
      <c r="Z35" s="1399">
        <v>4277</v>
      </c>
      <c r="AA35" s="1406">
        <v>4275</v>
      </c>
      <c r="AB35" s="1406">
        <v>4407</v>
      </c>
      <c r="AC35" s="1407">
        <v>3182</v>
      </c>
      <c r="AD35" s="1424">
        <v>4808</v>
      </c>
      <c r="AE35" s="1407">
        <v>8342</v>
      </c>
      <c r="AF35" s="1407">
        <v>8506</v>
      </c>
      <c r="AG35" s="1407">
        <v>9222</v>
      </c>
      <c r="AH35" s="1424">
        <v>9425</v>
      </c>
      <c r="AI35" s="1407">
        <v>10587</v>
      </c>
      <c r="AJ35" s="1407">
        <v>8276</v>
      </c>
      <c r="AK35" s="1406">
        <v>8150</v>
      </c>
      <c r="AL35" s="1399">
        <v>8724</v>
      </c>
      <c r="AM35" s="1406"/>
      <c r="AN35" s="1406"/>
      <c r="AO35" s="1406"/>
      <c r="AP35" s="1399"/>
      <c r="AQ35" s="1406"/>
      <c r="AR35" s="1406"/>
      <c r="AS35" s="1406"/>
      <c r="AT35" s="1399"/>
      <c r="AU35" s="1425"/>
      <c r="AV35" s="1425"/>
      <c r="AW35" s="1425"/>
      <c r="AX35" s="1414"/>
      <c r="AY35" s="1831"/>
      <c r="AZ35" s="1411"/>
      <c r="BA35" s="1411"/>
      <c r="BB35" s="1410"/>
      <c r="BC35" s="1410"/>
      <c r="BD35" s="1410"/>
      <c r="BE35" s="1410"/>
      <c r="BF35" s="1410"/>
      <c r="BG35" s="1830"/>
      <c r="BH35" s="1816">
        <v>13152</v>
      </c>
      <c r="BI35" s="1816">
        <v>14200</v>
      </c>
      <c r="BJ35" s="1743">
        <v>-1048</v>
      </c>
      <c r="BK35" s="1190">
        <v>-7.3802816901408455E-2</v>
      </c>
      <c r="BL35" s="2916"/>
      <c r="BM35" s="2538">
        <v>13152</v>
      </c>
      <c r="BN35" s="2231">
        <v>14200</v>
      </c>
      <c r="BO35" s="2231">
        <v>15504</v>
      </c>
      <c r="BP35" s="2231">
        <v>19664</v>
      </c>
      <c r="BQ35" s="1477">
        <v>17483</v>
      </c>
      <c r="BR35" s="1413">
        <v>16672</v>
      </c>
      <c r="BS35" s="1409">
        <v>35495</v>
      </c>
      <c r="BT35" s="1409">
        <v>35737</v>
      </c>
      <c r="BU35" s="1959">
        <v>36604</v>
      </c>
      <c r="BV35" s="1959">
        <v>35782</v>
      </c>
      <c r="BW35" s="2039" t="s">
        <v>181</v>
      </c>
      <c r="BX35" s="2040"/>
      <c r="BY35" s="2040"/>
      <c r="BZ35" s="2041"/>
      <c r="CA35" s="2041"/>
      <c r="CB35" s="2009"/>
      <c r="CC35" s="1153"/>
      <c r="CE35" s="1920">
        <v>-1003</v>
      </c>
      <c r="CF35" s="1180">
        <v>-0.23068077276908924</v>
      </c>
      <c r="CG35" s="1180">
        <v>1672</v>
      </c>
      <c r="CH35" s="1180">
        <v>0.45052960615719306</v>
      </c>
      <c r="CI35" s="1180"/>
      <c r="CJ35" s="1920">
        <v>11346</v>
      </c>
      <c r="CK35" s="1315">
        <v>1806</v>
      </c>
      <c r="CL35" s="1920"/>
      <c r="CM35" s="1315">
        <v>-1048</v>
      </c>
      <c r="CN35" s="1315">
        <v>-7.3802816901408455E-2</v>
      </c>
      <c r="CO35" s="1315">
        <v>0</v>
      </c>
      <c r="CP35" s="1180">
        <v>0</v>
      </c>
    </row>
    <row r="36" spans="1:94" s="2304" customFormat="1" ht="24.75" customHeight="1" thickBot="1" x14ac:dyDescent="0.25">
      <c r="A36" s="2528" t="s">
        <v>72</v>
      </c>
      <c r="B36" s="947"/>
      <c r="C36" s="1189">
        <v>4102</v>
      </c>
      <c r="D36" s="1190">
        <v>0.79526948429623889</v>
      </c>
      <c r="E36" s="920"/>
      <c r="F36" s="2048">
        <v>9260</v>
      </c>
      <c r="G36" s="1332">
        <v>5156</v>
      </c>
      <c r="H36" s="1435">
        <v>8861</v>
      </c>
      <c r="I36" s="1435">
        <v>7671</v>
      </c>
      <c r="J36" s="1439">
        <v>5158</v>
      </c>
      <c r="K36" s="1435">
        <v>7786</v>
      </c>
      <c r="L36" s="1435">
        <v>7498</v>
      </c>
      <c r="M36" s="1435">
        <v>1074</v>
      </c>
      <c r="N36" s="1439">
        <v>3164</v>
      </c>
      <c r="O36" s="1435">
        <v>1458</v>
      </c>
      <c r="P36" s="1435">
        <v>-481</v>
      </c>
      <c r="Q36" s="1435">
        <v>632</v>
      </c>
      <c r="R36" s="1439">
        <v>355</v>
      </c>
      <c r="S36" s="1443">
        <v>-3237</v>
      </c>
      <c r="T36" s="1435">
        <v>-2360</v>
      </c>
      <c r="U36" s="1435">
        <v>-1668</v>
      </c>
      <c r="V36" s="1439">
        <v>-390</v>
      </c>
      <c r="W36" s="1435">
        <v>-1279</v>
      </c>
      <c r="X36" s="1435">
        <v>-1786</v>
      </c>
      <c r="Y36" s="1435">
        <v>-1765</v>
      </c>
      <c r="Z36" s="1439">
        <v>-2272</v>
      </c>
      <c r="AA36" s="1435">
        <v>-3180</v>
      </c>
      <c r="AB36" s="1435">
        <v>-4658</v>
      </c>
      <c r="AC36" s="1435">
        <v>-5146</v>
      </c>
      <c r="AD36" s="1439">
        <v>-5132</v>
      </c>
      <c r="AE36" s="1435">
        <v>-7552</v>
      </c>
      <c r="AF36" s="1435">
        <v>-4595</v>
      </c>
      <c r="AG36" s="1435">
        <v>-20787</v>
      </c>
      <c r="AH36" s="1439">
        <v>-7209</v>
      </c>
      <c r="AI36" s="1435">
        <v>-701</v>
      </c>
      <c r="AJ36" s="1435">
        <v>-949</v>
      </c>
      <c r="AK36" s="1437">
        <v>1935</v>
      </c>
      <c r="AL36" s="1438">
        <v>2542</v>
      </c>
      <c r="AM36" s="1437">
        <v>9122</v>
      </c>
      <c r="AN36" s="1437">
        <v>8143</v>
      </c>
      <c r="AO36" s="1437">
        <v>-3436</v>
      </c>
      <c r="AP36" s="1438">
        <v>-1697</v>
      </c>
      <c r="AQ36" s="1437">
        <v>-1070</v>
      </c>
      <c r="AR36" s="1437">
        <v>-87</v>
      </c>
      <c r="AS36" s="1437">
        <v>-3294</v>
      </c>
      <c r="AT36" s="1438">
        <v>-3548</v>
      </c>
      <c r="AU36" s="1440" t="s">
        <v>181</v>
      </c>
      <c r="AV36" s="1440" t="s">
        <v>181</v>
      </c>
      <c r="AW36" s="1440" t="s">
        <v>181</v>
      </c>
      <c r="AX36" s="1441" t="s">
        <v>181</v>
      </c>
      <c r="AY36" s="1832" t="s">
        <v>181</v>
      </c>
      <c r="AZ36" s="1411"/>
      <c r="BA36" s="1411"/>
      <c r="BB36" s="1410"/>
      <c r="BC36" s="1410"/>
      <c r="BD36" s="1410"/>
      <c r="BE36" s="1410"/>
      <c r="BF36" s="1410"/>
      <c r="BG36" s="1830"/>
      <c r="BH36" s="1404">
        <v>26846</v>
      </c>
      <c r="BI36" s="1404">
        <v>19522</v>
      </c>
      <c r="BJ36" s="1404">
        <v>7324</v>
      </c>
      <c r="BK36" s="1200">
        <v>0.3751664788443807</v>
      </c>
      <c r="BL36" s="2916"/>
      <c r="BM36" s="2836">
        <v>26846</v>
      </c>
      <c r="BN36" s="1943">
        <v>19522</v>
      </c>
      <c r="BO36" s="1943">
        <v>1964</v>
      </c>
      <c r="BP36" s="1943">
        <v>-7655</v>
      </c>
      <c r="BQ36" s="1443">
        <v>-7102</v>
      </c>
      <c r="BR36" s="1443">
        <v>-18116</v>
      </c>
      <c r="BS36" s="1439">
        <v>-40143</v>
      </c>
      <c r="BT36" s="1439">
        <v>2827</v>
      </c>
      <c r="BU36" s="1963">
        <v>12132</v>
      </c>
      <c r="BV36" s="2048">
        <v>-7999</v>
      </c>
      <c r="BW36" s="2169" t="s">
        <v>181</v>
      </c>
      <c r="BX36" s="2047" t="s">
        <v>181</v>
      </c>
      <c r="BY36" s="2047" t="s">
        <v>181</v>
      </c>
      <c r="BZ36" s="2050" t="s">
        <v>181</v>
      </c>
      <c r="CA36" s="2050" t="s">
        <v>181</v>
      </c>
      <c r="CB36" s="2009"/>
      <c r="CC36" s="1153"/>
      <c r="CE36" s="1920">
        <v>7979</v>
      </c>
      <c r="CF36" s="1180">
        <v>-16.588357588357589</v>
      </c>
      <c r="CG36" s="1180">
        <v>-3877</v>
      </c>
      <c r="CH36" s="1180">
        <v>17.383627072653827</v>
      </c>
      <c r="CI36" s="1180"/>
      <c r="CJ36" s="1920">
        <v>11736</v>
      </c>
      <c r="CK36" s="1315">
        <v>15110</v>
      </c>
      <c r="CL36" s="1920"/>
      <c r="CM36" s="1315">
        <v>7324</v>
      </c>
      <c r="CN36" s="1315">
        <v>0.3751664788443807</v>
      </c>
      <c r="CO36" s="1315">
        <v>0</v>
      </c>
      <c r="CP36" s="1180">
        <v>0</v>
      </c>
    </row>
    <row r="37" spans="1:94" ht="12.75" customHeight="1" thickTop="1" x14ac:dyDescent="0.2">
      <c r="A37" s="1201"/>
      <c r="B37" s="1201"/>
      <c r="C37" s="1006"/>
      <c r="D37" s="952"/>
      <c r="E37" s="908"/>
      <c r="F37" s="908"/>
      <c r="G37" s="908"/>
      <c r="H37" s="952"/>
      <c r="I37" s="952"/>
      <c r="J37" s="946"/>
      <c r="K37" s="952"/>
      <c r="L37" s="952"/>
      <c r="M37" s="952"/>
      <c r="N37" s="946"/>
      <c r="O37" s="952"/>
      <c r="P37" s="952"/>
      <c r="Q37" s="952"/>
      <c r="R37" s="946"/>
      <c r="S37" s="952"/>
      <c r="T37" s="952"/>
      <c r="U37" s="952"/>
      <c r="V37" s="946"/>
      <c r="W37" s="952"/>
      <c r="X37" s="952"/>
      <c r="Y37" s="952"/>
      <c r="Z37" s="946"/>
      <c r="AA37" s="952"/>
      <c r="AB37" s="952"/>
      <c r="AC37" s="952"/>
      <c r="AD37" s="946"/>
      <c r="AE37" s="952"/>
      <c r="AF37" s="952"/>
      <c r="AG37" s="952"/>
      <c r="AH37" s="946"/>
      <c r="AI37" s="952"/>
      <c r="AJ37" s="952"/>
      <c r="AK37" s="952"/>
      <c r="AL37" s="946"/>
      <c r="AM37" s="952"/>
      <c r="AN37" s="952"/>
      <c r="AO37" s="952"/>
      <c r="AP37" s="946"/>
      <c r="AQ37" s="952"/>
      <c r="AR37" s="952"/>
      <c r="AS37" s="952"/>
      <c r="AT37" s="946"/>
      <c r="AU37" s="952"/>
      <c r="AV37" s="952"/>
      <c r="AW37" s="952"/>
      <c r="AX37" s="946"/>
      <c r="AY37" s="1201"/>
      <c r="AZ37" s="1201"/>
      <c r="BA37" s="1201"/>
      <c r="BB37" s="1270"/>
      <c r="BC37" s="1270"/>
      <c r="BD37" s="1270"/>
      <c r="BE37" s="1270"/>
      <c r="BF37" s="1270"/>
      <c r="BG37" s="946"/>
      <c r="BH37" s="946"/>
      <c r="BI37" s="946"/>
      <c r="BJ37" s="1006"/>
      <c r="BK37" s="952"/>
      <c r="BL37" s="946"/>
      <c r="BM37" s="946"/>
      <c r="BN37" s="946"/>
      <c r="BO37" s="946"/>
      <c r="BP37" s="946"/>
      <c r="BQ37" s="946"/>
      <c r="BR37" s="1208"/>
      <c r="BS37" s="1208"/>
      <c r="BT37" s="1208"/>
      <c r="BU37" s="1153"/>
      <c r="BV37" s="1153"/>
      <c r="BW37" s="1153"/>
      <c r="BX37" s="914"/>
      <c r="BY37" s="914"/>
      <c r="BZ37" s="2009"/>
      <c r="CA37" s="2009"/>
      <c r="CB37" s="2009"/>
      <c r="CC37" s="1153"/>
      <c r="CE37" s="1315"/>
      <c r="CG37" s="1315"/>
    </row>
    <row r="38" spans="1:94" ht="13.5" customHeight="1" x14ac:dyDescent="0.2">
      <c r="A38" s="1204" t="s">
        <v>641</v>
      </c>
      <c r="B38" s="1201"/>
      <c r="C38" s="1805">
        <v>1.5060471744784143</v>
      </c>
      <c r="D38" s="952"/>
      <c r="E38" s="908"/>
      <c r="F38" s="923">
        <v>0.35028883738628108</v>
      </c>
      <c r="G38" s="923">
        <v>0.38388565515698414</v>
      </c>
      <c r="H38" s="1036">
        <v>0.33663754105014576</v>
      </c>
      <c r="I38" s="1036">
        <v>0.33788003601601563</v>
      </c>
      <c r="J38" s="1036">
        <v>0.33522836564149694</v>
      </c>
      <c r="K38" s="1036">
        <v>0.28502575065591296</v>
      </c>
      <c r="L38" s="1036">
        <v>0.28972908234905426</v>
      </c>
      <c r="M38" s="1036">
        <v>0.42402044824039153</v>
      </c>
      <c r="N38" s="1036">
        <v>0.38450078552467631</v>
      </c>
      <c r="O38" s="1036">
        <v>0.32728220919837092</v>
      </c>
      <c r="P38" s="1036">
        <v>0.33678661750815075</v>
      </c>
      <c r="Q38" s="1036">
        <v>0.35480290595990854</v>
      </c>
      <c r="R38" s="1036">
        <v>0.37610694533980255</v>
      </c>
      <c r="S38" s="1036">
        <v>0.45690282512440727</v>
      </c>
      <c r="T38" s="1036">
        <v>0.46627041090997806</v>
      </c>
      <c r="U38" s="1036">
        <v>0.45328491684190392</v>
      </c>
      <c r="V38" s="1036">
        <v>0.38895717427869064</v>
      </c>
      <c r="W38" s="1036">
        <v>0.34889204631337101</v>
      </c>
      <c r="X38" s="1036">
        <v>0.40145752998195777</v>
      </c>
      <c r="Y38" s="1036">
        <v>0.34314252299522713</v>
      </c>
      <c r="Z38" s="1036">
        <v>0.31647916924218072</v>
      </c>
      <c r="AA38" s="1036">
        <v>0.29641429285357324</v>
      </c>
      <c r="AB38" s="1036">
        <v>0.32353259497095854</v>
      </c>
      <c r="AC38" s="1036">
        <v>0.35776020972432721</v>
      </c>
      <c r="AD38" s="1036">
        <v>0.31834438566425749</v>
      </c>
      <c r="AE38" s="1036">
        <v>0.25</v>
      </c>
      <c r="AF38" s="1036">
        <v>0.27974112237077409</v>
      </c>
      <c r="AG38" s="1036">
        <v>0.26209862850650578</v>
      </c>
      <c r="AH38" s="1036">
        <v>0.25689293025976445</v>
      </c>
      <c r="AI38" s="1036">
        <v>0.185</v>
      </c>
      <c r="AJ38" s="1036">
        <v>0.19878396266630768</v>
      </c>
      <c r="AK38" s="1036">
        <v>0.19393824348266261</v>
      </c>
      <c r="AL38" s="1036">
        <v>0.1696146614825767</v>
      </c>
      <c r="AM38" s="1036">
        <v>0.12057108274647887</v>
      </c>
      <c r="AN38" s="1036">
        <v>0.11753815653289407</v>
      </c>
      <c r="AO38" s="1036">
        <v>0.15242820898538359</v>
      </c>
      <c r="AP38" s="1036">
        <v>0.14044527294680872</v>
      </c>
      <c r="AQ38" s="1036">
        <v>0.11445717403164211</v>
      </c>
      <c r="AR38" s="1036">
        <v>0.11710126998240968</v>
      </c>
      <c r="AS38" s="1036">
        <v>0.15167671533210425</v>
      </c>
      <c r="AT38" s="1036">
        <v>0.1384596242378997</v>
      </c>
      <c r="AU38" s="1036">
        <v>0.14532277546638034</v>
      </c>
      <c r="AV38" s="1036">
        <v>0.18445067398306095</v>
      </c>
      <c r="AW38" s="1036">
        <v>0.19284280631329259</v>
      </c>
      <c r="AX38" s="1036">
        <v>0.157</v>
      </c>
      <c r="AY38" s="1036">
        <v>0.16300000000000001</v>
      </c>
      <c r="AZ38" s="1036">
        <v>0.153</v>
      </c>
      <c r="BA38" s="1036">
        <v>0.16</v>
      </c>
      <c r="BB38" s="1036">
        <v>0.12</v>
      </c>
      <c r="BC38" s="1036">
        <v>0.11600000000000001</v>
      </c>
      <c r="BD38" s="1036">
        <v>0.121</v>
      </c>
      <c r="BE38" s="1036">
        <v>0.14299999999999999</v>
      </c>
      <c r="BF38" s="1036">
        <v>0.104</v>
      </c>
      <c r="BG38" s="946"/>
      <c r="BH38" s="1036">
        <v>0.34888514500111206</v>
      </c>
      <c r="BI38" s="1036">
        <v>0.33452351345910164</v>
      </c>
      <c r="BJ38" s="1805">
        <v>1.4361631542010422</v>
      </c>
      <c r="BK38" s="952"/>
      <c r="BL38" s="1208"/>
      <c r="BM38" s="1036">
        <v>0.34888514500111206</v>
      </c>
      <c r="BN38" s="1036">
        <v>0.33452351345910164</v>
      </c>
      <c r="BO38" s="1036">
        <v>0.34670274846551569</v>
      </c>
      <c r="BP38" s="1036">
        <v>0.43883323641385102</v>
      </c>
      <c r="BQ38" s="1036">
        <v>0.35092828249786578</v>
      </c>
      <c r="BR38" s="1036">
        <v>0.32198396251914585</v>
      </c>
      <c r="BS38" s="1036">
        <v>0.26219580263451664</v>
      </c>
      <c r="BT38" s="1036">
        <v>0.189</v>
      </c>
      <c r="BU38" s="923">
        <v>0.12979244708194415</v>
      </c>
      <c r="BV38" s="923">
        <v>0.128</v>
      </c>
      <c r="BW38" s="923">
        <v>0.16900000000000001</v>
      </c>
      <c r="BX38" s="923">
        <v>0.14699999999999999</v>
      </c>
      <c r="BY38" s="923">
        <v>0.11899999999999999</v>
      </c>
      <c r="BZ38" s="2170">
        <v>9.9000000000000005E-2</v>
      </c>
      <c r="CA38" s="2170">
        <v>7.6999999999999999E-2</v>
      </c>
      <c r="CB38" s="2170">
        <v>7.9000000000000001E-2</v>
      </c>
      <c r="CC38" s="1153"/>
      <c r="CE38" s="1315"/>
      <c r="CG38" s="1315"/>
    </row>
    <row r="39" spans="1:94" ht="13.5" customHeight="1" x14ac:dyDescent="0.2">
      <c r="A39" s="1203" t="s">
        <v>623</v>
      </c>
      <c r="B39" s="1201"/>
      <c r="C39" s="1805">
        <v>1.0606672271622597</v>
      </c>
      <c r="D39" s="952"/>
      <c r="E39" s="908"/>
      <c r="F39" s="923">
        <v>0.57926597253450485</v>
      </c>
      <c r="G39" s="923">
        <v>0.57179879185621596</v>
      </c>
      <c r="H39" s="1036">
        <v>0.57968340651636474</v>
      </c>
      <c r="I39" s="1036">
        <v>0.57786547635012164</v>
      </c>
      <c r="J39" s="1036">
        <v>0.56865930026288225</v>
      </c>
      <c r="K39" s="1036">
        <v>0.584977164512681</v>
      </c>
      <c r="L39" s="1036">
        <v>0.57103328652845464</v>
      </c>
      <c r="M39" s="1036">
        <v>0.58826096443377696</v>
      </c>
      <c r="N39" s="1036">
        <v>0.57075139498347693</v>
      </c>
      <c r="O39" s="1036">
        <v>0.61604748187146119</v>
      </c>
      <c r="P39" s="1036">
        <v>0.56065084249977148</v>
      </c>
      <c r="Q39" s="1036">
        <v>0.57510426476523613</v>
      </c>
      <c r="R39" s="1036">
        <v>0.60265327587961859</v>
      </c>
      <c r="S39" s="1036">
        <v>0.58453822342384698</v>
      </c>
      <c r="T39" s="1036">
        <v>0.57175202998126173</v>
      </c>
      <c r="U39" s="1036">
        <v>0.57598929458994452</v>
      </c>
      <c r="V39" s="1036">
        <v>0.60583516625695433</v>
      </c>
      <c r="W39" s="1036">
        <v>0.59977629311647873</v>
      </c>
      <c r="X39" s="1036">
        <v>0.58531149396823146</v>
      </c>
      <c r="Y39" s="1036">
        <v>0.58779277428327592</v>
      </c>
      <c r="Z39" s="1036">
        <v>0.61874150080356038</v>
      </c>
      <c r="AA39" s="1036">
        <v>0.6479572713643178</v>
      </c>
      <c r="AB39" s="1036">
        <v>0.61070024171146142</v>
      </c>
      <c r="AC39" s="1036">
        <v>0.62462622373325682</v>
      </c>
      <c r="AD39" s="1036">
        <v>0.62808285522688323</v>
      </c>
      <c r="AE39" s="1036">
        <v>0.64655680724948017</v>
      </c>
      <c r="AF39" s="1036">
        <v>0.6104533394197027</v>
      </c>
      <c r="AG39" s="1036">
        <v>0.64781928854637849</v>
      </c>
      <c r="AH39" s="1036">
        <v>0.61838061304974568</v>
      </c>
      <c r="AI39" s="1036">
        <v>0.57879208938462412</v>
      </c>
      <c r="AJ39" s="1036">
        <v>0.58291265621143795</v>
      </c>
      <c r="AK39" s="1036">
        <v>0.57164852779886943</v>
      </c>
      <c r="AL39" s="1036">
        <v>0.58711644123176898</v>
      </c>
      <c r="AM39" s="1036">
        <v>0.56511333626760563</v>
      </c>
      <c r="AN39" s="1036">
        <v>0.57583929794894972</v>
      </c>
      <c r="AO39" s="1036">
        <v>0.59224499876512715</v>
      </c>
      <c r="AP39" s="1036">
        <v>0.57540195310017583</v>
      </c>
      <c r="AQ39" s="1036">
        <v>0.57785051827605016</v>
      </c>
      <c r="AR39" s="1036">
        <v>0.54879863916648952</v>
      </c>
      <c r="AS39" s="1036">
        <v>0.59116049628780709</v>
      </c>
      <c r="AT39" s="1036">
        <v>0.56959064327485376</v>
      </c>
      <c r="AU39" s="1036">
        <v>0.47314454435646219</v>
      </c>
      <c r="AV39" s="1036">
        <v>0.5144936180365024</v>
      </c>
      <c r="AW39" s="1036">
        <v>0.53811239850378612</v>
      </c>
      <c r="AX39" s="1036">
        <v>0.53119112232727772</v>
      </c>
      <c r="AY39" s="1036">
        <v>0.53</v>
      </c>
      <c r="AZ39" s="1036">
        <v>0.51900000000000002</v>
      </c>
      <c r="BA39" s="1036">
        <v>0.503</v>
      </c>
      <c r="BB39" s="1036">
        <v>0.54800000000000004</v>
      </c>
      <c r="BC39" s="1036">
        <v>0.53900000000000003</v>
      </c>
      <c r="BD39" s="1036">
        <v>0.50700000000000001</v>
      </c>
      <c r="BE39" s="1036">
        <v>0.499</v>
      </c>
      <c r="BF39" s="1036">
        <v>0.50900000000000001</v>
      </c>
      <c r="BG39" s="946"/>
      <c r="BH39" s="1036">
        <v>0.57468596791505899</v>
      </c>
      <c r="BI39" s="1036">
        <v>0.57849267535912652</v>
      </c>
      <c r="BJ39" s="1805">
        <v>-0.38067074440675253</v>
      </c>
      <c r="BK39" s="952"/>
      <c r="BL39" s="1208"/>
      <c r="BM39" s="1036">
        <v>0.57468596791505899</v>
      </c>
      <c r="BN39" s="1036">
        <v>0.57849267535912652</v>
      </c>
      <c r="BO39" s="1036">
        <v>0.59011882804704741</v>
      </c>
      <c r="BP39" s="1036">
        <v>0.58552972053822272</v>
      </c>
      <c r="BQ39" s="1036">
        <v>0.5983851793934849</v>
      </c>
      <c r="BR39" s="1036">
        <v>0.62871429858545813</v>
      </c>
      <c r="BS39" s="1036">
        <v>0.63042436809552749</v>
      </c>
      <c r="BT39" s="1036">
        <v>0.58030235370265371</v>
      </c>
      <c r="BU39" s="923">
        <v>0.57553990791636089</v>
      </c>
      <c r="BV39" s="923">
        <v>0.57089699859927501</v>
      </c>
      <c r="BW39" s="923">
        <v>0.51716680967510031</v>
      </c>
      <c r="BX39" s="923">
        <v>0.5264543786903868</v>
      </c>
      <c r="BY39" s="923">
        <v>0.51500000000000001</v>
      </c>
      <c r="BZ39" s="2022">
        <v>0.52500000000000002</v>
      </c>
      <c r="CA39" s="2022">
        <v>0.53600000000000003</v>
      </c>
      <c r="CB39" s="2022">
        <v>0.52800000000000002</v>
      </c>
      <c r="CC39" s="1153"/>
      <c r="CE39" s="1315"/>
      <c r="CG39" s="1315"/>
    </row>
    <row r="40" spans="1:94" ht="12.75" customHeight="1" x14ac:dyDescent="0.2">
      <c r="A40" s="1201" t="s">
        <v>75</v>
      </c>
      <c r="B40" s="1201"/>
      <c r="C40" s="1805">
        <v>-6.9133054150532809</v>
      </c>
      <c r="D40" s="952"/>
      <c r="E40" s="908"/>
      <c r="F40" s="923">
        <v>0.18693140544467121</v>
      </c>
      <c r="G40" s="923">
        <v>0.2571034379894101</v>
      </c>
      <c r="H40" s="1036">
        <v>0.20656064351868936</v>
      </c>
      <c r="I40" s="1036">
        <v>0.21075116381539877</v>
      </c>
      <c r="J40" s="1036">
        <v>0.25606445959520402</v>
      </c>
      <c r="K40" s="1036">
        <v>0.20824020989213876</v>
      </c>
      <c r="L40" s="1036">
        <v>0.20506731642851242</v>
      </c>
      <c r="M40" s="1036">
        <v>0.26055920950095074</v>
      </c>
      <c r="N40" s="1036">
        <v>0.2291023349043827</v>
      </c>
      <c r="O40" s="1036">
        <v>0.24898182179398032</v>
      </c>
      <c r="P40" s="1036">
        <v>0.32152107011182546</v>
      </c>
      <c r="Q40" s="1036">
        <v>0.27192923449482037</v>
      </c>
      <c r="R40" s="1036">
        <v>0.27459030298917653</v>
      </c>
      <c r="S40" s="1036">
        <v>0.33019865992711883</v>
      </c>
      <c r="T40" s="1036">
        <v>0.34111492816989381</v>
      </c>
      <c r="U40" s="1036">
        <v>0.29137832154463772</v>
      </c>
      <c r="V40" s="1036">
        <v>0.26051235606158624</v>
      </c>
      <c r="W40" s="1036">
        <v>0.3015810635146165</v>
      </c>
      <c r="X40" s="1036">
        <v>0.34365160788198251</v>
      </c>
      <c r="Y40" s="1036">
        <v>0.31406264816512314</v>
      </c>
      <c r="Z40" s="1036">
        <v>0.31929163060946963</v>
      </c>
      <c r="AA40" s="1036">
        <v>0.31784107946026985</v>
      </c>
      <c r="AB40" s="1036">
        <v>0.39835491900862224</v>
      </c>
      <c r="AC40" s="1036">
        <v>0.45582271740466146</v>
      </c>
      <c r="AD40" s="1036">
        <v>0.38398778034423664</v>
      </c>
      <c r="AE40" s="1036">
        <v>0.32892654315240666</v>
      </c>
      <c r="AF40" s="1036">
        <v>0.27796639182904909</v>
      </c>
      <c r="AG40" s="1036">
        <v>0.6750991232478919</v>
      </c>
      <c r="AH40" s="1036">
        <v>0.32134794788805177</v>
      </c>
      <c r="AI40" s="1036">
        <v>0.23303576527019054</v>
      </c>
      <c r="AJ40" s="1036">
        <v>0.25269794260842254</v>
      </c>
      <c r="AK40" s="1036">
        <v>0.21564160971905846</v>
      </c>
      <c r="AL40" s="1036">
        <v>0.20723582133143492</v>
      </c>
      <c r="AM40" s="1036">
        <v>0.18037522007042253</v>
      </c>
      <c r="AN40" s="1036">
        <v>0.18236417440487471</v>
      </c>
      <c r="AO40" s="1036">
        <v>0.27443364242573925</v>
      </c>
      <c r="AP40" s="1036">
        <v>0.26133836083631667</v>
      </c>
      <c r="AQ40" s="1036">
        <v>0.27384979087106748</v>
      </c>
      <c r="AR40" s="1036">
        <v>0.26397077300755806</v>
      </c>
      <c r="AS40" s="1036">
        <v>0.28613782450545616</v>
      </c>
      <c r="AT40" s="1036">
        <v>0.3045617767823815</v>
      </c>
      <c r="AU40" s="1036">
        <v>0.30438867266138775</v>
      </c>
      <c r="AV40" s="1036">
        <v>0.68483836335440773</v>
      </c>
      <c r="AW40" s="1036">
        <v>0.28095064318949003</v>
      </c>
      <c r="AX40" s="1036">
        <v>0.24116294747031269</v>
      </c>
      <c r="AY40" s="1036">
        <v>1.28</v>
      </c>
      <c r="AZ40" s="1036">
        <v>0.26800000000000002</v>
      </c>
      <c r="BA40" s="1036">
        <v>0.26400000000000001</v>
      </c>
      <c r="BB40" s="1036">
        <v>0.20299999999999996</v>
      </c>
      <c r="BC40" s="1036">
        <v>0.19</v>
      </c>
      <c r="BD40" s="1036">
        <v>0.22199999999999998</v>
      </c>
      <c r="BE40" s="1036">
        <v>0.24399999999999999</v>
      </c>
      <c r="BF40" s="1036">
        <v>0.255</v>
      </c>
      <c r="BG40" s="946"/>
      <c r="BH40" s="1036">
        <v>0.23192441956040344</v>
      </c>
      <c r="BI40" s="1036">
        <v>0.22182944304307151</v>
      </c>
      <c r="BJ40" s="1805">
        <v>1.0094976517331933</v>
      </c>
      <c r="BK40" s="952"/>
      <c r="BL40" s="1208"/>
      <c r="BM40" s="1036">
        <v>0.23192441956040344</v>
      </c>
      <c r="BN40" s="1036">
        <v>0.22182944304307151</v>
      </c>
      <c r="BO40" s="1036">
        <v>0.27783992985214523</v>
      </c>
      <c r="BP40" s="1036">
        <v>0.30348957563211593</v>
      </c>
      <c r="BQ40" s="1036">
        <v>0.3187914376211714</v>
      </c>
      <c r="BR40" s="1036">
        <v>0.38429588251193803</v>
      </c>
      <c r="BS40" s="1036">
        <v>0.40281005326945768</v>
      </c>
      <c r="BT40" s="1036">
        <v>0.22620331856519973</v>
      </c>
      <c r="BU40" s="923">
        <v>0.21533668885084253</v>
      </c>
      <c r="BV40" s="923">
        <v>0.28056734706970476</v>
      </c>
      <c r="BW40" s="923">
        <v>0.3511861969805895</v>
      </c>
      <c r="BX40" s="923">
        <v>0.46870873088826182</v>
      </c>
      <c r="BY40" s="923">
        <v>0.22599999999999998</v>
      </c>
      <c r="BZ40" s="2022">
        <v>0.20299999999999996</v>
      </c>
      <c r="CA40" s="2022">
        <v>0.18</v>
      </c>
      <c r="CB40" s="2022">
        <v>0.14600000000000002</v>
      </c>
      <c r="CC40" s="1153"/>
      <c r="CE40" s="1315"/>
      <c r="CG40" s="1315"/>
    </row>
    <row r="41" spans="1:94" ht="12.75" customHeight="1" x14ac:dyDescent="0.2">
      <c r="A41" s="1201" t="s">
        <v>76</v>
      </c>
      <c r="B41" s="1201"/>
      <c r="C41" s="1805">
        <v>-4.9082955956187284</v>
      </c>
      <c r="D41" s="952"/>
      <c r="E41" s="908"/>
      <c r="F41" s="923">
        <v>0.77564080390189905</v>
      </c>
      <c r="G41" s="923">
        <v>0.82890222984562612</v>
      </c>
      <c r="H41" s="1036">
        <v>0.78624405003505404</v>
      </c>
      <c r="I41" s="1036">
        <v>0.78861664016552047</v>
      </c>
      <c r="J41" s="1036">
        <v>0.82472375985808632</v>
      </c>
      <c r="K41" s="1036">
        <v>0.79321737440481976</v>
      </c>
      <c r="L41" s="1036">
        <v>0.77610060295696703</v>
      </c>
      <c r="M41" s="1036">
        <v>0.84882017393472775</v>
      </c>
      <c r="N41" s="1036">
        <v>0.79985372988785963</v>
      </c>
      <c r="O41" s="1036">
        <v>0.86502930366544151</v>
      </c>
      <c r="P41" s="1036">
        <v>0.88217191261159689</v>
      </c>
      <c r="Q41" s="1036">
        <v>0.84703349926005655</v>
      </c>
      <c r="R41" s="1036">
        <v>0.87724357886879512</v>
      </c>
      <c r="S41" s="1036">
        <v>0.91473688335096592</v>
      </c>
      <c r="T41" s="1036">
        <v>0.91286695815115548</v>
      </c>
      <c r="U41" s="1036">
        <v>0.86736761613458235</v>
      </c>
      <c r="V41" s="1036">
        <v>0.86634752231854051</v>
      </c>
      <c r="W41" s="1036">
        <v>0.90135735663109529</v>
      </c>
      <c r="X41" s="1036">
        <v>0.92896310185021402</v>
      </c>
      <c r="Y41" s="1036">
        <v>0.90235542244839895</v>
      </c>
      <c r="Z41" s="1036">
        <v>0.93803313141303002</v>
      </c>
      <c r="AA41" s="1036">
        <v>0.96579835082458776</v>
      </c>
      <c r="AB41" s="1036">
        <v>1.0090551607200837</v>
      </c>
      <c r="AC41" s="1036">
        <v>1.0804489411379183</v>
      </c>
      <c r="AD41" s="1036">
        <v>1.01207063557112</v>
      </c>
      <c r="AE41" s="1036">
        <v>0.97548335040188683</v>
      </c>
      <c r="AF41" s="1036">
        <v>0.88841973124875184</v>
      </c>
      <c r="AG41" s="1036">
        <v>1.3229184117942705</v>
      </c>
      <c r="AH41" s="1036">
        <v>0.93972856093779744</v>
      </c>
      <c r="AI41" s="1036">
        <v>0.81182785465481466</v>
      </c>
      <c r="AJ41" s="1036">
        <v>0.83561059881986044</v>
      </c>
      <c r="AK41" s="1036">
        <v>0.78729013751792798</v>
      </c>
      <c r="AL41" s="1036">
        <v>0.7943522625632039</v>
      </c>
      <c r="AM41" s="1036">
        <v>0.74548855633802813</v>
      </c>
      <c r="AN41" s="1036">
        <v>0.75820347235382435</v>
      </c>
      <c r="AO41" s="1036">
        <v>0.86667864119086646</v>
      </c>
      <c r="AP41" s="1036">
        <v>0.83674031393649251</v>
      </c>
      <c r="AQ41" s="1036">
        <v>0.8517003091471177</v>
      </c>
      <c r="AR41" s="1036">
        <v>0.81276941217404752</v>
      </c>
      <c r="AS41" s="1036">
        <v>0.8772983207932632</v>
      </c>
      <c r="AT41" s="1036">
        <v>0.87515242005723526</v>
      </c>
      <c r="AU41" s="1036">
        <v>0.77753321701784994</v>
      </c>
      <c r="AV41" s="1036">
        <v>1.1993319813909102</v>
      </c>
      <c r="AW41" s="1036">
        <v>0.81906304169327615</v>
      </c>
      <c r="AX41" s="1036">
        <v>0.77235406979759047</v>
      </c>
      <c r="AY41" s="1036">
        <v>1.81</v>
      </c>
      <c r="AZ41" s="1036">
        <v>0.78700000000000003</v>
      </c>
      <c r="BA41" s="1036">
        <v>0.76700000000000002</v>
      </c>
      <c r="BB41" s="1036">
        <v>0.751</v>
      </c>
      <c r="BC41" s="1036">
        <v>0.72899999999999998</v>
      </c>
      <c r="BD41" s="1036">
        <v>0.72899999999999998</v>
      </c>
      <c r="BE41" s="1036">
        <v>0.74299999999999999</v>
      </c>
      <c r="BF41" s="1036">
        <v>0.76400000000000001</v>
      </c>
      <c r="BG41" s="946"/>
      <c r="BH41" s="1036">
        <v>0.80661038747546243</v>
      </c>
      <c r="BI41" s="1036">
        <v>0.80032211840219802</v>
      </c>
      <c r="BJ41" s="1805">
        <v>0.62882690732644075</v>
      </c>
      <c r="BK41" s="952"/>
      <c r="BL41" s="1208"/>
      <c r="BM41" s="1036">
        <v>0.80661038747546243</v>
      </c>
      <c r="BN41" s="1036">
        <v>0.80032211840219802</v>
      </c>
      <c r="BO41" s="1036">
        <v>0.86795875789919275</v>
      </c>
      <c r="BP41" s="1036">
        <v>0.88901929617033859</v>
      </c>
      <c r="BQ41" s="1036">
        <v>0.91717661701465625</v>
      </c>
      <c r="BR41" s="1036">
        <v>1.0130101810973962</v>
      </c>
      <c r="BS41" s="1036">
        <v>1.0332344213649851</v>
      </c>
      <c r="BT41" s="1036">
        <v>0.80650567226785352</v>
      </c>
      <c r="BU41" s="923">
        <v>0.79087659676720345</v>
      </c>
      <c r="BV41" s="923">
        <v>0.85146434566897977</v>
      </c>
      <c r="BW41" s="923">
        <v>0.86835300665568982</v>
      </c>
      <c r="BX41" s="923">
        <v>0.99516310957864862</v>
      </c>
      <c r="BY41" s="923">
        <v>0.74099999999999999</v>
      </c>
      <c r="BZ41" s="2022">
        <v>0.72799999999999998</v>
      </c>
      <c r="CA41" s="2022">
        <v>0.71599999999999997</v>
      </c>
      <c r="CB41" s="2022">
        <v>0.67400000000000004</v>
      </c>
      <c r="CC41" s="1153"/>
      <c r="CE41" s="1315"/>
      <c r="CG41" s="1315"/>
    </row>
    <row r="42" spans="1:94" ht="13.5" customHeight="1" x14ac:dyDescent="0.2">
      <c r="A42" s="1203" t="s">
        <v>182</v>
      </c>
      <c r="B42" s="1201"/>
      <c r="C42" s="1805">
        <v>4.9082955956187222</v>
      </c>
      <c r="D42" s="952"/>
      <c r="E42" s="908"/>
      <c r="F42" s="923">
        <v>0.22435919609810093</v>
      </c>
      <c r="G42" s="923">
        <v>0.17109777015437394</v>
      </c>
      <c r="H42" s="1036">
        <v>0.21375594996494593</v>
      </c>
      <c r="I42" s="1036">
        <v>0.21138335983447959</v>
      </c>
      <c r="J42" s="1036">
        <v>0.1752762401419137</v>
      </c>
      <c r="K42" s="1036">
        <v>0.20678262559518026</v>
      </c>
      <c r="L42" s="1036">
        <v>0.22389939704303297</v>
      </c>
      <c r="M42" s="1036">
        <v>0.15117982606527228</v>
      </c>
      <c r="N42" s="1036">
        <v>0.20014627011214042</v>
      </c>
      <c r="O42" s="1036">
        <v>0.13497069633455847</v>
      </c>
      <c r="P42" s="1036">
        <v>0.11782808738840306</v>
      </c>
      <c r="Q42" s="1036">
        <v>0.1529665007399435</v>
      </c>
      <c r="R42" s="1036">
        <v>0.12275642113120483</v>
      </c>
      <c r="S42" s="1036">
        <v>8.5263116649034132E-2</v>
      </c>
      <c r="T42" s="1036">
        <v>8.7133041848844475E-2</v>
      </c>
      <c r="U42" s="1036">
        <v>0.1326323838654177</v>
      </c>
      <c r="V42" s="1036">
        <v>0.13365247768145944</v>
      </c>
      <c r="W42" s="1036">
        <v>9.8642643368904742E-2</v>
      </c>
      <c r="X42" s="1036">
        <v>7.1036898149785976E-2</v>
      </c>
      <c r="Y42" s="1036">
        <v>9.814457755160097E-2</v>
      </c>
      <c r="Z42" s="1036">
        <v>6.196686858696996E-2</v>
      </c>
      <c r="AA42" s="1036">
        <v>3.4201649175412296E-2</v>
      </c>
      <c r="AB42" s="1036">
        <v>-9.0551607200836971E-3</v>
      </c>
      <c r="AC42" s="1036">
        <v>-8.0448941137918326E-2</v>
      </c>
      <c r="AD42" s="1036">
        <v>-1.2070635571119887E-2</v>
      </c>
      <c r="AE42" s="1036">
        <v>2.4516649598113147E-2</v>
      </c>
      <c r="AF42" s="1036">
        <v>0.11158026875124818</v>
      </c>
      <c r="AG42" s="1036">
        <v>-0.32291841179427039</v>
      </c>
      <c r="AH42" s="1036">
        <v>6.0271439062202517E-2</v>
      </c>
      <c r="AI42" s="1036">
        <v>0.18817214534518531</v>
      </c>
      <c r="AJ42" s="1036">
        <v>0.16438940118013956</v>
      </c>
      <c r="AK42" s="1036">
        <v>0.21270986248207205</v>
      </c>
      <c r="AL42" s="1036">
        <v>0.2056477374367961</v>
      </c>
      <c r="AM42" s="1036">
        <v>0.25451144366197181</v>
      </c>
      <c r="AN42" s="1036">
        <v>0.2417965276461756</v>
      </c>
      <c r="AO42" s="1036">
        <v>0.13332135880913357</v>
      </c>
      <c r="AP42" s="1036">
        <v>0.16325968606350752</v>
      </c>
      <c r="AQ42" s="1036">
        <v>0.14829969085288233</v>
      </c>
      <c r="AR42" s="1036">
        <v>0.18723058782595248</v>
      </c>
      <c r="AS42" s="1036">
        <v>0.12270167920673676</v>
      </c>
      <c r="AT42" s="1036">
        <v>0.12484757994276471</v>
      </c>
      <c r="AU42" s="1036">
        <v>0.22246678298215006</v>
      </c>
      <c r="AV42" s="1036">
        <v>-0.19933198139091018</v>
      </c>
      <c r="AW42" s="1036">
        <v>0.18093695830672385</v>
      </c>
      <c r="AX42" s="1036">
        <v>0.22764593020240956</v>
      </c>
      <c r="AY42" s="1036">
        <v>-0.81</v>
      </c>
      <c r="AZ42" s="1036">
        <v>0.21299999999999997</v>
      </c>
      <c r="BA42" s="1036">
        <v>0.23299999999999998</v>
      </c>
      <c r="BB42" s="1036">
        <v>0.249</v>
      </c>
      <c r="BC42" s="1036">
        <v>0.27100000000000002</v>
      </c>
      <c r="BD42" s="1036">
        <v>0.27100000000000002</v>
      </c>
      <c r="BE42" s="1036">
        <v>0.25700000000000001</v>
      </c>
      <c r="BF42" s="1036">
        <v>0.23599999999999999</v>
      </c>
      <c r="BG42" s="946"/>
      <c r="BH42" s="1036">
        <v>0.19338961252453754</v>
      </c>
      <c r="BI42" s="1036">
        <v>0.199677881597802</v>
      </c>
      <c r="BJ42" s="1805">
        <v>-0.6288269073264463</v>
      </c>
      <c r="BK42" s="952"/>
      <c r="BL42" s="1208"/>
      <c r="BM42" s="1036">
        <v>0.19338961252453754</v>
      </c>
      <c r="BN42" s="1036">
        <v>0.199677881597802</v>
      </c>
      <c r="BO42" s="1036">
        <v>0.13204124210080731</v>
      </c>
      <c r="BP42" s="1036">
        <v>0.1109807038296614</v>
      </c>
      <c r="BQ42" s="1036">
        <v>8.2823382985343752E-2</v>
      </c>
      <c r="BR42" s="1036">
        <v>-1.3010181097396161E-2</v>
      </c>
      <c r="BS42" s="1036">
        <v>-3.323442136498516E-2</v>
      </c>
      <c r="BT42" s="1036">
        <v>0.19349432773214653</v>
      </c>
      <c r="BU42" s="923">
        <v>0.20912340323279655</v>
      </c>
      <c r="BV42" s="923">
        <v>0.14853565433102017</v>
      </c>
      <c r="BW42" s="923">
        <v>0.13164699334431021</v>
      </c>
      <c r="BX42" s="923">
        <v>4.8368904213513591E-3</v>
      </c>
      <c r="BY42" s="923">
        <v>0.25900000000000001</v>
      </c>
      <c r="BZ42" s="2022">
        <v>0.27200000000000002</v>
      </c>
      <c r="CA42" s="2022">
        <v>0.28400000000000003</v>
      </c>
      <c r="CB42" s="2022">
        <v>0.32599999999999996</v>
      </c>
      <c r="CC42" s="1153"/>
      <c r="CE42" s="1315"/>
      <c r="CG42" s="1315"/>
    </row>
    <row r="43" spans="1:94" ht="12.75" customHeight="1" x14ac:dyDescent="0.2">
      <c r="A43" s="1203" t="s">
        <v>77</v>
      </c>
      <c r="B43" s="1201"/>
      <c r="C43" s="1805">
        <v>4.9918150117550724</v>
      </c>
      <c r="D43" s="952"/>
      <c r="E43" s="908"/>
      <c r="F43" s="923">
        <v>0.16015773634508285</v>
      </c>
      <c r="G43" s="923">
        <v>9.6129465284510399E-2</v>
      </c>
      <c r="H43" s="1036">
        <v>0.16348105235969151</v>
      </c>
      <c r="I43" s="1036">
        <v>0.14695683825360639</v>
      </c>
      <c r="J43" s="1036">
        <v>0.11023958622753212</v>
      </c>
      <c r="K43" s="1036">
        <v>0.15131668448158586</v>
      </c>
      <c r="L43" s="1036">
        <v>0.15482778557859089</v>
      </c>
      <c r="M43" s="1036">
        <v>3.3477759421464415E-2</v>
      </c>
      <c r="N43" s="1036">
        <v>8.5703450891164198E-2</v>
      </c>
      <c r="O43" s="1036">
        <v>3.6207410350650643E-2</v>
      </c>
      <c r="P43" s="1036">
        <v>-1.4656144306651634E-2</v>
      </c>
      <c r="Q43" s="1036">
        <v>2.1256558590071303E-2</v>
      </c>
      <c r="R43" s="1036">
        <v>1.2044922471414515E-2</v>
      </c>
      <c r="S43" s="1036">
        <v>-0.1268367226989538</v>
      </c>
      <c r="T43" s="1036">
        <v>-9.2129918800749527E-2</v>
      </c>
      <c r="U43" s="1036">
        <v>-6.3773657044542159E-2</v>
      </c>
      <c r="V43" s="1036">
        <v>-1.261482727390348E-2</v>
      </c>
      <c r="W43" s="1036">
        <v>-3.866501405725687E-2</v>
      </c>
      <c r="X43" s="1036">
        <v>-6.3183217179042697E-2</v>
      </c>
      <c r="Y43" s="1036">
        <v>-5.5789107690362549E-2</v>
      </c>
      <c r="Z43" s="1036">
        <v>-7.0218815675608851E-2</v>
      </c>
      <c r="AA43" s="1036">
        <v>-9.9325337331334335E-2</v>
      </c>
      <c r="AB43" s="1036">
        <v>-0.16804358021573651</v>
      </c>
      <c r="AC43" s="1036">
        <v>-0.21078933355179619</v>
      </c>
      <c r="AD43" s="1036">
        <v>-0.19119290663884955</v>
      </c>
      <c r="AE43" s="1036">
        <v>-0.2343667566644943</v>
      </c>
      <c r="AF43" s="1036">
        <v>-0.13109469059370632</v>
      </c>
      <c r="AG43" s="1036">
        <v>-0.58041547997989618</v>
      </c>
      <c r="AH43" s="1036">
        <v>-0.19607256507193951</v>
      </c>
      <c r="AI43" s="1036">
        <v>-1.3342977330262481E-2</v>
      </c>
      <c r="AJ43" s="1036">
        <v>-2.1291871396199324E-2</v>
      </c>
      <c r="AK43" s="1036">
        <v>4.0812452543659831E-2</v>
      </c>
      <c r="AL43" s="1036">
        <v>4.6401255864045414E-2</v>
      </c>
      <c r="AM43" s="1036">
        <v>0.12546764964788731</v>
      </c>
      <c r="AN43" s="1036">
        <v>0.11870435429087887</v>
      </c>
      <c r="AO43" s="1036">
        <v>-7.7145872156986012E-2</v>
      </c>
      <c r="AP43" s="1036">
        <v>-3.5948058550638678E-2</v>
      </c>
      <c r="AQ43" s="1036">
        <v>-1.9458083287870524E-2</v>
      </c>
      <c r="AR43" s="1036">
        <v>-1.6817118667001719E-3</v>
      </c>
      <c r="AS43" s="1036">
        <v>-8.2066869300911852E-2</v>
      </c>
      <c r="AT43" s="952" t="s">
        <v>181</v>
      </c>
      <c r="AU43" s="952" t="s">
        <v>181</v>
      </c>
      <c r="AV43" s="952" t="s">
        <v>181</v>
      </c>
      <c r="AW43" s="952" t="s">
        <v>181</v>
      </c>
      <c r="AX43" s="952" t="s">
        <v>181</v>
      </c>
      <c r="AY43" s="952" t="s">
        <v>181</v>
      </c>
      <c r="AZ43" s="952" t="s">
        <v>181</v>
      </c>
      <c r="BA43" s="952" t="s">
        <v>181</v>
      </c>
      <c r="BB43" s="952"/>
      <c r="BC43" s="952"/>
      <c r="BD43" s="952"/>
      <c r="BE43" s="952"/>
      <c r="BF43" s="952"/>
      <c r="BG43" s="1807"/>
      <c r="BH43" s="1036">
        <v>0.12979992844226548</v>
      </c>
      <c r="BI43" s="1036">
        <v>0.11559550455347521</v>
      </c>
      <c r="BJ43" s="1805">
        <v>1.4204423888790272</v>
      </c>
      <c r="BK43" s="952"/>
      <c r="BL43" s="1442"/>
      <c r="BM43" s="1036">
        <v>0.12979992844226548</v>
      </c>
      <c r="BN43" s="1036">
        <v>0.11559550455347521</v>
      </c>
      <c r="BO43" s="1036">
        <v>1.4845946844858343E-2</v>
      </c>
      <c r="BP43" s="1036">
        <v>-7.0743383114002661E-2</v>
      </c>
      <c r="BQ43" s="1036">
        <v>-5.6662331756276975E-2</v>
      </c>
      <c r="BR43" s="1036">
        <v>-0.16322191188395352</v>
      </c>
      <c r="BS43" s="1036">
        <v>-0.28703299846269348</v>
      </c>
      <c r="BT43" s="1036">
        <v>1.4184432748127224E-2</v>
      </c>
      <c r="BU43" s="923">
        <v>5.2057721766667099E-2</v>
      </c>
      <c r="BV43" s="923">
        <v>-4.2764881366081073E-2</v>
      </c>
      <c r="BW43" s="1964" t="s">
        <v>181</v>
      </c>
      <c r="BX43" s="908" t="s">
        <v>181</v>
      </c>
      <c r="BY43" s="908" t="s">
        <v>181</v>
      </c>
      <c r="BZ43" s="908" t="s">
        <v>181</v>
      </c>
      <c r="CA43" s="1964" t="s">
        <v>181</v>
      </c>
      <c r="CB43" s="2022"/>
      <c r="CC43" s="1153"/>
      <c r="CE43" s="1315"/>
      <c r="CG43" s="1315"/>
    </row>
    <row r="44" spans="1:94" ht="12.75" customHeight="1" x14ac:dyDescent="0.2">
      <c r="A44" s="1201"/>
      <c r="B44" s="1201"/>
      <c r="C44" s="1006"/>
      <c r="D44" s="952"/>
      <c r="E44" s="908"/>
      <c r="F44" s="908"/>
      <c r="G44" s="908"/>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c r="AU44" s="952"/>
      <c r="AV44" s="952"/>
      <c r="AW44" s="952"/>
      <c r="AX44" s="1208"/>
      <c r="AY44" s="1193"/>
      <c r="AZ44" s="1193"/>
      <c r="BA44" s="1193"/>
      <c r="BB44" s="1193"/>
      <c r="BC44" s="1283"/>
      <c r="BD44" s="1283"/>
      <c r="BE44" s="1283"/>
      <c r="BF44" s="1283"/>
      <c r="BG44" s="1208"/>
      <c r="BH44" s="1208"/>
      <c r="BI44" s="1208"/>
      <c r="BJ44" s="1006"/>
      <c r="BK44" s="952"/>
      <c r="BL44" s="1208"/>
      <c r="BM44" s="1208"/>
      <c r="BN44" s="1208"/>
      <c r="BO44" s="1208"/>
      <c r="BP44" s="1208"/>
      <c r="BQ44" s="1036"/>
      <c r="BR44" s="1036"/>
      <c r="BS44" s="1036"/>
      <c r="BT44" s="1036"/>
      <c r="BU44" s="923"/>
      <c r="BV44" s="923"/>
      <c r="BW44" s="1153"/>
      <c r="BX44" s="914"/>
      <c r="BY44" s="914"/>
      <c r="BZ44" s="2023"/>
      <c r="CA44" s="2023"/>
      <c r="CB44" s="2023"/>
      <c r="CC44" s="1153"/>
      <c r="CE44" s="1315"/>
      <c r="CG44" s="1315"/>
    </row>
    <row r="45" spans="1:94" ht="13.5" customHeight="1" x14ac:dyDescent="0.2">
      <c r="A45" s="946" t="s">
        <v>259</v>
      </c>
      <c r="B45" s="1201"/>
      <c r="C45" s="1006">
        <v>625</v>
      </c>
      <c r="D45" s="952">
        <v>0.16796560064498792</v>
      </c>
      <c r="E45" s="908"/>
      <c r="F45" s="914">
        <v>4346</v>
      </c>
      <c r="G45" s="914">
        <v>4221</v>
      </c>
      <c r="H45" s="1006">
        <v>3954</v>
      </c>
      <c r="I45" s="1006">
        <v>4158</v>
      </c>
      <c r="J45" s="1006">
        <v>3721</v>
      </c>
      <c r="K45" s="1006">
        <v>2815</v>
      </c>
      <c r="L45" s="1006">
        <v>2838</v>
      </c>
      <c r="M45" s="1006">
        <v>2688</v>
      </c>
      <c r="N45" s="1006">
        <v>2647</v>
      </c>
      <c r="O45" s="1006">
        <v>2637</v>
      </c>
      <c r="P45" s="1006">
        <v>2527</v>
      </c>
      <c r="Q45" s="1006">
        <v>1219</v>
      </c>
      <c r="R45" s="1006">
        <v>1268</v>
      </c>
      <c r="S45" s="1006">
        <v>1257</v>
      </c>
      <c r="T45" s="1006">
        <v>1262</v>
      </c>
      <c r="U45" s="1006">
        <v>1360</v>
      </c>
      <c r="V45" s="1006">
        <v>1419</v>
      </c>
      <c r="W45" s="1006">
        <v>1561</v>
      </c>
      <c r="X45" s="1006">
        <v>1441</v>
      </c>
      <c r="Y45" s="1006">
        <v>1391</v>
      </c>
      <c r="Z45" s="1006">
        <v>1270</v>
      </c>
      <c r="AA45" s="1006">
        <v>1204</v>
      </c>
      <c r="AB45" s="1006">
        <v>1070</v>
      </c>
      <c r="AC45" s="1006">
        <v>935</v>
      </c>
      <c r="AD45" s="1006">
        <v>880</v>
      </c>
      <c r="AE45" s="1006">
        <v>835</v>
      </c>
      <c r="AF45" s="1006">
        <v>791</v>
      </c>
      <c r="AG45" s="1006">
        <v>784</v>
      </c>
      <c r="AH45" s="1006">
        <v>709</v>
      </c>
      <c r="AI45" s="1006">
        <v>677</v>
      </c>
      <c r="AJ45" s="1006">
        <v>607</v>
      </c>
      <c r="AK45" s="1006">
        <v>574</v>
      </c>
      <c r="AL45" s="1006">
        <v>575</v>
      </c>
      <c r="AM45" s="1006">
        <v>546</v>
      </c>
      <c r="AN45" s="1006">
        <v>514</v>
      </c>
      <c r="AO45" s="1006">
        <v>473</v>
      </c>
      <c r="AP45" s="1006">
        <v>431</v>
      </c>
      <c r="AQ45" s="1006">
        <v>445</v>
      </c>
      <c r="AR45" s="1006"/>
      <c r="AS45" s="1006"/>
      <c r="AT45" s="1006"/>
      <c r="AU45" s="1006"/>
      <c r="AV45" s="1006"/>
      <c r="AW45" s="1006"/>
      <c r="AX45" s="1006"/>
      <c r="AY45" s="1006"/>
      <c r="AZ45" s="1006"/>
      <c r="BA45" s="1006"/>
      <c r="BB45" s="1006"/>
      <c r="BC45" s="1006"/>
      <c r="BD45" s="1006"/>
      <c r="BE45" s="1006"/>
      <c r="BF45" s="1006"/>
      <c r="BG45" s="1208"/>
      <c r="BH45" s="1236">
        <v>4221</v>
      </c>
      <c r="BI45" s="1006">
        <v>2815</v>
      </c>
      <c r="BJ45" s="1006">
        <v>1406</v>
      </c>
      <c r="BK45" s="952">
        <v>0.49946714031971579</v>
      </c>
      <c r="BL45" s="1208"/>
      <c r="BM45" s="1269">
        <v>4221</v>
      </c>
      <c r="BN45" s="1006">
        <v>2815</v>
      </c>
      <c r="BO45" s="1006">
        <v>2637</v>
      </c>
      <c r="BP45" s="1006">
        <v>1257</v>
      </c>
      <c r="BQ45" s="1006">
        <v>1561</v>
      </c>
      <c r="BR45" s="1006">
        <v>1204</v>
      </c>
      <c r="BS45" s="1006">
        <v>835</v>
      </c>
      <c r="BT45" s="1006">
        <v>677</v>
      </c>
      <c r="BU45" s="914">
        <v>546</v>
      </c>
      <c r="BV45" s="914">
        <v>445</v>
      </c>
      <c r="BW45" s="914">
        <v>393</v>
      </c>
      <c r="BX45" s="914">
        <v>730</v>
      </c>
      <c r="BY45" s="914"/>
      <c r="BZ45" s="2023"/>
      <c r="CA45" s="2023"/>
      <c r="CB45" s="2023"/>
      <c r="CC45" s="1153"/>
      <c r="CE45" s="1315"/>
      <c r="CG45" s="1315"/>
    </row>
    <row r="46" spans="1:94" ht="13.5" customHeight="1" x14ac:dyDescent="0.2">
      <c r="A46" s="954" t="s">
        <v>377</v>
      </c>
      <c r="B46" s="1204"/>
      <c r="C46" s="1006">
        <v>2302</v>
      </c>
      <c r="D46" s="952">
        <v>0.12166375984356007</v>
      </c>
      <c r="E46" s="908"/>
      <c r="F46" s="914">
        <v>21223</v>
      </c>
      <c r="G46" s="914">
        <v>20674</v>
      </c>
      <c r="H46" s="1006">
        <v>18260</v>
      </c>
      <c r="I46" s="1006">
        <v>19746</v>
      </c>
      <c r="J46" s="1006">
        <v>18921</v>
      </c>
      <c r="K46" s="1006">
        <v>15567</v>
      </c>
      <c r="L46" s="1006">
        <v>14451</v>
      </c>
      <c r="M46" s="1006">
        <v>12801</v>
      </c>
      <c r="N46" s="1006">
        <v>12669</v>
      </c>
      <c r="O46" s="1006">
        <v>13228</v>
      </c>
      <c r="P46" s="1006">
        <v>11969</v>
      </c>
      <c r="Q46" s="1006">
        <v>10334</v>
      </c>
      <c r="R46" s="1006">
        <v>9817</v>
      </c>
      <c r="S46" s="1006">
        <v>9192</v>
      </c>
      <c r="T46" s="1006">
        <v>9035</v>
      </c>
      <c r="U46" s="1006">
        <v>9481</v>
      </c>
      <c r="V46" s="1006">
        <v>10648</v>
      </c>
      <c r="W46" s="1006">
        <v>10729</v>
      </c>
      <c r="X46" s="1006">
        <v>10310</v>
      </c>
      <c r="Y46" s="1006">
        <v>10757</v>
      </c>
      <c r="Z46" s="1006">
        <v>10958</v>
      </c>
      <c r="AA46" s="1006">
        <v>10160</v>
      </c>
      <c r="AB46" s="1006">
        <v>9536</v>
      </c>
      <c r="AC46" s="1006">
        <v>9427</v>
      </c>
      <c r="AD46" s="1006">
        <v>9325</v>
      </c>
      <c r="AE46" s="1006">
        <v>10429</v>
      </c>
      <c r="AF46" s="1006">
        <v>11403</v>
      </c>
      <c r="AG46" s="1006">
        <v>13344</v>
      </c>
      <c r="AH46" s="1006">
        <v>13137</v>
      </c>
      <c r="AI46" s="1006">
        <v>14828</v>
      </c>
      <c r="AJ46" s="1006">
        <v>14367</v>
      </c>
      <c r="AK46" s="1006">
        <v>14635</v>
      </c>
      <c r="AL46" s="1006">
        <v>15676</v>
      </c>
      <c r="AM46" s="1006">
        <v>16985</v>
      </c>
      <c r="AN46" s="1006">
        <v>16006</v>
      </c>
      <c r="AO46" s="1006">
        <v>13895</v>
      </c>
      <c r="AP46" s="1006">
        <v>12571</v>
      </c>
      <c r="AQ46" s="1006">
        <v>12922</v>
      </c>
      <c r="AR46" s="1006">
        <v>12210</v>
      </c>
      <c r="AS46" s="1006">
        <v>11386</v>
      </c>
      <c r="AT46" s="1006">
        <v>10341</v>
      </c>
      <c r="AU46" s="1006">
        <v>9184</v>
      </c>
      <c r="AV46" s="1006">
        <v>9030</v>
      </c>
      <c r="AW46" s="1006">
        <v>11584</v>
      </c>
      <c r="AX46" s="1006">
        <v>14695</v>
      </c>
      <c r="AY46" s="1006">
        <v>14295</v>
      </c>
      <c r="AZ46" s="1006">
        <v>14860</v>
      </c>
      <c r="BA46" s="1006">
        <v>15288</v>
      </c>
      <c r="BB46" s="1006">
        <v>15701</v>
      </c>
      <c r="BC46" s="1006">
        <v>15014</v>
      </c>
      <c r="BD46" s="1006">
        <v>14121</v>
      </c>
      <c r="BE46" s="1006">
        <v>13826</v>
      </c>
      <c r="BF46" s="1006">
        <v>13942</v>
      </c>
      <c r="BG46" s="1208"/>
      <c r="BH46" s="1236">
        <v>20674</v>
      </c>
      <c r="BI46" s="1006">
        <v>15567</v>
      </c>
      <c r="BJ46" s="1006">
        <v>5107</v>
      </c>
      <c r="BK46" s="952">
        <v>0.32806578017601334</v>
      </c>
      <c r="BL46" s="1208"/>
      <c r="BM46" s="1269">
        <v>20674</v>
      </c>
      <c r="BN46" s="1006">
        <v>15567</v>
      </c>
      <c r="BO46" s="1006">
        <v>13228</v>
      </c>
      <c r="BP46" s="1006">
        <v>9192</v>
      </c>
      <c r="BQ46" s="1006">
        <v>10729</v>
      </c>
      <c r="BR46" s="1006">
        <v>10160</v>
      </c>
      <c r="BS46" s="1006">
        <v>10429</v>
      </c>
      <c r="BT46" s="1006">
        <v>14828</v>
      </c>
      <c r="BU46" s="914">
        <v>16985</v>
      </c>
      <c r="BV46" s="914">
        <v>12922</v>
      </c>
      <c r="BW46" s="914">
        <v>9184</v>
      </c>
      <c r="BX46" s="914">
        <v>14295</v>
      </c>
      <c r="BY46" s="914">
        <v>15014</v>
      </c>
      <c r="BZ46" s="2171">
        <v>14310</v>
      </c>
      <c r="CA46" s="2171">
        <v>9967</v>
      </c>
      <c r="CB46" s="2171">
        <v>8292</v>
      </c>
      <c r="CC46" s="1153"/>
      <c r="CE46" s="1315"/>
      <c r="CG46" s="1315"/>
    </row>
    <row r="47" spans="1:94" ht="12.75" hidden="1" customHeight="1" x14ac:dyDescent="0.2">
      <c r="A47" s="954"/>
      <c r="B47" s="1204"/>
      <c r="C47" s="1006">
        <v>0</v>
      </c>
      <c r="D47" s="952" t="e">
        <v>#DIV/0!</v>
      </c>
      <c r="E47" s="1820"/>
      <c r="F47" s="914"/>
      <c r="G47" s="914"/>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9"/>
      <c r="AJ47" s="1009"/>
      <c r="AK47" s="1009"/>
      <c r="AL47" s="1009"/>
      <c r="AM47" s="1009"/>
      <c r="AN47" s="1009"/>
      <c r="AO47" s="1009"/>
      <c r="AP47" s="1009"/>
      <c r="AQ47" s="1006"/>
      <c r="AR47" s="1006"/>
      <c r="AS47" s="1006"/>
      <c r="AT47" s="1006"/>
      <c r="AU47" s="1006"/>
      <c r="AV47" s="1006"/>
      <c r="AW47" s="1006"/>
      <c r="AX47" s="1006"/>
      <c r="AY47" s="1006"/>
      <c r="AZ47" s="1006"/>
      <c r="BA47" s="1006"/>
      <c r="BB47" s="1006"/>
      <c r="BC47" s="1006"/>
      <c r="BD47" s="1006"/>
      <c r="BE47" s="1006"/>
      <c r="BF47" s="1006"/>
      <c r="BG47" s="1833"/>
      <c r="BH47" s="1236"/>
      <c r="BI47" s="1006">
        <v>0</v>
      </c>
      <c r="BJ47" s="1006"/>
      <c r="BK47" s="1009"/>
      <c r="BL47" s="1833"/>
      <c r="BM47" s="1269">
        <v>0</v>
      </c>
      <c r="BN47" s="1006">
        <v>0</v>
      </c>
      <c r="BO47" s="1006"/>
      <c r="BP47" s="1006"/>
      <c r="BQ47" s="1006"/>
      <c r="BR47" s="1006"/>
      <c r="BS47" s="1006"/>
      <c r="BT47" s="1009"/>
      <c r="BU47" s="916"/>
      <c r="BV47" s="916"/>
      <c r="BW47" s="916"/>
      <c r="BX47" s="916"/>
      <c r="BY47" s="914"/>
      <c r="BZ47" s="1165"/>
      <c r="CA47" s="1165"/>
      <c r="CB47" s="1165"/>
      <c r="CC47" s="1153"/>
      <c r="CE47" s="1315"/>
      <c r="CG47" s="1315"/>
    </row>
    <row r="48" spans="1:94" ht="12.75" hidden="1" customHeight="1" x14ac:dyDescent="0.2">
      <c r="A48" s="954" t="s">
        <v>58</v>
      </c>
      <c r="B48" s="1204"/>
      <c r="C48" s="1006">
        <v>5107</v>
      </c>
      <c r="D48" s="952">
        <v>0.32806578017601334</v>
      </c>
      <c r="E48" s="908"/>
      <c r="F48" s="914">
        <v>21223</v>
      </c>
      <c r="G48" s="914">
        <v>20674</v>
      </c>
      <c r="H48" s="1006">
        <v>18260</v>
      </c>
      <c r="I48" s="1006">
        <v>19746</v>
      </c>
      <c r="J48" s="1006">
        <v>18921</v>
      </c>
      <c r="K48" s="1006">
        <v>15567</v>
      </c>
      <c r="L48" s="1006">
        <v>14451</v>
      </c>
      <c r="M48" s="1006">
        <v>12801</v>
      </c>
      <c r="N48" s="1006">
        <v>12669</v>
      </c>
      <c r="O48" s="1006">
        <v>13228</v>
      </c>
      <c r="P48" s="1006">
        <v>11969</v>
      </c>
      <c r="Q48" s="1006">
        <v>10334</v>
      </c>
      <c r="R48" s="1006">
        <v>9817</v>
      </c>
      <c r="S48" s="1006">
        <v>9192</v>
      </c>
      <c r="T48" s="1006">
        <v>9035</v>
      </c>
      <c r="U48" s="1006">
        <v>9481</v>
      </c>
      <c r="V48" s="1006">
        <v>10648</v>
      </c>
      <c r="W48" s="1006">
        <v>10729</v>
      </c>
      <c r="X48" s="1006">
        <v>10310</v>
      </c>
      <c r="Y48" s="1006">
        <v>10757</v>
      </c>
      <c r="Z48" s="1006">
        <v>10958</v>
      </c>
      <c r="AA48" s="1006">
        <v>10160</v>
      </c>
      <c r="AB48" s="1006">
        <v>9536</v>
      </c>
      <c r="AC48" s="1006">
        <v>9427</v>
      </c>
      <c r="AD48" s="1006">
        <v>9325</v>
      </c>
      <c r="AE48" s="1006">
        <v>10429</v>
      </c>
      <c r="AF48" s="1006">
        <v>11403</v>
      </c>
      <c r="AG48" s="1006">
        <v>13344</v>
      </c>
      <c r="AH48" s="1006">
        <v>13137</v>
      </c>
      <c r="AI48" s="1006">
        <v>14828</v>
      </c>
      <c r="AJ48" s="1006">
        <v>14367</v>
      </c>
      <c r="AK48" s="1006">
        <v>14635</v>
      </c>
      <c r="AL48" s="1006">
        <v>15676</v>
      </c>
      <c r="AM48" s="1006">
        <v>16985</v>
      </c>
      <c r="AN48" s="1006">
        <v>16006</v>
      </c>
      <c r="AO48" s="1006">
        <v>13895</v>
      </c>
      <c r="AP48" s="1006">
        <v>12571</v>
      </c>
      <c r="AQ48" s="1006"/>
      <c r="AR48" s="1006"/>
      <c r="AS48" s="1006"/>
      <c r="AT48" s="1006"/>
      <c r="AU48" s="1006"/>
      <c r="AV48" s="1006"/>
      <c r="AW48" s="1006"/>
      <c r="AX48" s="1006"/>
      <c r="AY48" s="1006"/>
      <c r="AZ48" s="1006"/>
      <c r="BA48" s="1006"/>
      <c r="BB48" s="1006"/>
      <c r="BC48" s="1006"/>
      <c r="BD48" s="1006"/>
      <c r="BE48" s="1006"/>
      <c r="BF48" s="1006"/>
      <c r="BG48" s="1208"/>
      <c r="BH48" s="1236">
        <v>9536</v>
      </c>
      <c r="BI48" s="1006">
        <v>9536</v>
      </c>
      <c r="BJ48" s="1006">
        <v>0</v>
      </c>
      <c r="BK48" s="952">
        <v>0</v>
      </c>
      <c r="BL48" s="1208"/>
      <c r="BM48" s="1269">
        <v>9536</v>
      </c>
      <c r="BN48" s="1006">
        <v>9536</v>
      </c>
      <c r="BO48" s="1006"/>
      <c r="BP48" s="1006"/>
      <c r="BQ48" s="1006"/>
      <c r="BR48" s="1006">
        <v>10160</v>
      </c>
      <c r="BS48" s="1006">
        <v>10429</v>
      </c>
      <c r="BT48" s="1006">
        <v>14828</v>
      </c>
      <c r="BU48" s="914">
        <v>16985</v>
      </c>
      <c r="BV48" s="914">
        <v>12922</v>
      </c>
      <c r="BW48" s="914">
        <v>9184</v>
      </c>
      <c r="BX48" s="914">
        <v>14295</v>
      </c>
      <c r="BY48" s="914"/>
      <c r="BZ48" s="1165"/>
      <c r="CA48" s="1165"/>
      <c r="CB48" s="1165"/>
      <c r="CC48" s="1153"/>
      <c r="CE48" s="1315"/>
      <c r="CG48" s="1315"/>
    </row>
    <row r="49" spans="1:94" ht="12.75" customHeight="1" x14ac:dyDescent="0.2">
      <c r="A49" s="954"/>
      <c r="B49" s="1204"/>
      <c r="C49" s="1006"/>
      <c r="D49" s="952"/>
      <c r="E49" s="908"/>
      <c r="F49" s="914"/>
      <c r="G49" s="914"/>
      <c r="H49" s="1006"/>
      <c r="I49" s="1006"/>
      <c r="J49" s="1006"/>
      <c r="K49" s="1006"/>
      <c r="L49" s="1006"/>
      <c r="M49" s="1006"/>
      <c r="N49" s="1006"/>
      <c r="O49" s="1006"/>
      <c r="P49" s="1006"/>
      <c r="Q49" s="1006"/>
      <c r="R49" s="1006"/>
      <c r="S49" s="1006"/>
      <c r="T49" s="1006"/>
      <c r="U49" s="1006"/>
      <c r="V49" s="1006"/>
      <c r="W49" s="1006"/>
      <c r="X49" s="1006"/>
      <c r="Y49" s="1006"/>
      <c r="Z49" s="1006"/>
      <c r="AA49" s="1006"/>
      <c r="AB49" s="1006"/>
      <c r="AC49" s="1006"/>
      <c r="AD49" s="1006"/>
      <c r="AE49" s="1006"/>
      <c r="AF49" s="1006"/>
      <c r="AG49" s="1006"/>
      <c r="AH49" s="1006"/>
      <c r="AI49" s="952"/>
      <c r="AJ49" s="952"/>
      <c r="AK49" s="952"/>
      <c r="AL49" s="952"/>
      <c r="AM49" s="952"/>
      <c r="AN49" s="952"/>
      <c r="AO49" s="952"/>
      <c r="AP49" s="952"/>
      <c r="AQ49" s="1006"/>
      <c r="AR49" s="1006"/>
      <c r="AS49" s="1006"/>
      <c r="AT49" s="1006"/>
      <c r="AU49" s="1006"/>
      <c r="AV49" s="1006"/>
      <c r="AW49" s="1006"/>
      <c r="AX49" s="1006"/>
      <c r="AY49" s="1006"/>
      <c r="AZ49" s="1006"/>
      <c r="BA49" s="1006"/>
      <c r="BB49" s="1006"/>
      <c r="BC49" s="1006"/>
      <c r="BD49" s="1006"/>
      <c r="BE49" s="1006"/>
      <c r="BF49" s="1006"/>
      <c r="BG49" s="1208"/>
      <c r="BH49" s="1208"/>
      <c r="BI49" s="952"/>
      <c r="BJ49" s="1006"/>
      <c r="BK49" s="952"/>
      <c r="BL49" s="1208"/>
      <c r="BM49" s="1205"/>
      <c r="BN49" s="952"/>
      <c r="BO49" s="952"/>
      <c r="BP49" s="952"/>
      <c r="BQ49" s="952"/>
      <c r="BR49" s="952"/>
      <c r="BS49" s="952"/>
      <c r="BT49" s="952"/>
      <c r="BU49" s="908"/>
      <c r="BV49" s="908"/>
      <c r="BW49" s="908"/>
      <c r="BX49" s="908"/>
      <c r="BY49" s="914"/>
      <c r="BZ49" s="1165"/>
      <c r="CA49" s="1165"/>
      <c r="CB49" s="1165"/>
      <c r="CC49" s="1153"/>
      <c r="CE49" s="1315"/>
      <c r="CG49" s="1315"/>
    </row>
    <row r="50" spans="1:94" ht="12.75" customHeight="1" x14ac:dyDescent="0.2">
      <c r="A50" s="1203" t="s">
        <v>723</v>
      </c>
      <c r="B50" s="1204"/>
      <c r="C50" s="1006">
        <v>15</v>
      </c>
      <c r="D50" s="952">
        <v>3.640776699029126E-2</v>
      </c>
      <c r="E50" s="908"/>
      <c r="F50" s="914">
        <v>427</v>
      </c>
      <c r="G50" s="914">
        <v>430</v>
      </c>
      <c r="H50" s="1006">
        <v>425</v>
      </c>
      <c r="I50" s="1006">
        <v>413</v>
      </c>
      <c r="J50" s="1006">
        <v>412</v>
      </c>
      <c r="K50" s="1006">
        <v>379</v>
      </c>
      <c r="L50" s="1006">
        <v>352</v>
      </c>
      <c r="M50" s="1006">
        <v>353</v>
      </c>
      <c r="N50" s="1006">
        <v>351</v>
      </c>
      <c r="O50" s="1006">
        <v>359</v>
      </c>
      <c r="P50" s="1006">
        <v>354</v>
      </c>
      <c r="Q50" s="1006">
        <v>342</v>
      </c>
      <c r="R50" s="1006">
        <v>342</v>
      </c>
      <c r="S50" s="1006">
        <v>354</v>
      </c>
      <c r="T50" s="1006">
        <v>361</v>
      </c>
      <c r="U50" s="1006">
        <v>379</v>
      </c>
      <c r="V50" s="1006">
        <v>377</v>
      </c>
      <c r="W50" s="1006">
        <v>400</v>
      </c>
      <c r="X50" s="1006">
        <v>405</v>
      </c>
      <c r="Y50" s="1006">
        <v>412</v>
      </c>
      <c r="Z50" s="1006">
        <v>407</v>
      </c>
      <c r="AA50" s="1006">
        <v>420</v>
      </c>
      <c r="AB50" s="1006">
        <v>425</v>
      </c>
      <c r="AC50" s="1006">
        <v>430</v>
      </c>
      <c r="AD50" s="1006">
        <v>448</v>
      </c>
      <c r="AE50" s="1006">
        <v>461</v>
      </c>
      <c r="AF50" s="1006">
        <v>493</v>
      </c>
      <c r="AG50" s="1006">
        <v>617</v>
      </c>
      <c r="AH50" s="1006">
        <v>662</v>
      </c>
      <c r="AI50" s="1006">
        <v>684</v>
      </c>
      <c r="AJ50" s="1006">
        <v>699</v>
      </c>
      <c r="AK50" s="1006">
        <v>686</v>
      </c>
      <c r="AL50" s="1006">
        <v>666</v>
      </c>
      <c r="AM50" s="1006">
        <v>684</v>
      </c>
      <c r="AN50" s="1006">
        <v>671</v>
      </c>
      <c r="AO50" s="1006">
        <v>665</v>
      </c>
      <c r="AP50" s="1006">
        <v>689</v>
      </c>
      <c r="AQ50" s="1006">
        <v>680</v>
      </c>
      <c r="AR50" s="1006">
        <v>707</v>
      </c>
      <c r="AS50" s="1006">
        <v>698</v>
      </c>
      <c r="AT50" s="1006">
        <v>688</v>
      </c>
      <c r="AU50" s="1006">
        <v>700</v>
      </c>
      <c r="AV50" s="1006">
        <v>725</v>
      </c>
      <c r="AW50" s="1006">
        <v>744</v>
      </c>
      <c r="AX50" s="1006">
        <v>760</v>
      </c>
      <c r="AY50" s="1006">
        <v>762</v>
      </c>
      <c r="AZ50" s="1006">
        <v>772</v>
      </c>
      <c r="BA50" s="1006">
        <v>784</v>
      </c>
      <c r="BB50" s="1006">
        <v>757</v>
      </c>
      <c r="BC50" s="1006">
        <v>728</v>
      </c>
      <c r="BD50" s="1006">
        <v>725</v>
      </c>
      <c r="BE50" s="1006">
        <v>719</v>
      </c>
      <c r="BF50" s="1006">
        <v>710</v>
      </c>
      <c r="BG50" s="1208"/>
      <c r="BH50" s="1236">
        <v>430</v>
      </c>
      <c r="BI50" s="1006">
        <v>379</v>
      </c>
      <c r="BJ50" s="1006">
        <v>51</v>
      </c>
      <c r="BK50" s="952">
        <v>0.13456464379947231</v>
      </c>
      <c r="BL50" s="1208"/>
      <c r="BM50" s="1269">
        <v>430</v>
      </c>
      <c r="BN50" s="1006">
        <v>379</v>
      </c>
      <c r="BO50" s="1006">
        <v>359</v>
      </c>
      <c r="BP50" s="1006">
        <v>354</v>
      </c>
      <c r="BQ50" s="1006">
        <v>400</v>
      </c>
      <c r="BR50" s="1006">
        <v>420</v>
      </c>
      <c r="BS50" s="1006">
        <v>461</v>
      </c>
      <c r="BT50" s="1006">
        <v>684</v>
      </c>
      <c r="BU50" s="914">
        <v>684</v>
      </c>
      <c r="BV50" s="914">
        <v>680</v>
      </c>
      <c r="BW50" s="914">
        <v>700</v>
      </c>
      <c r="BX50" s="914">
        <v>762</v>
      </c>
      <c r="BY50" s="914">
        <v>728</v>
      </c>
      <c r="BZ50" s="2171">
        <v>689</v>
      </c>
      <c r="CA50" s="2171">
        <v>657</v>
      </c>
      <c r="CB50" s="2171">
        <v>623</v>
      </c>
      <c r="CC50" s="1153"/>
      <c r="CE50" s="1315"/>
      <c r="CG50" s="1315"/>
    </row>
    <row r="51" spans="1:94" ht="13.5" customHeight="1" x14ac:dyDescent="0.2">
      <c r="A51" s="1378" t="s">
        <v>639</v>
      </c>
      <c r="B51" s="1203"/>
      <c r="C51" s="1006">
        <v>5</v>
      </c>
      <c r="D51" s="952">
        <v>3.3783783783783786E-2</v>
      </c>
      <c r="E51" s="908"/>
      <c r="F51" s="914">
        <v>153</v>
      </c>
      <c r="G51" s="914">
        <v>155</v>
      </c>
      <c r="H51" s="1006">
        <v>150</v>
      </c>
      <c r="I51" s="1006">
        <v>150</v>
      </c>
      <c r="J51" s="1006">
        <v>148</v>
      </c>
      <c r="K51" s="1006">
        <v>142</v>
      </c>
      <c r="L51" s="1006">
        <v>134</v>
      </c>
      <c r="M51" s="1006">
        <v>134</v>
      </c>
      <c r="N51" s="1006">
        <v>135</v>
      </c>
      <c r="O51" s="1006">
        <v>141</v>
      </c>
      <c r="P51" s="1006">
        <v>139</v>
      </c>
      <c r="Q51" s="1006">
        <v>139</v>
      </c>
      <c r="R51" s="1006">
        <v>138</v>
      </c>
      <c r="S51" s="1006">
        <v>139</v>
      </c>
      <c r="T51" s="1006">
        <v>140</v>
      </c>
      <c r="U51" s="1006">
        <v>141</v>
      </c>
      <c r="V51" s="1006">
        <v>147</v>
      </c>
      <c r="W51" s="1006">
        <v>152</v>
      </c>
      <c r="X51" s="1006">
        <v>161</v>
      </c>
      <c r="Y51" s="1006">
        <v>162</v>
      </c>
      <c r="Z51" s="1006">
        <v>163</v>
      </c>
      <c r="AA51" s="1006">
        <v>160</v>
      </c>
      <c r="AB51" s="1006">
        <v>163</v>
      </c>
      <c r="AC51" s="1006">
        <v>163</v>
      </c>
      <c r="AD51" s="1006">
        <v>173</v>
      </c>
      <c r="AE51" s="1006">
        <v>178</v>
      </c>
      <c r="AF51" s="1006">
        <v>184</v>
      </c>
      <c r="AG51" s="1006">
        <v>231</v>
      </c>
      <c r="AH51" s="1006">
        <v>269</v>
      </c>
      <c r="AI51" s="1006">
        <v>280</v>
      </c>
      <c r="AJ51" s="1006">
        <v>278</v>
      </c>
      <c r="AK51" s="1006">
        <v>271</v>
      </c>
      <c r="AL51" s="1006">
        <v>263</v>
      </c>
      <c r="AM51" s="1006">
        <v>271</v>
      </c>
      <c r="AN51" s="1006">
        <v>272</v>
      </c>
      <c r="AO51" s="1006">
        <v>280</v>
      </c>
      <c r="AP51" s="1006">
        <v>290</v>
      </c>
      <c r="AQ51" s="1006">
        <v>303</v>
      </c>
      <c r="AR51" s="1006">
        <v>327</v>
      </c>
      <c r="AS51" s="1006">
        <v>334</v>
      </c>
      <c r="AT51" s="1006">
        <v>335</v>
      </c>
      <c r="AU51" s="1006">
        <v>338</v>
      </c>
      <c r="AV51" s="1006">
        <v>347</v>
      </c>
      <c r="AW51" s="1006">
        <v>341</v>
      </c>
      <c r="AX51" s="1006">
        <v>354</v>
      </c>
      <c r="AY51" s="1006">
        <v>354</v>
      </c>
      <c r="AZ51" s="1006">
        <v>377</v>
      </c>
      <c r="BA51" s="1006">
        <v>378</v>
      </c>
      <c r="BB51" s="1006">
        <v>373</v>
      </c>
      <c r="BC51" s="1006">
        <v>368</v>
      </c>
      <c r="BD51" s="1006">
        <v>368</v>
      </c>
      <c r="BE51" s="1006">
        <v>371</v>
      </c>
      <c r="BF51" s="1006">
        <v>373</v>
      </c>
      <c r="BG51" s="1208"/>
      <c r="BH51" s="1236">
        <v>155</v>
      </c>
      <c r="BI51" s="1006">
        <v>142</v>
      </c>
      <c r="BJ51" s="1006">
        <v>13</v>
      </c>
      <c r="BK51" s="952">
        <v>9.154929577464789E-2</v>
      </c>
      <c r="BL51" s="1208"/>
      <c r="BM51" s="1269">
        <v>155</v>
      </c>
      <c r="BN51" s="1006">
        <v>142</v>
      </c>
      <c r="BO51" s="1006">
        <v>141</v>
      </c>
      <c r="BP51" s="1006">
        <v>139</v>
      </c>
      <c r="BQ51" s="1006">
        <v>152</v>
      </c>
      <c r="BR51" s="1006">
        <v>160</v>
      </c>
      <c r="BS51" s="1006">
        <v>178</v>
      </c>
      <c r="BT51" s="1006">
        <v>280</v>
      </c>
      <c r="BU51" s="914">
        <v>271</v>
      </c>
      <c r="BV51" s="914">
        <v>303</v>
      </c>
      <c r="BW51" s="914">
        <v>338</v>
      </c>
      <c r="BX51" s="914">
        <v>354</v>
      </c>
      <c r="BY51" s="914">
        <v>368</v>
      </c>
      <c r="BZ51" s="2171">
        <v>365</v>
      </c>
      <c r="CA51" s="2171">
        <v>343</v>
      </c>
      <c r="CB51" s="2171">
        <v>327</v>
      </c>
      <c r="CC51" s="1153"/>
      <c r="CE51" s="1315"/>
      <c r="CG51" s="1315"/>
    </row>
    <row r="52" spans="1:94" ht="12.75" hidden="1" customHeight="1" x14ac:dyDescent="0.2">
      <c r="A52" s="1378" t="s">
        <v>281</v>
      </c>
      <c r="B52" s="1203"/>
      <c r="C52" s="1006" t="e">
        <v>#REF!</v>
      </c>
      <c r="D52" s="952" t="s">
        <v>41</v>
      </c>
      <c r="E52" s="908"/>
      <c r="F52" s="914"/>
      <c r="G52" s="914"/>
      <c r="H52" s="1006"/>
      <c r="I52" s="1006"/>
      <c r="J52" s="1006"/>
      <c r="K52" s="1006"/>
      <c r="L52" s="1006"/>
      <c r="M52" s="1006"/>
      <c r="N52" s="1006"/>
      <c r="O52" s="1006"/>
      <c r="P52" s="1006"/>
      <c r="Q52" s="1006"/>
      <c r="R52" s="1006"/>
      <c r="S52" s="1006"/>
      <c r="T52" s="1006"/>
      <c r="U52" s="1006"/>
      <c r="V52" s="1006"/>
      <c r="W52" s="1006"/>
      <c r="X52" s="1006"/>
      <c r="Y52" s="1006"/>
      <c r="Z52" s="1006"/>
      <c r="AA52" s="1006" t="e">
        <v>#REF!</v>
      </c>
      <c r="AB52" s="1006" t="e">
        <v>#REF!</v>
      </c>
      <c r="AC52" s="1006" t="e">
        <v>#REF!</v>
      </c>
      <c r="AD52" s="1006">
        <v>7</v>
      </c>
      <c r="AE52" s="1006">
        <v>12</v>
      </c>
      <c r="AF52" s="1006">
        <v>11</v>
      </c>
      <c r="AG52" s="1006">
        <v>11</v>
      </c>
      <c r="AH52" s="1006">
        <v>10</v>
      </c>
      <c r="AI52" s="1009">
        <v>0</v>
      </c>
      <c r="AJ52" s="1009">
        <v>0</v>
      </c>
      <c r="AK52" s="1009">
        <v>0</v>
      </c>
      <c r="AL52" s="1009">
        <v>0</v>
      </c>
      <c r="AM52" s="1009">
        <v>0</v>
      </c>
      <c r="AN52" s="1009">
        <v>0</v>
      </c>
      <c r="AO52" s="1009">
        <v>0</v>
      </c>
      <c r="AP52" s="1009">
        <v>0</v>
      </c>
      <c r="AQ52" s="1006"/>
      <c r="AR52" s="1006"/>
      <c r="AS52" s="1006"/>
      <c r="AT52" s="1006"/>
      <c r="AU52" s="1006"/>
      <c r="AV52" s="1006"/>
      <c r="AW52" s="1006"/>
      <c r="AX52" s="1006"/>
      <c r="AY52" s="1006"/>
      <c r="AZ52" s="1006"/>
      <c r="BA52" s="1006"/>
      <c r="BB52" s="1006"/>
      <c r="BC52" s="1006"/>
      <c r="BD52" s="1006"/>
      <c r="BE52" s="1006"/>
      <c r="BF52" s="1006"/>
      <c r="BG52" s="1833"/>
      <c r="BH52" s="1236" t="e">
        <v>#REF!</v>
      </c>
      <c r="BI52" s="1236">
        <v>11</v>
      </c>
      <c r="BJ52" s="1006" t="e">
        <v>#REF!</v>
      </c>
      <c r="BK52" s="952" t="s">
        <v>41</v>
      </c>
      <c r="BL52" s="1833"/>
      <c r="BM52" s="1269" t="e">
        <v>#REF!</v>
      </c>
      <c r="BN52" s="1006" t="e">
        <v>#REF!</v>
      </c>
      <c r="BO52" s="1006"/>
      <c r="BP52" s="1006"/>
      <c r="BQ52" s="1006"/>
      <c r="BR52" s="1006"/>
      <c r="BS52" s="1006">
        <v>12</v>
      </c>
      <c r="BT52" s="1009">
        <v>0</v>
      </c>
      <c r="BU52" s="916">
        <v>0</v>
      </c>
      <c r="BV52" s="916">
        <v>0</v>
      </c>
      <c r="BW52" s="916">
        <v>0</v>
      </c>
      <c r="BX52" s="916">
        <v>0</v>
      </c>
      <c r="BY52" s="914"/>
      <c r="BZ52" s="2171"/>
      <c r="CA52" s="2171"/>
      <c r="CB52" s="2171"/>
      <c r="CC52" s="1153"/>
      <c r="CE52" s="1315"/>
      <c r="CG52" s="1315"/>
    </row>
    <row r="53" spans="1:94" ht="12.75" customHeight="1" x14ac:dyDescent="0.2">
      <c r="A53" s="946"/>
      <c r="B53" s="946"/>
      <c r="C53" s="1208"/>
      <c r="D53" s="1208"/>
      <c r="E53" s="1153"/>
      <c r="F53" s="1153"/>
      <c r="G53" s="1153"/>
      <c r="H53" s="1208"/>
      <c r="I53" s="1208"/>
      <c r="J53" s="946"/>
      <c r="K53" s="1208"/>
      <c r="L53" s="946"/>
      <c r="M53" s="1208"/>
      <c r="N53" s="946"/>
      <c r="O53" s="1208"/>
      <c r="P53" s="1208"/>
      <c r="Q53" s="1208"/>
      <c r="R53" s="946"/>
      <c r="S53" s="1208"/>
      <c r="T53" s="1208"/>
      <c r="U53" s="1208"/>
      <c r="V53" s="946"/>
      <c r="W53" s="1208"/>
      <c r="X53" s="1208"/>
      <c r="Y53" s="1208"/>
      <c r="Z53" s="946"/>
      <c r="AA53" s="1208"/>
      <c r="AB53" s="1208"/>
      <c r="AC53" s="1208"/>
      <c r="AD53" s="946"/>
      <c r="AE53" s="1208"/>
      <c r="AF53" s="1208"/>
      <c r="AG53" s="1208"/>
      <c r="AH53" s="946"/>
      <c r="AI53" s="1208"/>
      <c r="AJ53" s="1208"/>
      <c r="AK53" s="1208"/>
      <c r="AL53" s="946"/>
      <c r="AM53" s="1208"/>
      <c r="AN53" s="1208"/>
      <c r="AO53" s="1208"/>
      <c r="AP53" s="946"/>
      <c r="AQ53" s="1208"/>
      <c r="AR53" s="1208"/>
      <c r="AS53" s="1208"/>
      <c r="AT53" s="946"/>
      <c r="AU53" s="1208"/>
      <c r="AV53" s="1208"/>
      <c r="AW53" s="1208"/>
      <c r="AX53" s="946"/>
      <c r="AY53" s="1208"/>
      <c r="AZ53" s="1208"/>
      <c r="BA53" s="1208"/>
      <c r="BB53" s="1208"/>
      <c r="BC53" s="1208"/>
      <c r="BD53" s="1208"/>
      <c r="BE53" s="1208"/>
      <c r="BF53" s="1208"/>
      <c r="BG53" s="1208"/>
      <c r="BH53" s="1208"/>
      <c r="BI53" s="1208"/>
      <c r="BJ53" s="1208"/>
      <c r="BK53" s="1208"/>
      <c r="BL53" s="1208"/>
      <c r="BM53" s="1246"/>
      <c r="BN53" s="1208"/>
      <c r="BO53" s="1208"/>
      <c r="BP53" s="1208"/>
      <c r="BQ53" s="1208"/>
      <c r="BR53" s="1208"/>
      <c r="BS53" s="1208"/>
      <c r="BT53" s="1208"/>
      <c r="BU53" s="1153"/>
      <c r="BV53" s="1153"/>
      <c r="BW53" s="1153"/>
      <c r="BX53" s="1153"/>
      <c r="BY53" s="1153"/>
      <c r="BZ53" s="1165"/>
      <c r="CA53" s="1154"/>
      <c r="CB53" s="1154"/>
      <c r="CC53" s="1153"/>
      <c r="CE53" s="1315"/>
      <c r="CG53" s="1315"/>
    </row>
    <row r="54" spans="1:94" ht="18" customHeight="1" x14ac:dyDescent="0.2">
      <c r="A54" s="1349" t="s">
        <v>619</v>
      </c>
      <c r="B54" s="946"/>
      <c r="C54" s="1193"/>
      <c r="D54" s="1193"/>
      <c r="E54" s="1153"/>
      <c r="F54" s="1153"/>
      <c r="G54" s="1153"/>
      <c r="H54" s="1208"/>
      <c r="I54" s="1208"/>
      <c r="J54" s="946"/>
      <c r="K54" s="1208"/>
      <c r="L54" s="946"/>
      <c r="M54" s="1208"/>
      <c r="N54" s="946"/>
      <c r="O54" s="1208"/>
      <c r="P54" s="1208"/>
      <c r="Q54" s="1208"/>
      <c r="R54" s="946"/>
      <c r="S54" s="1208"/>
      <c r="T54" s="1208"/>
      <c r="U54" s="1208"/>
      <c r="V54" s="1208"/>
      <c r="W54" s="1208"/>
      <c r="X54" s="1208"/>
      <c r="Y54" s="1208"/>
      <c r="Z54" s="1208"/>
      <c r="AA54" s="1208"/>
      <c r="AB54" s="1208"/>
      <c r="AC54" s="1208"/>
      <c r="AD54" s="1208"/>
      <c r="AE54" s="1208"/>
      <c r="AF54" s="1208"/>
      <c r="AG54" s="1208"/>
      <c r="AH54" s="1208"/>
      <c r="AI54" s="1208"/>
      <c r="AJ54" s="1208"/>
      <c r="AK54" s="1208"/>
      <c r="AL54" s="1208"/>
      <c r="AM54" s="1208"/>
      <c r="AN54" s="1208"/>
      <c r="AO54" s="1208"/>
      <c r="AP54" s="1208"/>
      <c r="AQ54" s="1208"/>
      <c r="AR54" s="1208"/>
      <c r="AS54" s="1208"/>
      <c r="AT54" s="1208"/>
      <c r="AU54" s="1208"/>
      <c r="AV54" s="1208"/>
      <c r="AW54" s="1208"/>
      <c r="AX54" s="1208"/>
      <c r="AY54" s="1208"/>
      <c r="AZ54" s="1208"/>
      <c r="BA54" s="1193"/>
      <c r="BB54" s="1193"/>
      <c r="BC54" s="1193"/>
      <c r="BD54" s="1193"/>
      <c r="BE54" s="1193"/>
      <c r="BF54" s="1193"/>
      <c r="BG54" s="1193"/>
      <c r="BH54" s="1193"/>
      <c r="BI54" s="1193"/>
      <c r="BJ54" s="1208"/>
      <c r="BK54" s="1208"/>
      <c r="BL54" s="1193"/>
      <c r="BM54" s="1247"/>
      <c r="BN54" s="1193"/>
      <c r="BO54" s="1193"/>
      <c r="BP54" s="1193"/>
      <c r="BQ54" s="1193"/>
      <c r="BR54" s="1193"/>
      <c r="BS54" s="1193"/>
      <c r="BT54" s="1193"/>
      <c r="BU54" s="1154"/>
      <c r="BV54" s="1154"/>
      <c r="BW54" s="1154"/>
      <c r="BX54" s="1154"/>
      <c r="BY54" s="1154"/>
      <c r="BZ54" s="1165"/>
      <c r="CA54" s="1154"/>
      <c r="CB54" s="1154"/>
      <c r="CC54" s="1153"/>
      <c r="CE54" s="1315"/>
      <c r="CG54" s="1315"/>
    </row>
    <row r="55" spans="1:94" ht="12.75" customHeight="1" x14ac:dyDescent="0.2">
      <c r="A55" s="1350"/>
      <c r="B55" s="946"/>
      <c r="C55" s="1193"/>
      <c r="D55" s="1193"/>
      <c r="E55" s="1153"/>
      <c r="F55" s="1335"/>
      <c r="G55" s="1335"/>
      <c r="H55" s="1451"/>
      <c r="I55" s="1451"/>
      <c r="J55" s="1208"/>
      <c r="K55" s="1451"/>
      <c r="L55" s="1290"/>
      <c r="M55" s="1451"/>
      <c r="N55" s="1208"/>
      <c r="O55" s="1451"/>
      <c r="P55" s="1451"/>
      <c r="Q55" s="1451"/>
      <c r="R55" s="1208"/>
      <c r="S55" s="1451"/>
      <c r="T55" s="1451"/>
      <c r="U55" s="1451"/>
      <c r="V55" s="1208"/>
      <c r="W55" s="1451"/>
      <c r="X55" s="1451"/>
      <c r="Y55" s="1451"/>
      <c r="Z55" s="1208"/>
      <c r="AA55" s="1451"/>
      <c r="AB55" s="1451"/>
      <c r="AC55" s="1451"/>
      <c r="AD55" s="1208"/>
      <c r="AE55" s="1451"/>
      <c r="AF55" s="1451"/>
      <c r="AG55" s="1451"/>
      <c r="AH55" s="1208"/>
      <c r="AI55" s="1451"/>
      <c r="AJ55" s="1208"/>
      <c r="AK55" s="1451"/>
      <c r="AL55" s="1208"/>
      <c r="AM55" s="1451"/>
      <c r="AN55" s="1208"/>
      <c r="AO55" s="1451"/>
      <c r="AP55" s="1208"/>
      <c r="AQ55" s="1451"/>
      <c r="AR55" s="1208"/>
      <c r="AS55" s="1451"/>
      <c r="AT55" s="1208"/>
      <c r="AU55" s="1451"/>
      <c r="AV55" s="1208"/>
      <c r="AW55" s="1208"/>
      <c r="AX55" s="1208"/>
      <c r="AY55" s="1208"/>
      <c r="AZ55" s="1208"/>
      <c r="BA55" s="1193"/>
      <c r="BB55" s="1193"/>
      <c r="BC55" s="1193"/>
      <c r="BD55" s="1193"/>
      <c r="BE55" s="1193"/>
      <c r="BF55" s="1193"/>
      <c r="BG55" s="1193"/>
      <c r="BH55" s="1193"/>
      <c r="BI55" s="1193"/>
      <c r="BJ55" s="1208"/>
      <c r="BK55" s="1208"/>
      <c r="BL55" s="1193"/>
      <c r="BM55" s="1193"/>
      <c r="BN55" s="1193"/>
      <c r="BO55" s="1193"/>
      <c r="BP55" s="1193"/>
      <c r="BQ55" s="1193"/>
      <c r="BR55" s="1193"/>
      <c r="BS55" s="1193"/>
      <c r="BT55" s="1193"/>
      <c r="BU55" s="1154"/>
      <c r="BV55" s="1154"/>
      <c r="BW55" s="1154"/>
      <c r="BX55" s="1154"/>
      <c r="BY55" s="1154"/>
      <c r="BZ55" s="2020"/>
      <c r="CA55" s="2020"/>
      <c r="CB55" s="2020"/>
      <c r="CC55" s="1153"/>
      <c r="CE55" s="1315"/>
      <c r="CG55" s="1315"/>
    </row>
    <row r="56" spans="1:94" ht="12.75" customHeight="1" x14ac:dyDescent="0.2">
      <c r="A56" s="945"/>
      <c r="B56" s="946"/>
      <c r="C56" s="3073" t="s">
        <v>671</v>
      </c>
      <c r="D56" s="3074"/>
      <c r="E56" s="901"/>
      <c r="F56" s="2958"/>
      <c r="G56" s="902"/>
      <c r="H56" s="982"/>
      <c r="I56" s="982"/>
      <c r="J56" s="1218"/>
      <c r="K56" s="982"/>
      <c r="L56" s="982"/>
      <c r="M56" s="982"/>
      <c r="N56" s="1218"/>
      <c r="O56" s="982"/>
      <c r="P56" s="982"/>
      <c r="Q56" s="982"/>
      <c r="R56" s="1218"/>
      <c r="S56" s="982"/>
      <c r="T56" s="982"/>
      <c r="U56" s="982"/>
      <c r="V56" s="1218"/>
      <c r="W56" s="982"/>
      <c r="X56" s="982"/>
      <c r="Y56" s="982"/>
      <c r="Z56" s="1218"/>
      <c r="AA56" s="982"/>
      <c r="AB56" s="982"/>
      <c r="AC56" s="982"/>
      <c r="AD56" s="1218"/>
      <c r="AE56" s="982"/>
      <c r="AF56" s="982"/>
      <c r="AG56" s="982"/>
      <c r="AH56" s="1218"/>
      <c r="AI56" s="1219"/>
      <c r="AJ56" s="1220"/>
      <c r="AK56" s="982"/>
      <c r="AL56" s="1218"/>
      <c r="AM56" s="1219"/>
      <c r="AN56" s="1220"/>
      <c r="AO56" s="982"/>
      <c r="AP56" s="1218"/>
      <c r="AR56" s="1220"/>
      <c r="AS56" s="941"/>
      <c r="AT56" s="1218"/>
      <c r="AU56" s="1220"/>
      <c r="AW56" s="982"/>
      <c r="AX56" s="1218"/>
      <c r="AY56" s="1220"/>
      <c r="AZ56" s="1220"/>
      <c r="BA56" s="1220"/>
      <c r="BB56" s="1220"/>
      <c r="BC56" s="1221"/>
      <c r="BD56" s="1218"/>
      <c r="BE56" s="1218"/>
      <c r="BF56" s="1218"/>
      <c r="BG56" s="1222"/>
      <c r="BH56" s="987" t="s">
        <v>660</v>
      </c>
      <c r="BI56" s="988"/>
      <c r="BJ56" s="988" t="s">
        <v>563</v>
      </c>
      <c r="BK56" s="989"/>
      <c r="BL56" s="990"/>
      <c r="BM56" s="991"/>
      <c r="BN56" s="991"/>
      <c r="BO56" s="991"/>
      <c r="BP56" s="991"/>
      <c r="BQ56" s="991"/>
      <c r="BR56" s="991"/>
      <c r="BS56" s="991"/>
      <c r="BT56" s="991"/>
      <c r="BU56" s="1992"/>
      <c r="BV56" s="1992"/>
      <c r="BW56" s="1992"/>
      <c r="BX56" s="2052"/>
      <c r="BY56" s="2053"/>
      <c r="BZ56" s="1992"/>
      <c r="CA56" s="1992"/>
      <c r="CB56" s="1992"/>
      <c r="CC56" s="1999"/>
      <c r="CE56" s="1315"/>
      <c r="CG56" s="1315"/>
    </row>
    <row r="57" spans="1:94" ht="12.75" customHeight="1" x14ac:dyDescent="0.2">
      <c r="A57" s="945" t="s">
        <v>2</v>
      </c>
      <c r="B57" s="946"/>
      <c r="C57" s="3184" t="s">
        <v>38</v>
      </c>
      <c r="D57" s="3185"/>
      <c r="E57" s="1801"/>
      <c r="F57" s="1993" t="s">
        <v>670</v>
      </c>
      <c r="G57" s="907" t="s">
        <v>558</v>
      </c>
      <c r="H57" s="992" t="s">
        <v>559</v>
      </c>
      <c r="I57" s="992" t="s">
        <v>560</v>
      </c>
      <c r="J57" s="993" t="s">
        <v>561</v>
      </c>
      <c r="K57" s="992" t="s">
        <v>508</v>
      </c>
      <c r="L57" s="992" t="s">
        <v>507</v>
      </c>
      <c r="M57" s="992" t="s">
        <v>506</v>
      </c>
      <c r="N57" s="993" t="s">
        <v>505</v>
      </c>
      <c r="O57" s="992" t="s">
        <v>382</v>
      </c>
      <c r="P57" s="992" t="s">
        <v>383</v>
      </c>
      <c r="Q57" s="992" t="s">
        <v>384</v>
      </c>
      <c r="R57" s="993" t="s">
        <v>385</v>
      </c>
      <c r="S57" s="992" t="s">
        <v>368</v>
      </c>
      <c r="T57" s="992" t="s">
        <v>367</v>
      </c>
      <c r="U57" s="992" t="s">
        <v>366</v>
      </c>
      <c r="V57" s="993" t="s">
        <v>364</v>
      </c>
      <c r="W57" s="992" t="s">
        <v>348</v>
      </c>
      <c r="X57" s="992" t="s">
        <v>349</v>
      </c>
      <c r="Y57" s="992" t="s">
        <v>350</v>
      </c>
      <c r="Z57" s="993" t="s">
        <v>351</v>
      </c>
      <c r="AA57" s="992" t="s">
        <v>315</v>
      </c>
      <c r="AB57" s="992" t="s">
        <v>314</v>
      </c>
      <c r="AC57" s="992" t="s">
        <v>313</v>
      </c>
      <c r="AD57" s="993" t="s">
        <v>311</v>
      </c>
      <c r="AE57" s="992" t="s">
        <v>270</v>
      </c>
      <c r="AF57" s="992" t="s">
        <v>271</v>
      </c>
      <c r="AG57" s="992" t="s">
        <v>272</v>
      </c>
      <c r="AH57" s="993" t="s">
        <v>273</v>
      </c>
      <c r="AI57" s="994" t="s">
        <v>223</v>
      </c>
      <c r="AJ57" s="992" t="s">
        <v>224</v>
      </c>
      <c r="AK57" s="992" t="s">
        <v>225</v>
      </c>
      <c r="AL57" s="993" t="s">
        <v>222</v>
      </c>
      <c r="AM57" s="994" t="s">
        <v>189</v>
      </c>
      <c r="AN57" s="992" t="s">
        <v>190</v>
      </c>
      <c r="AO57" s="992" t="s">
        <v>191</v>
      </c>
      <c r="AP57" s="993" t="s">
        <v>192</v>
      </c>
      <c r="AQ57" s="992" t="s">
        <v>121</v>
      </c>
      <c r="AR57" s="992" t="s">
        <v>120</v>
      </c>
      <c r="AS57" s="992" t="s">
        <v>119</v>
      </c>
      <c r="AT57" s="993" t="s">
        <v>118</v>
      </c>
      <c r="AU57" s="992" t="s">
        <v>81</v>
      </c>
      <c r="AV57" s="992" t="s">
        <v>82</v>
      </c>
      <c r="AW57" s="992" t="s">
        <v>83</v>
      </c>
      <c r="AX57" s="993" t="s">
        <v>29</v>
      </c>
      <c r="AY57" s="992" t="s">
        <v>30</v>
      </c>
      <c r="AZ57" s="992" t="s">
        <v>31</v>
      </c>
      <c r="BA57" s="992" t="s">
        <v>32</v>
      </c>
      <c r="BB57" s="992" t="s">
        <v>33</v>
      </c>
      <c r="BC57" s="995" t="s">
        <v>34</v>
      </c>
      <c r="BD57" s="993" t="s">
        <v>35</v>
      </c>
      <c r="BE57" s="993" t="s">
        <v>36</v>
      </c>
      <c r="BF57" s="993" t="s">
        <v>37</v>
      </c>
      <c r="BG57" s="996"/>
      <c r="BH57" s="992" t="s">
        <v>558</v>
      </c>
      <c r="BI57" s="992" t="s">
        <v>508</v>
      </c>
      <c r="BJ57" s="3194" t="s">
        <v>38</v>
      </c>
      <c r="BK57" s="3076"/>
      <c r="BL57" s="1293"/>
      <c r="BM57" s="994" t="s">
        <v>562</v>
      </c>
      <c r="BN57" s="994" t="s">
        <v>509</v>
      </c>
      <c r="BO57" s="994" t="s">
        <v>502</v>
      </c>
      <c r="BP57" s="994" t="s">
        <v>379</v>
      </c>
      <c r="BQ57" s="994" t="s">
        <v>360</v>
      </c>
      <c r="BR57" s="994" t="s">
        <v>317</v>
      </c>
      <c r="BS57" s="994" t="s">
        <v>275</v>
      </c>
      <c r="BT57" s="994" t="s">
        <v>227</v>
      </c>
      <c r="BU57" s="1948" t="s">
        <v>123</v>
      </c>
      <c r="BV57" s="1948" t="s">
        <v>122</v>
      </c>
      <c r="BW57" s="1948" t="s">
        <v>42</v>
      </c>
      <c r="BX57" s="1948" t="s">
        <v>39</v>
      </c>
      <c r="BY57" s="1993" t="s">
        <v>40</v>
      </c>
      <c r="BZ57" s="1993" t="s">
        <v>142</v>
      </c>
      <c r="CA57" s="1993" t="s">
        <v>143</v>
      </c>
      <c r="CB57" s="1993" t="s">
        <v>144</v>
      </c>
      <c r="CC57" s="1999"/>
      <c r="CE57" s="1315"/>
      <c r="CG57" s="1315"/>
    </row>
    <row r="58" spans="1:94" ht="12.75" customHeight="1" x14ac:dyDescent="0.2">
      <c r="A58" s="1207"/>
      <c r="B58" s="1208" t="s">
        <v>4</v>
      </c>
      <c r="C58" s="1353">
        <v>11029</v>
      </c>
      <c r="D58" s="1210">
        <v>0.23571779691807904</v>
      </c>
      <c r="E58" s="1147"/>
      <c r="F58" s="2006">
        <v>57818</v>
      </c>
      <c r="G58" s="1160">
        <v>53636</v>
      </c>
      <c r="H58" s="1235">
        <v>54202</v>
      </c>
      <c r="I58" s="1235">
        <v>52199</v>
      </c>
      <c r="J58" s="1472">
        <v>46789</v>
      </c>
      <c r="K58" s="1246">
        <v>51455</v>
      </c>
      <c r="L58" s="1269">
        <v>48428</v>
      </c>
      <c r="M58" s="1235">
        <v>32081</v>
      </c>
      <c r="N58" s="1472">
        <v>36918</v>
      </c>
      <c r="O58" s="1246">
        <v>40268</v>
      </c>
      <c r="P58" s="1246">
        <v>32819</v>
      </c>
      <c r="Q58" s="1235">
        <v>29732</v>
      </c>
      <c r="R58" s="1472">
        <v>29473</v>
      </c>
      <c r="S58" s="1235">
        <v>25521</v>
      </c>
      <c r="T58" s="1235">
        <v>25616</v>
      </c>
      <c r="U58" s="1235">
        <v>26155</v>
      </c>
      <c r="V58" s="1472">
        <v>30916</v>
      </c>
      <c r="W58" s="1235">
        <v>33079</v>
      </c>
      <c r="X58" s="1235">
        <v>28267</v>
      </c>
      <c r="Y58" s="1235">
        <v>31637</v>
      </c>
      <c r="Z58" s="1472">
        <v>32356</v>
      </c>
      <c r="AA58" s="1235">
        <v>32016</v>
      </c>
      <c r="AB58" s="1235">
        <v>27719</v>
      </c>
      <c r="AC58" s="1235">
        <v>24413</v>
      </c>
      <c r="AD58" s="1454">
        <v>26842</v>
      </c>
      <c r="AE58" s="1235">
        <v>32223</v>
      </c>
      <c r="AF58" s="1235">
        <v>35051</v>
      </c>
      <c r="AG58" s="1235">
        <v>35814</v>
      </c>
      <c r="AH58" s="1454">
        <v>36767</v>
      </c>
      <c r="AI58" s="1235">
        <v>52537</v>
      </c>
      <c r="AJ58" s="1235">
        <v>44571</v>
      </c>
      <c r="AK58" s="1235">
        <v>47412</v>
      </c>
      <c r="AL58" s="1454">
        <v>54783</v>
      </c>
      <c r="AM58" s="1235">
        <v>72704</v>
      </c>
      <c r="AN58" s="1235">
        <v>68599</v>
      </c>
      <c r="AO58" s="1235">
        <v>44539</v>
      </c>
      <c r="AP58" s="1454">
        <v>47207</v>
      </c>
      <c r="AQ58" s="1235">
        <v>54990</v>
      </c>
      <c r="AR58" s="1235">
        <v>51733</v>
      </c>
      <c r="AS58" s="1235">
        <v>40138</v>
      </c>
      <c r="AT58" s="1454">
        <v>40185</v>
      </c>
      <c r="AU58" s="1471">
        <v>37255</v>
      </c>
      <c r="AV58" s="1235">
        <v>33532</v>
      </c>
      <c r="AW58" s="1235">
        <v>43844</v>
      </c>
      <c r="AX58" s="1454">
        <v>57853</v>
      </c>
      <c r="AY58" s="1196">
        <v>54463</v>
      </c>
      <c r="AZ58" s="1270">
        <v>61166</v>
      </c>
      <c r="BA58" s="1270">
        <v>57415</v>
      </c>
      <c r="BB58" s="1231">
        <v>76083</v>
      </c>
      <c r="BC58" s="1456">
        <v>75876</v>
      </c>
      <c r="BD58" s="1231">
        <v>68831</v>
      </c>
      <c r="BE58" s="1231">
        <v>55626</v>
      </c>
      <c r="BF58" s="1382">
        <v>72286</v>
      </c>
      <c r="BG58" s="1188"/>
      <c r="BH58" s="1473">
        <v>206826</v>
      </c>
      <c r="BI58" s="1471">
        <v>168882</v>
      </c>
      <c r="BJ58" s="1341">
        <v>37944</v>
      </c>
      <c r="BK58" s="2783">
        <v>0.22467758553309411</v>
      </c>
      <c r="BL58" s="1193"/>
      <c r="BM58" s="2900">
        <v>206826</v>
      </c>
      <c r="BN58" s="1751">
        <v>168882</v>
      </c>
      <c r="BO58" s="1751">
        <v>132292</v>
      </c>
      <c r="BP58" s="1751">
        <v>108208</v>
      </c>
      <c r="BQ58" s="1751">
        <v>125339</v>
      </c>
      <c r="BR58" s="1751">
        <v>110990</v>
      </c>
      <c r="BS58" s="1367">
        <v>139855</v>
      </c>
      <c r="BT58" s="1273">
        <v>199303</v>
      </c>
      <c r="BU58" s="2016">
        <v>233049</v>
      </c>
      <c r="BV58" s="2016">
        <v>187046</v>
      </c>
      <c r="BW58" s="2016">
        <v>172484</v>
      </c>
      <c r="BX58" s="2034">
        <v>249127</v>
      </c>
      <c r="BY58" s="2054">
        <v>272619</v>
      </c>
      <c r="BZ58" s="2054">
        <v>225194</v>
      </c>
      <c r="CA58" s="2054">
        <v>178176</v>
      </c>
      <c r="CB58" s="2054">
        <v>175983</v>
      </c>
      <c r="CC58" s="1999"/>
      <c r="CE58" s="1920">
        <v>15609</v>
      </c>
      <c r="CF58" s="1180">
        <v>0.4756086413358116</v>
      </c>
      <c r="CG58" s="1180">
        <v>-4580</v>
      </c>
      <c r="CH58" s="1180">
        <v>-0.23989084441773256</v>
      </c>
      <c r="CJ58" s="1920">
        <v>117427</v>
      </c>
      <c r="CK58" s="1315">
        <v>89399</v>
      </c>
      <c r="CL58" s="1920"/>
      <c r="CM58" s="1315">
        <v>37944</v>
      </c>
      <c r="CN58" s="1315">
        <v>0.22467758553309411</v>
      </c>
      <c r="CO58" s="1315">
        <v>0</v>
      </c>
      <c r="CP58" s="1180">
        <v>0</v>
      </c>
    </row>
    <row r="59" spans="1:94" ht="12.75" customHeight="1" x14ac:dyDescent="0.2">
      <c r="A59" s="1193"/>
      <c r="B59" s="1208" t="s">
        <v>80</v>
      </c>
      <c r="C59" s="1209">
        <v>6258</v>
      </c>
      <c r="D59" s="1035">
        <v>0.16217476935834974</v>
      </c>
      <c r="E59" s="2564"/>
      <c r="F59" s="2010">
        <v>44846</v>
      </c>
      <c r="G59" s="1169">
        <v>44459</v>
      </c>
      <c r="H59" s="1262">
        <v>42616</v>
      </c>
      <c r="I59" s="1262">
        <v>41165</v>
      </c>
      <c r="J59" s="1272">
        <v>38588</v>
      </c>
      <c r="K59" s="1269">
        <v>40147</v>
      </c>
      <c r="L59" s="1269">
        <v>37585</v>
      </c>
      <c r="M59" s="1262">
        <v>27231</v>
      </c>
      <c r="N59" s="1272">
        <v>29529</v>
      </c>
      <c r="O59" s="1269">
        <v>34833</v>
      </c>
      <c r="P59" s="1269">
        <v>28952</v>
      </c>
      <c r="Q59" s="1262">
        <v>25184</v>
      </c>
      <c r="R59" s="1272">
        <v>25855</v>
      </c>
      <c r="S59" s="1262">
        <v>23180</v>
      </c>
      <c r="T59" s="1262">
        <v>23384</v>
      </c>
      <c r="U59" s="1262">
        <v>22686</v>
      </c>
      <c r="V59" s="1272">
        <v>26784</v>
      </c>
      <c r="W59" s="1262">
        <v>29816</v>
      </c>
      <c r="X59" s="1262">
        <v>26259</v>
      </c>
      <c r="Y59" s="1262">
        <v>28532</v>
      </c>
      <c r="Z59" s="1272">
        <v>30351</v>
      </c>
      <c r="AA59" s="1262">
        <v>30921</v>
      </c>
      <c r="AB59" s="1262">
        <v>27970</v>
      </c>
      <c r="AC59" s="1262">
        <v>26377</v>
      </c>
      <c r="AD59" s="1454">
        <v>27166</v>
      </c>
      <c r="AE59" s="1262">
        <v>31433</v>
      </c>
      <c r="AF59" s="1262">
        <v>31140</v>
      </c>
      <c r="AG59" s="1262">
        <v>33812</v>
      </c>
      <c r="AH59" s="1454">
        <v>34551</v>
      </c>
      <c r="AI59" s="1262">
        <v>41751</v>
      </c>
      <c r="AJ59" s="1262">
        <v>37244</v>
      </c>
      <c r="AK59" s="1262">
        <v>37327</v>
      </c>
      <c r="AL59" s="1454">
        <v>43517</v>
      </c>
      <c r="AM59" s="1262">
        <v>54200</v>
      </c>
      <c r="AN59" s="1262">
        <v>52012</v>
      </c>
      <c r="AO59" s="1262">
        <v>38601</v>
      </c>
      <c r="AP59" s="1454">
        <v>39500</v>
      </c>
      <c r="AQ59" s="1262">
        <v>46835</v>
      </c>
      <c r="AR59" s="1262">
        <v>42047</v>
      </c>
      <c r="AS59" s="1262">
        <v>35213</v>
      </c>
      <c r="AT59" s="1454">
        <v>35168</v>
      </c>
      <c r="AU59" s="1262">
        <v>28967</v>
      </c>
      <c r="AV59" s="1262">
        <v>34689</v>
      </c>
      <c r="AW59" s="1262">
        <v>35911</v>
      </c>
      <c r="AX59" s="1454">
        <v>44683</v>
      </c>
      <c r="AY59" s="1196">
        <v>43703</v>
      </c>
      <c r="AZ59" s="1270">
        <v>48132</v>
      </c>
      <c r="BA59" s="1270">
        <v>44039</v>
      </c>
      <c r="BB59" s="1231">
        <v>57148</v>
      </c>
      <c r="BC59" s="1237">
        <v>55349</v>
      </c>
      <c r="BD59" s="1231">
        <v>50178</v>
      </c>
      <c r="BE59" s="1231">
        <v>41346</v>
      </c>
      <c r="BF59" s="1231">
        <v>55217</v>
      </c>
      <c r="BG59" s="1188"/>
      <c r="BH59" s="1462">
        <v>166828</v>
      </c>
      <c r="BI59" s="1235">
        <v>134492</v>
      </c>
      <c r="BJ59" s="957">
        <v>32336</v>
      </c>
      <c r="BK59" s="1299">
        <v>0.2404306575855813</v>
      </c>
      <c r="BL59" s="1193"/>
      <c r="BM59" s="1846">
        <v>166828</v>
      </c>
      <c r="BN59" s="1751">
        <v>134492</v>
      </c>
      <c r="BO59" s="1751">
        <v>114824</v>
      </c>
      <c r="BP59" s="1751">
        <v>96034</v>
      </c>
      <c r="BQ59" s="1751">
        <v>114958</v>
      </c>
      <c r="BR59" s="1751">
        <v>112434</v>
      </c>
      <c r="BS59" s="1273">
        <v>130936</v>
      </c>
      <c r="BT59" s="1273">
        <v>159839</v>
      </c>
      <c r="BU59" s="2016">
        <v>184313</v>
      </c>
      <c r="BV59" s="2016">
        <v>159263</v>
      </c>
      <c r="BW59" s="2016">
        <v>144250</v>
      </c>
      <c r="BX59" s="2013">
        <v>193022</v>
      </c>
      <c r="BY59" s="2002">
        <v>202090</v>
      </c>
      <c r="BZ59" s="2002">
        <v>163976</v>
      </c>
      <c r="CA59" s="2002">
        <v>127504</v>
      </c>
      <c r="CB59" s="2002">
        <v>118638</v>
      </c>
      <c r="CC59" s="1999"/>
      <c r="CE59" s="1920">
        <v>8633</v>
      </c>
      <c r="CF59" s="1180">
        <v>0.29818319977894447</v>
      </c>
      <c r="CG59" s="1180">
        <v>-2375</v>
      </c>
      <c r="CH59" s="1180">
        <v>-0.13600843042059474</v>
      </c>
      <c r="CJ59" s="1920">
        <v>94345</v>
      </c>
      <c r="CK59" s="1315">
        <v>72483</v>
      </c>
      <c r="CL59" s="1920"/>
      <c r="CM59" s="1315">
        <v>32336</v>
      </c>
      <c r="CN59" s="1315">
        <v>0.2404306575855813</v>
      </c>
      <c r="CO59" s="1315">
        <v>0</v>
      </c>
      <c r="CP59" s="1180">
        <v>0</v>
      </c>
    </row>
    <row r="60" spans="1:94" ht="12.75" customHeight="1" x14ac:dyDescent="0.2">
      <c r="A60" s="1193"/>
      <c r="B60" s="1343" t="s">
        <v>332</v>
      </c>
      <c r="C60" s="1209">
        <v>669</v>
      </c>
      <c r="D60" s="1035">
        <v>0.21984883338810385</v>
      </c>
      <c r="E60" s="2564"/>
      <c r="F60" s="2010">
        <v>3712</v>
      </c>
      <c r="G60" s="1169">
        <v>4021</v>
      </c>
      <c r="H60" s="1262">
        <v>2725</v>
      </c>
      <c r="I60" s="1262">
        <v>3363</v>
      </c>
      <c r="J60" s="1272">
        <v>3043</v>
      </c>
      <c r="K60" s="1269">
        <v>2854</v>
      </c>
      <c r="L60" s="1269">
        <v>3345</v>
      </c>
      <c r="M60" s="1262">
        <v>3776</v>
      </c>
      <c r="N60" s="1272">
        <v>4225</v>
      </c>
      <c r="O60" s="1269">
        <v>3977</v>
      </c>
      <c r="P60" s="1269">
        <v>4348</v>
      </c>
      <c r="Q60" s="1262">
        <v>3916</v>
      </c>
      <c r="R60" s="1272">
        <v>3263</v>
      </c>
      <c r="S60" s="1262">
        <v>5413</v>
      </c>
      <c r="T60" s="1262">
        <v>4592</v>
      </c>
      <c r="U60" s="1262">
        <v>5137</v>
      </c>
      <c r="V60" s="1272">
        <v>4522</v>
      </c>
      <c r="W60" s="1262">
        <v>4542</v>
      </c>
      <c r="X60" s="1262">
        <v>3794</v>
      </c>
      <c r="Y60" s="1262"/>
      <c r="Z60" s="1272"/>
      <c r="AA60" s="1262"/>
      <c r="AB60" s="1262"/>
      <c r="AC60" s="1262"/>
      <c r="AD60" s="1454"/>
      <c r="AE60" s="1262"/>
      <c r="AF60" s="1262"/>
      <c r="AG60" s="1262"/>
      <c r="AH60" s="1454"/>
      <c r="AI60" s="1262"/>
      <c r="AJ60" s="1262"/>
      <c r="AK60" s="1262"/>
      <c r="AL60" s="1454"/>
      <c r="AM60" s="1262"/>
      <c r="AN60" s="1262"/>
      <c r="AO60" s="1262"/>
      <c r="AP60" s="1454"/>
      <c r="AQ60" s="1262"/>
      <c r="AR60" s="1262"/>
      <c r="AS60" s="1262"/>
      <c r="AT60" s="1454"/>
      <c r="AU60" s="1262"/>
      <c r="AV60" s="1262"/>
      <c r="AW60" s="1262"/>
      <c r="AX60" s="1454"/>
      <c r="AY60" s="1196"/>
      <c r="AZ60" s="1270"/>
      <c r="BA60" s="1270"/>
      <c r="BB60" s="1231"/>
      <c r="BC60" s="1237"/>
      <c r="BD60" s="1231"/>
      <c r="BE60" s="1231"/>
      <c r="BF60" s="1231"/>
      <c r="BG60" s="1188"/>
      <c r="BH60" s="1462">
        <v>13152</v>
      </c>
      <c r="BI60" s="1235">
        <v>14200</v>
      </c>
      <c r="BJ60" s="957">
        <v>-1048</v>
      </c>
      <c r="BK60" s="1299">
        <v>-7.3802816901408455E-2</v>
      </c>
      <c r="BL60" s="1193"/>
      <c r="BM60" s="1846">
        <v>13152</v>
      </c>
      <c r="BN60" s="1751">
        <v>14200</v>
      </c>
      <c r="BO60" s="1751">
        <v>15504</v>
      </c>
      <c r="BP60" s="1751">
        <v>19664</v>
      </c>
      <c r="BQ60" s="1751">
        <v>17483</v>
      </c>
      <c r="BR60" s="1751">
        <v>16672</v>
      </c>
      <c r="BS60" s="1273">
        <v>35495</v>
      </c>
      <c r="BT60" s="1273">
        <v>35737</v>
      </c>
      <c r="BU60" s="2016"/>
      <c r="BV60" s="2016"/>
      <c r="BW60" s="2016"/>
      <c r="BX60" s="2013"/>
      <c r="BY60" s="2002"/>
      <c r="BZ60" s="2002"/>
      <c r="CA60" s="2002"/>
      <c r="CB60" s="2002"/>
      <c r="CC60" s="1999"/>
      <c r="CE60" s="1920">
        <v>-1003</v>
      </c>
      <c r="CF60" s="1180">
        <v>-0.23068077276908924</v>
      </c>
      <c r="CG60" s="1180">
        <v>1672</v>
      </c>
      <c r="CH60" s="1180">
        <v>0.45052960615719306</v>
      </c>
      <c r="CJ60" s="1920">
        <v>11346</v>
      </c>
      <c r="CK60" s="1315">
        <v>1806</v>
      </c>
      <c r="CL60" s="1920"/>
      <c r="CM60" s="1315">
        <v>-1048</v>
      </c>
      <c r="CN60" s="1315">
        <v>-7.3802816901408455E-2</v>
      </c>
      <c r="CO60" s="1315">
        <v>0</v>
      </c>
      <c r="CP60" s="1180">
        <v>0</v>
      </c>
    </row>
    <row r="61" spans="1:94" x14ac:dyDescent="0.2">
      <c r="A61" s="1193"/>
      <c r="B61" s="1343" t="s">
        <v>72</v>
      </c>
      <c r="C61" s="1211">
        <v>4102</v>
      </c>
      <c r="D61" s="1192">
        <v>0.79526948429623889</v>
      </c>
      <c r="E61" s="2564"/>
      <c r="F61" s="2962">
        <v>9260</v>
      </c>
      <c r="G61" s="1181">
        <v>5156</v>
      </c>
      <c r="H61" s="1304">
        <v>8861</v>
      </c>
      <c r="I61" s="1304">
        <v>7671</v>
      </c>
      <c r="J61" s="1253">
        <v>5158</v>
      </c>
      <c r="K61" s="1304">
        <v>8454</v>
      </c>
      <c r="L61" s="1304">
        <v>7498</v>
      </c>
      <c r="M61" s="1304">
        <v>1074</v>
      </c>
      <c r="N61" s="1253">
        <v>3164</v>
      </c>
      <c r="O61" s="1304">
        <v>1458</v>
      </c>
      <c r="P61" s="1304">
        <v>-481</v>
      </c>
      <c r="Q61" s="1304">
        <v>632</v>
      </c>
      <c r="R61" s="1253">
        <v>355</v>
      </c>
      <c r="S61" s="1304">
        <v>-3072</v>
      </c>
      <c r="T61" s="1304">
        <v>-2360</v>
      </c>
      <c r="U61" s="1304">
        <v>-1668</v>
      </c>
      <c r="V61" s="1253">
        <v>-390</v>
      </c>
      <c r="W61" s="1304">
        <v>-1279</v>
      </c>
      <c r="X61" s="1304">
        <v>-1786</v>
      </c>
      <c r="Y61" s="1304">
        <v>-1765</v>
      </c>
      <c r="Z61" s="1253">
        <v>-2272</v>
      </c>
      <c r="AA61" s="1304">
        <v>-3180</v>
      </c>
      <c r="AB61" s="1304">
        <v>-4658</v>
      </c>
      <c r="AC61" s="1304" t="e">
        <v>#REF!</v>
      </c>
      <c r="AD61" s="1458" t="e">
        <v>#REF!</v>
      </c>
      <c r="AE61" s="1304" t="e">
        <v>#REF!</v>
      </c>
      <c r="AF61" s="1304" t="e">
        <v>#REF!</v>
      </c>
      <c r="AG61" s="1304" t="e">
        <v>#REF!</v>
      </c>
      <c r="AH61" s="1253" t="e">
        <v>#REF!</v>
      </c>
      <c r="AI61" s="1304" t="e">
        <v>#REF!</v>
      </c>
      <c r="AJ61" s="1304" t="e">
        <v>#REF!</v>
      </c>
      <c r="AK61" s="1304" t="e">
        <v>#REF!</v>
      </c>
      <c r="AL61" s="1458" t="e">
        <v>#REF!</v>
      </c>
      <c r="AM61" s="1304" t="e">
        <v>#REF!</v>
      </c>
      <c r="AN61" s="1304" t="e">
        <v>#REF!</v>
      </c>
      <c r="AO61" s="1304"/>
      <c r="AP61" s="1458"/>
      <c r="AQ61" s="1304"/>
      <c r="AR61" s="1304"/>
      <c r="AS61" s="1304"/>
      <c r="AT61" s="1458"/>
      <c r="AU61" s="1304"/>
      <c r="AV61" s="1304"/>
      <c r="AW61" s="1304"/>
      <c r="AX61" s="1458"/>
      <c r="AY61" s="1307"/>
      <c r="AZ61" s="1304"/>
      <c r="BA61" s="1304"/>
      <c r="BB61" s="1253"/>
      <c r="BC61" s="1274"/>
      <c r="BD61" s="1253"/>
      <c r="BE61" s="1253"/>
      <c r="BF61" s="1253"/>
      <c r="BG61" s="1476"/>
      <c r="BH61" s="2230">
        <v>26846</v>
      </c>
      <c r="BI61" s="1255">
        <v>20190</v>
      </c>
      <c r="BJ61" s="1191">
        <v>6656</v>
      </c>
      <c r="BK61" s="1309">
        <v>0.3296681525507677</v>
      </c>
      <c r="BL61" s="1193"/>
      <c r="BM61" s="1827">
        <v>26846</v>
      </c>
      <c r="BN61" s="1274">
        <v>20190</v>
      </c>
      <c r="BO61" s="1274">
        <v>1964</v>
      </c>
      <c r="BP61" s="1274">
        <v>-7490</v>
      </c>
      <c r="BQ61" s="1827">
        <v>-7102</v>
      </c>
      <c r="BR61" s="1827">
        <v>-18116</v>
      </c>
      <c r="BS61" s="1478">
        <v>-26576</v>
      </c>
      <c r="BT61" s="1478">
        <v>3727</v>
      </c>
      <c r="BU61" s="2031">
        <v>12132</v>
      </c>
      <c r="BV61" s="2031" t="e">
        <v>#REF!</v>
      </c>
      <c r="BW61" s="2056" t="e">
        <v>#REF!</v>
      </c>
      <c r="BX61" s="2055" t="e">
        <v>#REF!</v>
      </c>
      <c r="BY61" s="2007"/>
      <c r="BZ61" s="2007"/>
      <c r="CA61" s="2007"/>
      <c r="CB61" s="2007"/>
      <c r="CC61" s="1999"/>
      <c r="CE61" s="1920">
        <v>7979</v>
      </c>
      <c r="CF61" s="1180">
        <v>-16.588357588357589</v>
      </c>
      <c r="CG61" s="1180">
        <v>-3877</v>
      </c>
      <c r="CH61" s="1180">
        <v>17.383627072653827</v>
      </c>
      <c r="CJ61" s="1920">
        <v>11736</v>
      </c>
      <c r="CK61" s="1315">
        <v>15110</v>
      </c>
      <c r="CL61" s="1920"/>
      <c r="CM61" s="1315">
        <v>6656</v>
      </c>
      <c r="CN61" s="1315">
        <v>0.3296681525507677</v>
      </c>
      <c r="CO61" s="1315">
        <v>0</v>
      </c>
      <c r="CP61" s="1180">
        <v>0</v>
      </c>
    </row>
    <row r="62" spans="1:94" ht="12.75" customHeight="1" x14ac:dyDescent="0.2">
      <c r="A62" s="1193"/>
      <c r="B62" s="1208"/>
      <c r="C62" s="1007"/>
      <c r="D62" s="959"/>
      <c r="E62" s="929"/>
      <c r="F62" s="929"/>
      <c r="G62" s="929"/>
      <c r="H62" s="959"/>
      <c r="I62" s="959"/>
      <c r="J62" s="959"/>
      <c r="K62" s="959"/>
      <c r="L62" s="959"/>
      <c r="M62" s="959"/>
      <c r="N62" s="959"/>
      <c r="O62" s="959"/>
      <c r="P62" s="959"/>
      <c r="Q62" s="959"/>
      <c r="R62" s="959"/>
      <c r="S62" s="959"/>
      <c r="T62" s="959"/>
      <c r="U62" s="959"/>
      <c r="V62" s="959"/>
      <c r="W62" s="959"/>
      <c r="X62" s="959"/>
      <c r="Y62" s="959"/>
      <c r="Z62" s="959"/>
      <c r="AA62" s="959"/>
      <c r="AB62" s="959"/>
      <c r="AC62" s="959"/>
      <c r="AD62" s="1208"/>
      <c r="AE62" s="959"/>
      <c r="AF62" s="959"/>
      <c r="AG62" s="959"/>
      <c r="AH62" s="1208"/>
      <c r="AI62" s="1269"/>
      <c r="AJ62" s="959"/>
      <c r="AK62" s="959"/>
      <c r="AL62" s="1208"/>
      <c r="AM62" s="959"/>
      <c r="AN62" s="959"/>
      <c r="AO62" s="959"/>
      <c r="AP62" s="1208"/>
      <c r="AQ62" s="959"/>
      <c r="AR62" s="959"/>
      <c r="AS62" s="959"/>
      <c r="AT62" s="1208"/>
      <c r="AU62" s="959"/>
      <c r="AV62" s="959"/>
      <c r="AW62" s="959"/>
      <c r="AX62" s="1208"/>
      <c r="AY62" s="1193"/>
      <c r="AZ62" s="1193"/>
      <c r="BA62" s="1193"/>
      <c r="BB62" s="1193"/>
      <c r="BC62" s="1193"/>
      <c r="BD62" s="1193"/>
      <c r="BE62" s="1193"/>
      <c r="BF62" s="1193"/>
      <c r="BG62" s="1208"/>
      <c r="BH62" s="1208"/>
      <c r="BI62" s="1208"/>
      <c r="BJ62" s="1007"/>
      <c r="BK62" s="959"/>
      <c r="BL62" s="1208"/>
      <c r="BM62" s="1208"/>
      <c r="BN62" s="1208"/>
      <c r="BO62" s="1208"/>
      <c r="BP62" s="1208"/>
      <c r="BQ62" s="1208"/>
      <c r="BR62" s="1208"/>
      <c r="BS62" s="1208"/>
      <c r="BT62" s="1208"/>
      <c r="BU62" s="1153"/>
      <c r="BV62" s="1153"/>
      <c r="BW62" s="1153"/>
      <c r="BX62" s="1154"/>
      <c r="BY62" s="1154"/>
      <c r="BZ62" s="914"/>
      <c r="CA62" s="914"/>
      <c r="CB62" s="914"/>
      <c r="CC62" s="1153"/>
      <c r="CE62" s="1315"/>
      <c r="CG62" s="1315"/>
    </row>
    <row r="63" spans="1:94" ht="12.75" customHeight="1" x14ac:dyDescent="0.2">
      <c r="A63" s="1193"/>
      <c r="B63" s="1203" t="s">
        <v>623</v>
      </c>
      <c r="C63" s="1805">
        <v>1.0606672271622597</v>
      </c>
      <c r="D63" s="959"/>
      <c r="E63" s="929"/>
      <c r="F63" s="929">
        <v>0.57926597253450485</v>
      </c>
      <c r="G63" s="929">
        <v>0.57179879185621596</v>
      </c>
      <c r="H63" s="959">
        <v>0.57968340651636474</v>
      </c>
      <c r="I63" s="959">
        <v>0.57786547635012164</v>
      </c>
      <c r="J63" s="959">
        <v>0.56865930026288225</v>
      </c>
      <c r="K63" s="959">
        <v>0.584977164512681</v>
      </c>
      <c r="L63" s="959">
        <v>0.57103328652845464</v>
      </c>
      <c r="M63" s="959">
        <v>0.58826096443377696</v>
      </c>
      <c r="N63" s="959">
        <v>0.57075139498347693</v>
      </c>
      <c r="O63" s="959">
        <v>0.61604748187146119</v>
      </c>
      <c r="P63" s="959">
        <v>0.56065084249977148</v>
      </c>
      <c r="Q63" s="959">
        <v>0.57510426476523613</v>
      </c>
      <c r="R63" s="959">
        <v>0.60265327587961859</v>
      </c>
      <c r="S63" s="959">
        <v>0.58453822342384698</v>
      </c>
      <c r="T63" s="959"/>
      <c r="U63" s="959"/>
      <c r="V63" s="959"/>
      <c r="W63" s="959"/>
      <c r="X63" s="959"/>
      <c r="Y63" s="959"/>
      <c r="Z63" s="959"/>
      <c r="AA63" s="959"/>
      <c r="AB63" s="959"/>
      <c r="AC63" s="959"/>
      <c r="AD63" s="1208"/>
      <c r="AE63" s="959"/>
      <c r="AF63" s="959"/>
      <c r="AG63" s="959"/>
      <c r="AH63" s="1208"/>
      <c r="AI63" s="1269"/>
      <c r="AJ63" s="959"/>
      <c r="AK63" s="959"/>
      <c r="AL63" s="1208"/>
      <c r="AM63" s="959"/>
      <c r="AN63" s="959"/>
      <c r="AO63" s="959"/>
      <c r="AP63" s="1208"/>
      <c r="AQ63" s="959"/>
      <c r="AR63" s="959"/>
      <c r="AS63" s="959"/>
      <c r="AT63" s="1208"/>
      <c r="AU63" s="959"/>
      <c r="AV63" s="959"/>
      <c r="AW63" s="959"/>
      <c r="AX63" s="1208"/>
      <c r="AY63" s="1193"/>
      <c r="AZ63" s="1193"/>
      <c r="BA63" s="1193"/>
      <c r="BB63" s="1193"/>
      <c r="BC63" s="1193"/>
      <c r="BD63" s="1193"/>
      <c r="BE63" s="1193"/>
      <c r="BF63" s="1193"/>
      <c r="BG63" s="1208"/>
      <c r="BH63" s="959">
        <v>0.57468596791505899</v>
      </c>
      <c r="BI63" s="959">
        <v>0.57849267535912652</v>
      </c>
      <c r="BJ63" s="1805">
        <v>-0.38067074440675253</v>
      </c>
      <c r="BK63" s="959"/>
      <c r="BL63" s="1208"/>
      <c r="BM63" s="959">
        <v>0.57468596791505899</v>
      </c>
      <c r="BN63" s="959">
        <v>0.57849267535912652</v>
      </c>
      <c r="BO63" s="959">
        <v>0.59011882804704741</v>
      </c>
      <c r="BP63" s="959">
        <v>0.58552972053822272</v>
      </c>
      <c r="BQ63" s="959">
        <v>0.5983851793934849</v>
      </c>
      <c r="BR63" s="959">
        <v>0.62871429858545813</v>
      </c>
      <c r="BS63" s="1208"/>
      <c r="BT63" s="1208"/>
      <c r="BU63" s="1153"/>
      <c r="BV63" s="1153"/>
      <c r="BW63" s="1153"/>
      <c r="BX63" s="1154"/>
      <c r="BY63" s="1154"/>
      <c r="BZ63" s="914"/>
      <c r="CA63" s="914"/>
      <c r="CB63" s="914"/>
      <c r="CC63" s="1153"/>
      <c r="CE63" s="1315"/>
      <c r="CG63" s="1315"/>
    </row>
    <row r="64" spans="1:94" ht="12.75" customHeight="1" x14ac:dyDescent="0.2">
      <c r="A64" s="1193"/>
      <c r="B64" s="1203" t="s">
        <v>75</v>
      </c>
      <c r="C64" s="1805">
        <v>-5.9689628227809797</v>
      </c>
      <c r="D64" s="959"/>
      <c r="E64" s="929"/>
      <c r="F64" s="929">
        <v>0.19637483136739423</v>
      </c>
      <c r="G64" s="929">
        <v>0.2571034379894101</v>
      </c>
      <c r="H64" s="959">
        <v>0.20656064351868936</v>
      </c>
      <c r="I64" s="959">
        <v>0.21075116381539877</v>
      </c>
      <c r="J64" s="959">
        <v>0.25606445959520402</v>
      </c>
      <c r="K64" s="959">
        <v>0.19525799242056166</v>
      </c>
      <c r="L64" s="959">
        <v>0.20506731642851242</v>
      </c>
      <c r="M64" s="959">
        <v>0.26055920950095074</v>
      </c>
      <c r="N64" s="959">
        <v>0.2291023349043827</v>
      </c>
      <c r="O64" s="959">
        <v>0.24898182179398032</v>
      </c>
      <c r="P64" s="959">
        <v>0.32152107011182546</v>
      </c>
      <c r="Q64" s="959">
        <v>0.27192923449482037</v>
      </c>
      <c r="R64" s="959">
        <v>0.27459030298917653</v>
      </c>
      <c r="S64" s="959">
        <v>0.32373339602680146</v>
      </c>
      <c r="T64" s="959">
        <v>0.34111492816989381</v>
      </c>
      <c r="U64" s="959">
        <v>0.29137832154463772</v>
      </c>
      <c r="V64" s="959">
        <v>0.26051235606158624</v>
      </c>
      <c r="W64" s="959">
        <v>0.3015810635146165</v>
      </c>
      <c r="X64" s="959">
        <v>0.34365160788198251</v>
      </c>
      <c r="Y64" s="959">
        <v>0.31406264816512314</v>
      </c>
      <c r="Z64" s="959">
        <v>0.31929163060946963</v>
      </c>
      <c r="AA64" s="959">
        <v>0.31784107946026985</v>
      </c>
      <c r="AB64" s="959">
        <v>0.39835491900862224</v>
      </c>
      <c r="AC64" s="959">
        <v>0.45582271740466146</v>
      </c>
      <c r="AD64" s="959">
        <v>0.38398778034423664</v>
      </c>
      <c r="AE64" s="959">
        <v>0.32892654315240666</v>
      </c>
      <c r="AF64" s="959">
        <v>0.27796639182904909</v>
      </c>
      <c r="AG64" s="959">
        <v>0.29628078405092978</v>
      </c>
      <c r="AH64" s="959">
        <v>0.32134794788805177</v>
      </c>
      <c r="AI64" s="959">
        <v>0.21590498125130861</v>
      </c>
      <c r="AJ64" s="959">
        <v>0.25269794260842254</v>
      </c>
      <c r="AK64" s="959">
        <v>0.21564160971905846</v>
      </c>
      <c r="AL64" s="959">
        <v>0.20723582133143492</v>
      </c>
      <c r="AM64" s="959">
        <v>0.18037522007042253</v>
      </c>
      <c r="AN64" s="959">
        <v>0.18236417440487471</v>
      </c>
      <c r="AO64" s="959">
        <v>0.27443364242573925</v>
      </c>
      <c r="AP64" s="959">
        <v>0.26133836083631667</v>
      </c>
      <c r="AQ64" s="959">
        <v>0.27384979087106748</v>
      </c>
      <c r="AR64" s="959">
        <v>0.26397077300755806</v>
      </c>
      <c r="AS64" s="959">
        <v>0.28613782450545616</v>
      </c>
      <c r="AT64" s="959">
        <v>0.3055617767823815</v>
      </c>
      <c r="AU64" s="959">
        <v>0.30438867266138775</v>
      </c>
      <c r="AV64" s="959">
        <v>0.52001073601336034</v>
      </c>
      <c r="AW64" s="959">
        <v>0.28095064318949003</v>
      </c>
      <c r="AX64" s="959">
        <v>0.24116294747031269</v>
      </c>
      <c r="AY64" s="1036">
        <v>0.27273561867689994</v>
      </c>
      <c r="AZ64" s="1036">
        <v>0.26800000000000002</v>
      </c>
      <c r="BA64" s="1036">
        <v>0.26400000000000001</v>
      </c>
      <c r="BB64" s="1036">
        <v>0.20299999999999996</v>
      </c>
      <c r="BC64" s="1036">
        <v>0.19</v>
      </c>
      <c r="BD64" s="1036">
        <v>0.22199999999999998</v>
      </c>
      <c r="BE64" s="1036">
        <v>0.24399999999999999</v>
      </c>
      <c r="BF64" s="1036">
        <v>0.255</v>
      </c>
      <c r="BG64" s="1208"/>
      <c r="BH64" s="959">
        <v>0.23192441956040344</v>
      </c>
      <c r="BI64" s="959">
        <v>0.21787401854549329</v>
      </c>
      <c r="BJ64" s="1805">
        <v>1.4050401014910148</v>
      </c>
      <c r="BK64" s="959"/>
      <c r="BL64" s="1208"/>
      <c r="BM64" s="959">
        <v>0.23192441956040344</v>
      </c>
      <c r="BN64" s="959">
        <v>0.21787401854549329</v>
      </c>
      <c r="BO64" s="959">
        <v>0.27783992985214523</v>
      </c>
      <c r="BP64" s="959">
        <v>0.30196473458524326</v>
      </c>
      <c r="BQ64" s="959">
        <v>0.3187914376211714</v>
      </c>
      <c r="BR64" s="959">
        <v>0.38429588251193803</v>
      </c>
      <c r="BS64" s="959">
        <v>0.30580243823960529</v>
      </c>
      <c r="BT64" s="959">
        <v>0.22168758122055363</v>
      </c>
      <c r="BU64" s="929">
        <v>0.21533668885084253</v>
      </c>
      <c r="BV64" s="929">
        <v>0.28056734706970476</v>
      </c>
      <c r="BW64" s="929">
        <v>0.3191426451149092</v>
      </c>
      <c r="BX64" s="923">
        <v>0.24833920048810446</v>
      </c>
      <c r="BY64" s="923">
        <v>0.22599999999999998</v>
      </c>
      <c r="BZ64" s="2022">
        <v>0.20299999999999996</v>
      </c>
      <c r="CA64" s="2022">
        <v>0.18</v>
      </c>
      <c r="CB64" s="2022">
        <v>0.14600000000000002</v>
      </c>
      <c r="CC64" s="1153"/>
      <c r="CE64" s="1315"/>
      <c r="CG64" s="1315"/>
    </row>
    <row r="65" spans="1:94" ht="12.75" customHeight="1" x14ac:dyDescent="0.2">
      <c r="A65" s="1193"/>
      <c r="B65" s="1203" t="s">
        <v>76</v>
      </c>
      <c r="C65" s="1805">
        <v>-4.9082955956187284</v>
      </c>
      <c r="D65" s="959"/>
      <c r="E65" s="929"/>
      <c r="F65" s="929">
        <v>0.77564080390189905</v>
      </c>
      <c r="G65" s="929">
        <v>0.82890222984562612</v>
      </c>
      <c r="H65" s="959">
        <v>0.78624405003505404</v>
      </c>
      <c r="I65" s="959">
        <v>0.78861664016552047</v>
      </c>
      <c r="J65" s="959">
        <v>0.82472375985808632</v>
      </c>
      <c r="K65" s="959">
        <v>0.78023515693324264</v>
      </c>
      <c r="L65" s="959">
        <v>0.77610060295696703</v>
      </c>
      <c r="M65" s="959">
        <v>0.84882017393472775</v>
      </c>
      <c r="N65" s="959">
        <v>0.79985372988785963</v>
      </c>
      <c r="O65" s="959">
        <v>0.86502930366544151</v>
      </c>
      <c r="P65" s="959">
        <v>0.88217191261159689</v>
      </c>
      <c r="Q65" s="959">
        <v>0.84703349926005655</v>
      </c>
      <c r="R65" s="959">
        <v>0.87724357886879512</v>
      </c>
      <c r="S65" s="959">
        <v>0.90827161945064849</v>
      </c>
      <c r="T65" s="959">
        <v>0.91286695815115548</v>
      </c>
      <c r="U65" s="959">
        <v>0.86736761613458235</v>
      </c>
      <c r="V65" s="959">
        <v>0.86634752231854051</v>
      </c>
      <c r="W65" s="959">
        <v>0.90135735663109529</v>
      </c>
      <c r="X65" s="959">
        <v>0.92896310185021402</v>
      </c>
      <c r="Y65" s="959">
        <v>0.901855422448399</v>
      </c>
      <c r="Z65" s="959">
        <v>0.93803313141303002</v>
      </c>
      <c r="AA65" s="959">
        <v>0.96579835082458776</v>
      </c>
      <c r="AB65" s="959">
        <v>1.0090551607200837</v>
      </c>
      <c r="AC65" s="959">
        <v>1.0804489411379183</v>
      </c>
      <c r="AD65" s="959">
        <v>1.01207063557112</v>
      </c>
      <c r="AE65" s="959">
        <v>0.97548335040188683</v>
      </c>
      <c r="AF65" s="959">
        <v>0.88841973124875184</v>
      </c>
      <c r="AG65" s="959">
        <v>0.94410007259730833</v>
      </c>
      <c r="AH65" s="959">
        <v>0.93972856093779744</v>
      </c>
      <c r="AI65" s="959">
        <v>0.79469707063593276</v>
      </c>
      <c r="AJ65" s="959">
        <v>0.83561059881986044</v>
      </c>
      <c r="AK65" s="959">
        <v>0.78729013751792798</v>
      </c>
      <c r="AL65" s="959">
        <v>0.7943522625632039</v>
      </c>
      <c r="AM65" s="959">
        <v>0.74548855633802813</v>
      </c>
      <c r="AN65" s="959">
        <v>0.75820347235382435</v>
      </c>
      <c r="AO65" s="959">
        <v>0.86667864119086646</v>
      </c>
      <c r="AP65" s="959">
        <v>0.83674031393649251</v>
      </c>
      <c r="AQ65" s="959">
        <v>0.8517003091471177</v>
      </c>
      <c r="AR65" s="959">
        <v>0.81276941217404752</v>
      </c>
      <c r="AS65" s="959">
        <v>0.8772983207932632</v>
      </c>
      <c r="AT65" s="959">
        <v>0.87515242005723526</v>
      </c>
      <c r="AU65" s="959">
        <v>0.77753321701784994</v>
      </c>
      <c r="AV65" s="959">
        <v>1.0345043540498629</v>
      </c>
      <c r="AW65" s="959">
        <v>0.81906304169327615</v>
      </c>
      <c r="AX65" s="959">
        <v>0.77235406979759047</v>
      </c>
      <c r="AY65" s="1036">
        <v>0.8024346804252428</v>
      </c>
      <c r="AZ65" s="1036">
        <v>0.78700000000000003</v>
      </c>
      <c r="BA65" s="1036">
        <v>0.76700000000000002</v>
      </c>
      <c r="BB65" s="1036">
        <v>0.751</v>
      </c>
      <c r="BC65" s="1036">
        <v>0.72899999999999998</v>
      </c>
      <c r="BD65" s="1036">
        <v>0.72899999999999998</v>
      </c>
      <c r="BE65" s="1036">
        <v>0.74299999999999999</v>
      </c>
      <c r="BF65" s="1036">
        <v>0.76400000000000001</v>
      </c>
      <c r="BG65" s="1208"/>
      <c r="BH65" s="959">
        <v>0.80661038747546243</v>
      </c>
      <c r="BI65" s="959">
        <v>0.79636669390461978</v>
      </c>
      <c r="BJ65" s="1805">
        <v>1.0243693570842649</v>
      </c>
      <c r="BK65" s="959"/>
      <c r="BL65" s="1208"/>
      <c r="BM65" s="959">
        <v>0.80661038747546243</v>
      </c>
      <c r="BN65" s="959">
        <v>0.79636669390461978</v>
      </c>
      <c r="BO65" s="959">
        <v>0.86795875789919275</v>
      </c>
      <c r="BP65" s="959">
        <v>0.88749445512346592</v>
      </c>
      <c r="BQ65" s="959">
        <v>0.91717661701465625</v>
      </c>
      <c r="BR65" s="959">
        <v>1.0130101810973962</v>
      </c>
      <c r="BS65" s="959">
        <v>0.93622680633513278</v>
      </c>
      <c r="BT65" s="959">
        <v>0.80198993492320736</v>
      </c>
      <c r="BU65" s="929">
        <v>0.79087659676720345</v>
      </c>
      <c r="BV65" s="929">
        <v>0.85146434566897977</v>
      </c>
      <c r="BW65" s="929">
        <v>0.83630945479000951</v>
      </c>
      <c r="BX65" s="923">
        <v>0.77479357917849134</v>
      </c>
      <c r="BY65" s="923">
        <v>0.74099999999999999</v>
      </c>
      <c r="BZ65" s="2022">
        <v>0.72799999999999998</v>
      </c>
      <c r="CA65" s="2022">
        <v>0.71599999999999997</v>
      </c>
      <c r="CB65" s="2022">
        <v>0.67400000000000004</v>
      </c>
      <c r="CC65" s="1153"/>
      <c r="CE65" s="1315"/>
      <c r="CG65" s="1315"/>
    </row>
    <row r="66" spans="1:94" ht="12.75" customHeight="1" x14ac:dyDescent="0.2">
      <c r="A66" s="1193"/>
      <c r="B66" s="1203" t="s">
        <v>77</v>
      </c>
      <c r="C66" s="1805">
        <v>4.9918150117550724</v>
      </c>
      <c r="D66" s="959"/>
      <c r="E66" s="929"/>
      <c r="F66" s="929">
        <v>0.16015773634508285</v>
      </c>
      <c r="G66" s="929">
        <v>9.6129465284510399E-2</v>
      </c>
      <c r="H66" s="959">
        <v>0.16348105235969151</v>
      </c>
      <c r="I66" s="959">
        <v>0.14695683825360639</v>
      </c>
      <c r="J66" s="959">
        <v>0.11023958622753212</v>
      </c>
      <c r="K66" s="959">
        <v>0.16429890195316296</v>
      </c>
      <c r="L66" s="959">
        <v>0.15482778557859089</v>
      </c>
      <c r="M66" s="959">
        <v>3.3477759421464415E-2</v>
      </c>
      <c r="N66" s="959">
        <v>8.5703450891164198E-2</v>
      </c>
      <c r="O66" s="959">
        <v>3.6207410350650643E-2</v>
      </c>
      <c r="P66" s="959">
        <v>-1.4656144306651634E-2</v>
      </c>
      <c r="Q66" s="959">
        <v>2.1256558590071303E-2</v>
      </c>
      <c r="R66" s="959">
        <v>1.2044922471414515E-2</v>
      </c>
      <c r="S66" s="959">
        <v>-0.12037145879863642</v>
      </c>
      <c r="T66" s="959">
        <v>-9.2129918800749527E-2</v>
      </c>
      <c r="U66" s="959">
        <v>-6.3773657044542159E-2</v>
      </c>
      <c r="V66" s="959">
        <v>-1.261482727390348E-2</v>
      </c>
      <c r="W66" s="959">
        <v>-3.866501405725687E-2</v>
      </c>
      <c r="X66" s="959">
        <v>-6.3183217179042697E-2</v>
      </c>
      <c r="Y66" s="959">
        <v>9.814457755160097E-2</v>
      </c>
      <c r="Z66" s="959">
        <v>6.196686858696996E-2</v>
      </c>
      <c r="AA66" s="959">
        <v>3.4201649175412296E-2</v>
      </c>
      <c r="AB66" s="959">
        <v>-9.0551607200836971E-3</v>
      </c>
      <c r="AC66" s="959" t="e">
        <v>#REF!</v>
      </c>
      <c r="AD66" s="959" t="e">
        <v>#REF!</v>
      </c>
      <c r="AE66" s="959" t="e">
        <v>#REF!</v>
      </c>
      <c r="AF66" s="959" t="e">
        <v>#REF!</v>
      </c>
      <c r="AG66" s="959" t="e">
        <v>#REF!</v>
      </c>
      <c r="AH66" s="959" t="e">
        <v>#REF!</v>
      </c>
      <c r="AI66" s="959" t="e">
        <v>#REF!</v>
      </c>
      <c r="AJ66" s="959" t="e">
        <v>#REF!</v>
      </c>
      <c r="AK66" s="959" t="e">
        <v>#REF!</v>
      </c>
      <c r="AL66" s="959" t="e">
        <v>#REF!</v>
      </c>
      <c r="AM66" s="959" t="e">
        <v>#REF!</v>
      </c>
      <c r="AN66" s="959" t="e">
        <v>#REF!</v>
      </c>
      <c r="AO66" s="959" t="e">
        <v>#REF!</v>
      </c>
      <c r="AP66" s="959" t="e">
        <v>#REF!</v>
      </c>
      <c r="AQ66" s="959">
        <v>0.14829969085288233</v>
      </c>
      <c r="AR66" s="959">
        <v>0.18723058782595248</v>
      </c>
      <c r="AS66" s="959">
        <v>0.12270167920673676</v>
      </c>
      <c r="AT66" s="959">
        <v>0.12484757994276471</v>
      </c>
      <c r="AU66" s="959">
        <v>0.22246678298215006</v>
      </c>
      <c r="AV66" s="959">
        <v>-3.4504354049862816E-2</v>
      </c>
      <c r="AW66" s="959">
        <v>0.18093695830672385</v>
      </c>
      <c r="AX66" s="959">
        <v>0.22764593020240956</v>
      </c>
      <c r="AY66" s="1036">
        <v>0.19756531957475718</v>
      </c>
      <c r="AZ66" s="1036">
        <v>0.21299999999999997</v>
      </c>
      <c r="BA66" s="1036">
        <v>0.23299999999999998</v>
      </c>
      <c r="BB66" s="1036">
        <v>0.249</v>
      </c>
      <c r="BC66" s="1036">
        <v>0.27100000000000002</v>
      </c>
      <c r="BD66" s="1036">
        <v>0.27100000000000002</v>
      </c>
      <c r="BE66" s="1036">
        <v>0.25700000000000001</v>
      </c>
      <c r="BF66" s="1036">
        <v>0.23599999999999999</v>
      </c>
      <c r="BG66" s="1208"/>
      <c r="BH66" s="959">
        <v>0.12979992844226548</v>
      </c>
      <c r="BI66" s="959">
        <v>0.1195509290510534</v>
      </c>
      <c r="BJ66" s="1805">
        <v>1.0248999391212086</v>
      </c>
      <c r="BK66" s="959"/>
      <c r="BL66" s="1208"/>
      <c r="BM66" s="959">
        <v>0.12979992844226548</v>
      </c>
      <c r="BN66" s="959">
        <v>0.1195509290510534</v>
      </c>
      <c r="BO66" s="959">
        <v>1.4845946844858343E-2</v>
      </c>
      <c r="BP66" s="959">
        <v>-6.9218542067129976E-2</v>
      </c>
      <c r="BQ66" s="959">
        <v>-5.6662331756276975E-2</v>
      </c>
      <c r="BR66" s="959">
        <v>-0.16322191188395352</v>
      </c>
      <c r="BS66" s="959">
        <v>-0.19002538343284114</v>
      </c>
      <c r="BT66" s="959">
        <v>1.8700170092773315E-2</v>
      </c>
      <c r="BU66" s="929">
        <v>0.20912340323279655</v>
      </c>
      <c r="BV66" s="929" t="e">
        <v>#REF!</v>
      </c>
      <c r="BW66" s="929" t="e">
        <v>#REF!</v>
      </c>
      <c r="BX66" s="923">
        <v>0.22520642082150871</v>
      </c>
      <c r="BY66" s="923">
        <v>0.25900000000000001</v>
      </c>
      <c r="BZ66" s="2022">
        <v>0.27200000000000002</v>
      </c>
      <c r="CA66" s="2022">
        <v>0.28400000000000003</v>
      </c>
      <c r="CB66" s="2022">
        <v>0.32599999999999996</v>
      </c>
      <c r="CC66" s="1153"/>
      <c r="CE66" s="1315"/>
    </row>
    <row r="67" spans="1:94" ht="12.75" customHeight="1" x14ac:dyDescent="0.2">
      <c r="A67" s="1193"/>
      <c r="B67" s="1203"/>
      <c r="C67" s="1805"/>
      <c r="D67" s="959"/>
      <c r="E67" s="929"/>
      <c r="F67" s="929"/>
      <c r="G67" s="929"/>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K67" s="959"/>
      <c r="AL67" s="959"/>
      <c r="AM67" s="959"/>
      <c r="AN67" s="959"/>
      <c r="AO67" s="959"/>
      <c r="AP67" s="959"/>
      <c r="AQ67" s="959"/>
      <c r="AR67" s="959"/>
      <c r="AS67" s="959"/>
      <c r="AT67" s="959"/>
      <c r="AU67" s="959"/>
      <c r="AV67" s="959"/>
      <c r="AW67" s="959"/>
      <c r="AX67" s="959"/>
      <c r="AY67" s="1036"/>
      <c r="AZ67" s="1036"/>
      <c r="BA67" s="1036"/>
      <c r="BB67" s="1036"/>
      <c r="BC67" s="1036"/>
      <c r="BD67" s="1036"/>
      <c r="BE67" s="1036"/>
      <c r="BF67" s="1036"/>
      <c r="BG67" s="1208"/>
      <c r="BH67" s="1208"/>
      <c r="BI67" s="1208"/>
      <c r="BJ67" s="1805"/>
      <c r="BK67" s="959"/>
      <c r="BL67" s="1208"/>
      <c r="BM67" s="1036"/>
      <c r="BN67" s="1036"/>
      <c r="BO67" s="1036"/>
      <c r="BP67" s="1036"/>
      <c r="BQ67" s="1036"/>
      <c r="BR67" s="1036"/>
      <c r="BS67" s="1036"/>
      <c r="BT67" s="1036"/>
      <c r="BU67" s="923"/>
      <c r="BV67" s="923"/>
      <c r="BW67" s="923"/>
      <c r="BX67" s="923"/>
      <c r="BY67" s="923"/>
      <c r="BZ67" s="2022"/>
      <c r="CA67" s="2022"/>
      <c r="CB67" s="2022"/>
      <c r="CC67" s="1153"/>
      <c r="CE67" s="1315"/>
    </row>
    <row r="68" spans="1:94" ht="12.75" customHeight="1" x14ac:dyDescent="0.2">
      <c r="A68" s="1349" t="s">
        <v>194</v>
      </c>
      <c r="B68" s="1203"/>
      <c r="C68" s="1208"/>
      <c r="D68" s="1208"/>
      <c r="E68" s="1153"/>
      <c r="F68" s="1153"/>
      <c r="G68" s="1153"/>
      <c r="H68" s="1208"/>
      <c r="I68" s="1208"/>
      <c r="J68" s="1208"/>
      <c r="K68" s="1208"/>
      <c r="L68" s="946"/>
      <c r="M68" s="1208"/>
      <c r="N68" s="1208"/>
      <c r="O68" s="1208"/>
      <c r="P68" s="1208"/>
      <c r="Q68" s="1208"/>
      <c r="R68" s="1208"/>
      <c r="S68" s="1208"/>
      <c r="T68" s="1208"/>
      <c r="U68" s="1208"/>
      <c r="V68" s="1208"/>
      <c r="W68" s="1208"/>
      <c r="X68" s="1208"/>
      <c r="Y68" s="1208"/>
      <c r="Z68" s="1208"/>
      <c r="AA68" s="1208"/>
      <c r="AB68" s="1208"/>
      <c r="AC68" s="1208"/>
      <c r="AD68" s="1208"/>
      <c r="AE68" s="1208"/>
      <c r="AF68" s="1208"/>
      <c r="AG68" s="1208"/>
      <c r="AH68" s="1208"/>
      <c r="AI68" s="1208"/>
      <c r="AJ68" s="1208"/>
      <c r="AK68" s="1208"/>
      <c r="AL68" s="1208"/>
      <c r="AM68" s="1208"/>
      <c r="AN68" s="1208"/>
      <c r="AO68" s="1208"/>
      <c r="AP68" s="1208"/>
      <c r="AQ68" s="1208"/>
      <c r="AR68" s="1208"/>
      <c r="AS68" s="1208"/>
      <c r="AT68" s="1208"/>
      <c r="AU68" s="1208"/>
      <c r="AV68" s="1208"/>
      <c r="AW68" s="1208"/>
      <c r="AX68" s="1208"/>
      <c r="AY68" s="1208"/>
      <c r="AZ68" s="1208"/>
      <c r="BA68" s="1208"/>
      <c r="BB68" s="946"/>
      <c r="BC68" s="1208"/>
      <c r="BD68" s="946"/>
      <c r="BE68" s="946"/>
      <c r="BF68" s="1208"/>
      <c r="BG68" s="1208"/>
      <c r="BH68" s="1208"/>
      <c r="BI68" s="1208"/>
      <c r="BJ68" s="1208"/>
      <c r="BK68" s="1208"/>
      <c r="BL68" s="1208"/>
      <c r="BM68" s="1208"/>
      <c r="BN68" s="1208"/>
      <c r="BO68" s="1208"/>
      <c r="BP68" s="1208"/>
      <c r="BQ68" s="1208"/>
      <c r="BR68" s="1208"/>
      <c r="BS68" s="1208"/>
      <c r="BT68" s="1208"/>
      <c r="BU68" s="1153"/>
      <c r="BV68" s="1153"/>
      <c r="BW68" s="1153"/>
      <c r="BX68" s="1153"/>
      <c r="BY68" s="1153"/>
      <c r="BZ68" s="914"/>
      <c r="CA68" s="2022"/>
      <c r="CB68" s="2022"/>
      <c r="CC68" s="1153"/>
      <c r="CE68" s="1315"/>
    </row>
    <row r="69" spans="1:94" ht="12.75" customHeight="1" x14ac:dyDescent="0.2">
      <c r="C69" s="3073" t="s">
        <v>671</v>
      </c>
      <c r="D69" s="3074"/>
      <c r="E69" s="901"/>
      <c r="F69" s="2958"/>
      <c r="G69" s="902"/>
      <c r="H69" s="982"/>
      <c r="I69" s="982"/>
      <c r="J69" s="1218"/>
      <c r="K69" s="982"/>
      <c r="L69" s="982"/>
      <c r="M69" s="982"/>
      <c r="N69" s="1218"/>
      <c r="O69" s="982"/>
      <c r="P69" s="982"/>
      <c r="Q69" s="982"/>
      <c r="R69" s="1218"/>
      <c r="S69" s="982"/>
      <c r="T69" s="982"/>
      <c r="U69" s="982"/>
      <c r="V69" s="1218"/>
      <c r="W69" s="982"/>
      <c r="X69" s="982"/>
      <c r="Y69" s="982"/>
      <c r="Z69" s="1218"/>
      <c r="AA69" s="982"/>
      <c r="AB69" s="982"/>
      <c r="AC69" s="982"/>
      <c r="AD69" s="1218"/>
      <c r="AE69" s="982"/>
      <c r="AF69" s="982"/>
      <c r="AG69" s="982"/>
      <c r="AH69" s="1218"/>
      <c r="AI69" s="1219"/>
      <c r="AJ69" s="1220"/>
      <c r="AK69" s="982"/>
      <c r="AL69" s="1218"/>
      <c r="AM69" s="1219"/>
      <c r="AN69" s="1220"/>
      <c r="AO69" s="982"/>
      <c r="AP69" s="1218"/>
      <c r="AR69" s="1220"/>
      <c r="AS69" s="941"/>
      <c r="AT69" s="1218"/>
      <c r="AU69" s="1220"/>
      <c r="AW69" s="982"/>
      <c r="AX69" s="1218"/>
      <c r="AY69" s="1220"/>
      <c r="AZ69" s="1220"/>
      <c r="BA69" s="1220"/>
      <c r="BB69" s="1220"/>
      <c r="BC69" s="1221"/>
      <c r="BD69" s="1218"/>
      <c r="BE69" s="1218"/>
      <c r="BF69" s="1218"/>
      <c r="BG69" s="1222"/>
      <c r="BH69" s="987" t="s">
        <v>660</v>
      </c>
      <c r="BI69" s="988"/>
      <c r="BJ69" s="988" t="s">
        <v>563</v>
      </c>
      <c r="BK69" s="989"/>
      <c r="BL69" s="1208"/>
      <c r="BM69" s="991"/>
      <c r="BN69" s="991"/>
      <c r="BO69" s="991"/>
      <c r="BP69" s="991"/>
      <c r="BQ69" s="991"/>
      <c r="BR69" s="991"/>
      <c r="BS69" s="991"/>
      <c r="BT69" s="991"/>
      <c r="BU69" s="1992"/>
      <c r="BV69" s="1992"/>
      <c r="BW69" s="1992"/>
      <c r="BX69" s="2052"/>
      <c r="BY69" s="2053"/>
      <c r="BZ69" s="1992"/>
      <c r="CA69" s="2022"/>
      <c r="CB69" s="2022"/>
      <c r="CC69" s="1999"/>
      <c r="CE69" s="1315"/>
    </row>
    <row r="70" spans="1:94" ht="12.75" customHeight="1" x14ac:dyDescent="0.2">
      <c r="C70" s="3075" t="s">
        <v>38</v>
      </c>
      <c r="D70" s="3077"/>
      <c r="E70" s="1801"/>
      <c r="F70" s="1993" t="s">
        <v>670</v>
      </c>
      <c r="G70" s="907" t="s">
        <v>558</v>
      </c>
      <c r="H70" s="992" t="s">
        <v>559</v>
      </c>
      <c r="I70" s="992" t="s">
        <v>560</v>
      </c>
      <c r="J70" s="993" t="s">
        <v>561</v>
      </c>
      <c r="K70" s="992" t="s">
        <v>508</v>
      </c>
      <c r="L70" s="992" t="s">
        <v>507</v>
      </c>
      <c r="M70" s="992" t="s">
        <v>506</v>
      </c>
      <c r="N70" s="993" t="s">
        <v>505</v>
      </c>
      <c r="O70" s="992" t="s">
        <v>382</v>
      </c>
      <c r="P70" s="992" t="s">
        <v>383</v>
      </c>
      <c r="Q70" s="992" t="s">
        <v>384</v>
      </c>
      <c r="R70" s="993" t="s">
        <v>385</v>
      </c>
      <c r="S70" s="992" t="s">
        <v>368</v>
      </c>
      <c r="T70" s="992" t="s">
        <v>367</v>
      </c>
      <c r="U70" s="992" t="s">
        <v>366</v>
      </c>
      <c r="V70" s="993" t="s">
        <v>364</v>
      </c>
      <c r="W70" s="992" t="s">
        <v>348</v>
      </c>
      <c r="X70" s="992" t="s">
        <v>349</v>
      </c>
      <c r="Y70" s="992" t="s">
        <v>350</v>
      </c>
      <c r="Z70" s="993" t="s">
        <v>351</v>
      </c>
      <c r="AA70" s="992" t="s">
        <v>315</v>
      </c>
      <c r="AB70" s="992" t="s">
        <v>314</v>
      </c>
      <c r="AC70" s="992" t="s">
        <v>313</v>
      </c>
      <c r="AD70" s="993" t="s">
        <v>311</v>
      </c>
      <c r="AE70" s="992" t="s">
        <v>270</v>
      </c>
      <c r="AF70" s="992" t="s">
        <v>271</v>
      </c>
      <c r="AG70" s="992" t="s">
        <v>272</v>
      </c>
      <c r="AH70" s="993" t="s">
        <v>273</v>
      </c>
      <c r="AI70" s="994" t="s">
        <v>223</v>
      </c>
      <c r="AJ70" s="992" t="s">
        <v>224</v>
      </c>
      <c r="AK70" s="992" t="s">
        <v>225</v>
      </c>
      <c r="AL70" s="993" t="s">
        <v>222</v>
      </c>
      <c r="AM70" s="994" t="s">
        <v>189</v>
      </c>
      <c r="AN70" s="992" t="s">
        <v>190</v>
      </c>
      <c r="AO70" s="992" t="s">
        <v>191</v>
      </c>
      <c r="AP70" s="993" t="s">
        <v>192</v>
      </c>
      <c r="AQ70" s="992" t="s">
        <v>121</v>
      </c>
      <c r="AR70" s="992" t="s">
        <v>120</v>
      </c>
      <c r="AS70" s="992" t="s">
        <v>119</v>
      </c>
      <c r="AT70" s="993" t="s">
        <v>118</v>
      </c>
      <c r="AU70" s="992" t="s">
        <v>81</v>
      </c>
      <c r="AV70" s="992" t="s">
        <v>82</v>
      </c>
      <c r="AW70" s="992" t="s">
        <v>83</v>
      </c>
      <c r="AX70" s="993" t="s">
        <v>29</v>
      </c>
      <c r="AY70" s="992" t="s">
        <v>30</v>
      </c>
      <c r="AZ70" s="992" t="s">
        <v>31</v>
      </c>
      <c r="BA70" s="992" t="s">
        <v>32</v>
      </c>
      <c r="BB70" s="992" t="s">
        <v>33</v>
      </c>
      <c r="BC70" s="995" t="s">
        <v>34</v>
      </c>
      <c r="BD70" s="993" t="s">
        <v>35</v>
      </c>
      <c r="BE70" s="993" t="s">
        <v>36</v>
      </c>
      <c r="BF70" s="993" t="s">
        <v>37</v>
      </c>
      <c r="BG70" s="996"/>
      <c r="BH70" s="992" t="s">
        <v>558</v>
      </c>
      <c r="BI70" s="992" t="s">
        <v>508</v>
      </c>
      <c r="BJ70" s="3194" t="s">
        <v>38</v>
      </c>
      <c r="BK70" s="3076"/>
      <c r="BL70" s="1208"/>
      <c r="BM70" s="994" t="s">
        <v>562</v>
      </c>
      <c r="BN70" s="994" t="s">
        <v>509</v>
      </c>
      <c r="BO70" s="994" t="s">
        <v>502</v>
      </c>
      <c r="BP70" s="994" t="s">
        <v>379</v>
      </c>
      <c r="BQ70" s="994" t="s">
        <v>360</v>
      </c>
      <c r="BR70" s="994" t="s">
        <v>317</v>
      </c>
      <c r="BS70" s="994" t="s">
        <v>275</v>
      </c>
      <c r="BT70" s="994" t="s">
        <v>227</v>
      </c>
      <c r="BU70" s="1948" t="s">
        <v>123</v>
      </c>
      <c r="BV70" s="1948" t="s">
        <v>122</v>
      </c>
      <c r="BW70" s="1948" t="s">
        <v>42</v>
      </c>
      <c r="BX70" s="1948" t="s">
        <v>39</v>
      </c>
      <c r="BY70" s="1993" t="s">
        <v>40</v>
      </c>
      <c r="BZ70" s="1993" t="s">
        <v>142</v>
      </c>
      <c r="CA70" s="2022"/>
      <c r="CB70" s="2022"/>
      <c r="CC70" s="1999"/>
      <c r="CE70" s="1315"/>
    </row>
    <row r="71" spans="1:94" ht="12.75" customHeight="1" x14ac:dyDescent="0.2">
      <c r="A71" s="1193"/>
      <c r="B71" s="946" t="s">
        <v>607</v>
      </c>
      <c r="C71" s="1353">
        <v>4595</v>
      </c>
      <c r="D71" s="1210">
        <v>0.1447882530879758</v>
      </c>
      <c r="E71" s="1147"/>
      <c r="F71" s="2223">
        <v>36331</v>
      </c>
      <c r="G71" s="1155">
        <v>34641</v>
      </c>
      <c r="H71" s="1269">
        <v>33870</v>
      </c>
      <c r="I71" s="1269">
        <v>31729</v>
      </c>
      <c r="J71" s="1245">
        <v>31736</v>
      </c>
      <c r="K71" s="1262">
        <v>30431</v>
      </c>
      <c r="L71" s="1262">
        <v>29164</v>
      </c>
      <c r="M71" s="1269">
        <v>23321</v>
      </c>
      <c r="N71" s="1245">
        <v>26223</v>
      </c>
      <c r="O71" s="1262">
        <v>27567</v>
      </c>
      <c r="P71" s="1262">
        <v>23288</v>
      </c>
      <c r="Q71" s="1269">
        <v>21523</v>
      </c>
      <c r="R71" s="1245">
        <v>22460</v>
      </c>
      <c r="S71" s="1262">
        <v>21157</v>
      </c>
      <c r="T71" s="1262">
        <v>21274</v>
      </c>
      <c r="U71" s="1269">
        <v>20633</v>
      </c>
      <c r="V71" s="1245">
        <v>23201</v>
      </c>
      <c r="W71" s="1262">
        <v>23865</v>
      </c>
      <c r="X71" s="1262">
        <v>22098</v>
      </c>
      <c r="Y71" s="1269">
        <v>23441</v>
      </c>
      <c r="Z71" s="1245">
        <v>24224</v>
      </c>
      <c r="AA71" s="1262">
        <v>23606</v>
      </c>
      <c r="AB71" s="1262">
        <v>21276</v>
      </c>
      <c r="AC71" s="1269">
        <v>19001</v>
      </c>
      <c r="AD71" s="1245">
        <v>21312</v>
      </c>
      <c r="AE71" s="1269">
        <v>22467</v>
      </c>
      <c r="AF71" s="1269">
        <v>24460</v>
      </c>
      <c r="AG71" s="1269">
        <v>26063</v>
      </c>
      <c r="AH71" s="1245">
        <v>27328</v>
      </c>
      <c r="AI71" s="1269">
        <v>36033</v>
      </c>
      <c r="AJ71" s="1269">
        <v>31389</v>
      </c>
      <c r="AK71" s="1269">
        <v>34266</v>
      </c>
      <c r="AL71" s="1272">
        <v>38087</v>
      </c>
      <c r="AM71" s="1262">
        <v>46851</v>
      </c>
      <c r="AN71" s="1262">
        <v>45775</v>
      </c>
      <c r="AO71" s="1262">
        <v>32880</v>
      </c>
      <c r="AP71" s="1272">
        <v>34953</v>
      </c>
      <c r="AQ71" s="1262">
        <v>38197</v>
      </c>
      <c r="AR71" s="1262">
        <v>34040</v>
      </c>
      <c r="AS71" s="1262">
        <v>30370</v>
      </c>
      <c r="AT71" s="1272">
        <v>29756</v>
      </c>
      <c r="AU71" s="1462">
        <v>24593</v>
      </c>
      <c r="AV71" s="1295">
        <v>27916</v>
      </c>
      <c r="AW71" s="1294">
        <v>32886</v>
      </c>
      <c r="AX71" s="1272">
        <v>42504</v>
      </c>
      <c r="AY71" s="1454">
        <v>29584</v>
      </c>
      <c r="AZ71" s="1208"/>
      <c r="BA71" s="1208"/>
      <c r="BB71" s="946"/>
      <c r="BC71" s="1208"/>
      <c r="BD71" s="946"/>
      <c r="BE71" s="946"/>
      <c r="BF71" s="1208"/>
      <c r="BG71" s="1229"/>
      <c r="BH71" s="1246">
        <v>131976</v>
      </c>
      <c r="BI71" s="1246">
        <v>109139</v>
      </c>
      <c r="BJ71" s="1269">
        <v>22837</v>
      </c>
      <c r="BK71" s="1299">
        <v>0.20924692364782524</v>
      </c>
      <c r="BL71" s="1208"/>
      <c r="BM71" s="1751">
        <v>131976</v>
      </c>
      <c r="BN71" s="1751">
        <v>109139</v>
      </c>
      <c r="BO71" s="1751">
        <v>94838</v>
      </c>
      <c r="BP71" s="1751">
        <v>86265</v>
      </c>
      <c r="BQ71" s="1751">
        <v>93628</v>
      </c>
      <c r="BR71" s="1751">
        <v>85195</v>
      </c>
      <c r="BS71" s="1273">
        <v>100318</v>
      </c>
      <c r="BT71" s="1273">
        <v>139775</v>
      </c>
      <c r="BU71" s="2016">
        <v>160459</v>
      </c>
      <c r="BV71" s="2016">
        <v>132363</v>
      </c>
      <c r="BW71" s="2016">
        <v>127899</v>
      </c>
      <c r="BX71" s="2034">
        <v>170684</v>
      </c>
      <c r="BY71" s="2054">
        <v>177862</v>
      </c>
      <c r="BZ71" s="2024">
        <v>150224</v>
      </c>
      <c r="CA71" s="2022"/>
      <c r="CB71" s="2022"/>
      <c r="CC71" s="1999"/>
      <c r="CE71" s="1920">
        <v>5876</v>
      </c>
      <c r="CF71" s="1180">
        <v>0.25231879079354175</v>
      </c>
      <c r="CG71" s="1180">
        <v>-1281</v>
      </c>
      <c r="CH71" s="1180">
        <v>-0.10753053770556595</v>
      </c>
      <c r="CJ71" s="1920">
        <v>78708</v>
      </c>
      <c r="CK71" s="1315">
        <v>53268</v>
      </c>
      <c r="CL71" s="1920"/>
      <c r="CM71" s="1315">
        <v>22837</v>
      </c>
      <c r="CN71" s="1315">
        <v>0.20924692364782524</v>
      </c>
      <c r="CO71" s="1315">
        <v>0</v>
      </c>
      <c r="CP71" s="1180">
        <v>0</v>
      </c>
    </row>
    <row r="72" spans="1:94" ht="12.75" customHeight="1" x14ac:dyDescent="0.2">
      <c r="A72" s="1193"/>
      <c r="B72" s="946" t="s">
        <v>608</v>
      </c>
      <c r="C72" s="1209">
        <v>4788</v>
      </c>
      <c r="D72" s="1035">
        <v>0.4547440402697312</v>
      </c>
      <c r="E72" s="1147"/>
      <c r="F72" s="2223">
        <v>15317</v>
      </c>
      <c r="G72" s="1155">
        <v>13018</v>
      </c>
      <c r="H72" s="1269">
        <v>14579</v>
      </c>
      <c r="I72" s="1269">
        <v>12400</v>
      </c>
      <c r="J72" s="1245">
        <v>10529</v>
      </c>
      <c r="K72" s="1262">
        <v>16705</v>
      </c>
      <c r="L72" s="1262">
        <v>16431</v>
      </c>
      <c r="M72" s="1269">
        <v>5964</v>
      </c>
      <c r="N72" s="1245">
        <v>8275</v>
      </c>
      <c r="O72" s="1262">
        <v>9802</v>
      </c>
      <c r="P72" s="1262">
        <v>7189</v>
      </c>
      <c r="Q72" s="1269">
        <v>5672</v>
      </c>
      <c r="R72" s="1245">
        <v>4546</v>
      </c>
      <c r="S72" s="1262">
        <v>1846</v>
      </c>
      <c r="T72" s="1262">
        <v>2130</v>
      </c>
      <c r="U72" s="1269">
        <v>2673</v>
      </c>
      <c r="V72" s="1245">
        <v>4984</v>
      </c>
      <c r="W72" s="1262">
        <v>6020</v>
      </c>
      <c r="X72" s="1262">
        <v>3461</v>
      </c>
      <c r="Y72" s="1269">
        <v>5562</v>
      </c>
      <c r="Z72" s="1245">
        <v>5812</v>
      </c>
      <c r="AA72" s="1262">
        <v>5669</v>
      </c>
      <c r="AB72" s="1262">
        <v>3868</v>
      </c>
      <c r="AC72" s="1269">
        <v>3124</v>
      </c>
      <c r="AD72" s="1245">
        <v>3031</v>
      </c>
      <c r="AE72" s="1269">
        <v>5593</v>
      </c>
      <c r="AF72" s="1269">
        <v>6233</v>
      </c>
      <c r="AG72" s="1269">
        <v>6520</v>
      </c>
      <c r="AH72" s="1245">
        <v>5567</v>
      </c>
      <c r="AI72" s="1269">
        <v>10998</v>
      </c>
      <c r="AJ72" s="1269">
        <v>8459</v>
      </c>
      <c r="AK72" s="1269">
        <v>8442</v>
      </c>
      <c r="AL72" s="1272">
        <v>11661</v>
      </c>
      <c r="AM72" s="1262">
        <v>19176</v>
      </c>
      <c r="AN72" s="1262">
        <v>18914</v>
      </c>
      <c r="AO72" s="1262">
        <v>8124</v>
      </c>
      <c r="AP72" s="1272">
        <v>9445</v>
      </c>
      <c r="AQ72" s="1262">
        <v>10808</v>
      </c>
      <c r="AR72" s="1262">
        <v>10384</v>
      </c>
      <c r="AS72" s="1262">
        <v>6254</v>
      </c>
      <c r="AT72" s="1272">
        <v>5954</v>
      </c>
      <c r="AU72" s="1462">
        <v>5426</v>
      </c>
      <c r="AV72" s="1262">
        <v>1798</v>
      </c>
      <c r="AW72" s="1272">
        <v>5110</v>
      </c>
      <c r="AX72" s="1272">
        <v>8533</v>
      </c>
      <c r="AY72" s="1454">
        <v>68274</v>
      </c>
      <c r="AZ72" s="1208"/>
      <c r="BA72" s="1208"/>
      <c r="BB72" s="946"/>
      <c r="BC72" s="1208"/>
      <c r="BD72" s="946"/>
      <c r="BE72" s="946"/>
      <c r="BF72" s="1208"/>
      <c r="BG72" s="1229"/>
      <c r="BH72" s="1246">
        <v>50526</v>
      </c>
      <c r="BI72" s="1246">
        <v>47375</v>
      </c>
      <c r="BJ72" s="1246">
        <v>3151</v>
      </c>
      <c r="BK72" s="1299">
        <v>6.6511873350923484E-2</v>
      </c>
      <c r="BL72" s="1208"/>
      <c r="BM72" s="1751">
        <v>50526</v>
      </c>
      <c r="BN72" s="1751">
        <v>47375</v>
      </c>
      <c r="BO72" s="1751">
        <v>27209</v>
      </c>
      <c r="BP72" s="1751">
        <v>11633</v>
      </c>
      <c r="BQ72" s="1751">
        <v>20855</v>
      </c>
      <c r="BR72" s="1751">
        <v>15692</v>
      </c>
      <c r="BS72" s="1273">
        <v>23913</v>
      </c>
      <c r="BT72" s="1273">
        <v>39560</v>
      </c>
      <c r="BU72" s="2016">
        <v>55659</v>
      </c>
      <c r="BV72" s="2016">
        <v>33400</v>
      </c>
      <c r="BW72" s="2016">
        <v>20867</v>
      </c>
      <c r="BX72" s="2013">
        <v>49804</v>
      </c>
      <c r="BY72" s="2002">
        <v>62132</v>
      </c>
      <c r="BZ72" s="2003">
        <v>49772</v>
      </c>
      <c r="CA72" s="2022"/>
      <c r="CB72" s="2022"/>
      <c r="CC72" s="1999"/>
      <c r="CE72" s="1920">
        <v>9242</v>
      </c>
      <c r="CF72" s="1180">
        <v>1.2855751843093615</v>
      </c>
      <c r="CG72" s="1180">
        <v>-4454</v>
      </c>
      <c r="CH72" s="1180">
        <v>-0.83083114403963032</v>
      </c>
      <c r="CJ72" s="1920">
        <v>30670</v>
      </c>
      <c r="CK72" s="1315">
        <v>19856</v>
      </c>
      <c r="CL72" s="1920"/>
      <c r="CM72" s="1315">
        <v>3151</v>
      </c>
      <c r="CN72" s="1315">
        <v>6.6511873350923484E-2</v>
      </c>
      <c r="CO72" s="1315">
        <v>0</v>
      </c>
      <c r="CP72" s="1180">
        <v>0</v>
      </c>
    </row>
    <row r="73" spans="1:94" ht="12.75" customHeight="1" x14ac:dyDescent="0.2">
      <c r="A73" s="1193"/>
      <c r="B73" s="946" t="s">
        <v>609</v>
      </c>
      <c r="C73" s="1209">
        <v>69</v>
      </c>
      <c r="D73" s="1035">
        <v>0.25274725274725274</v>
      </c>
      <c r="E73" s="1147"/>
      <c r="F73" s="2223">
        <v>342</v>
      </c>
      <c r="G73" s="1155">
        <v>82</v>
      </c>
      <c r="H73" s="1269">
        <v>649</v>
      </c>
      <c r="I73" s="1269">
        <v>480</v>
      </c>
      <c r="J73" s="1245">
        <v>273</v>
      </c>
      <c r="K73" s="1269">
        <v>0</v>
      </c>
      <c r="L73" s="1269">
        <v>-140</v>
      </c>
      <c r="M73" s="1269">
        <v>140</v>
      </c>
      <c r="N73" s="1245">
        <v>0</v>
      </c>
      <c r="O73" s="1077">
        <v>0</v>
      </c>
      <c r="P73" s="1077">
        <v>0</v>
      </c>
      <c r="Q73" s="1269">
        <v>231</v>
      </c>
      <c r="R73" s="1245">
        <v>235</v>
      </c>
      <c r="S73" s="1077">
        <v>0</v>
      </c>
      <c r="T73" s="1262">
        <v>8</v>
      </c>
      <c r="U73" s="1269">
        <v>0</v>
      </c>
      <c r="V73" s="1245">
        <v>0</v>
      </c>
      <c r="W73" s="1262">
        <v>3</v>
      </c>
      <c r="X73" s="1262">
        <v>30</v>
      </c>
      <c r="Y73" s="1269">
        <v>54</v>
      </c>
      <c r="Z73" s="1245">
        <v>0</v>
      </c>
      <c r="AA73" s="1262">
        <v>0</v>
      </c>
      <c r="AB73" s="1262">
        <v>211</v>
      </c>
      <c r="AC73" s="1269">
        <v>18</v>
      </c>
      <c r="AD73" s="1245">
        <v>0</v>
      </c>
      <c r="AE73" s="1269">
        <v>11</v>
      </c>
      <c r="AF73" s="1269">
        <v>7</v>
      </c>
      <c r="AG73" s="1269">
        <v>12</v>
      </c>
      <c r="AH73" s="1245">
        <v>438</v>
      </c>
      <c r="AI73" s="1246">
        <v>36</v>
      </c>
      <c r="AJ73" s="1246">
        <v>0</v>
      </c>
      <c r="AK73" s="1269">
        <v>3</v>
      </c>
      <c r="AL73" s="1233">
        <v>0</v>
      </c>
      <c r="AM73" s="1236">
        <v>0</v>
      </c>
      <c r="AN73" s="1236">
        <v>50</v>
      </c>
      <c r="AO73" s="1262">
        <v>250</v>
      </c>
      <c r="AP73" s="1233">
        <v>70</v>
      </c>
      <c r="AQ73" s="1236">
        <v>0</v>
      </c>
      <c r="AR73" s="1236">
        <v>0</v>
      </c>
      <c r="AS73" s="1236">
        <v>0</v>
      </c>
      <c r="AT73" s="1233">
        <v>0</v>
      </c>
      <c r="AU73" s="1236">
        <v>0</v>
      </c>
      <c r="AV73" s="1236">
        <v>0</v>
      </c>
      <c r="AW73" s="1233">
        <v>0</v>
      </c>
      <c r="AX73" s="1233">
        <v>0</v>
      </c>
      <c r="AY73" s="1236">
        <v>0</v>
      </c>
      <c r="AZ73" s="1236"/>
      <c r="BA73" s="1236"/>
      <c r="BB73" s="1236"/>
      <c r="BC73" s="1236"/>
      <c r="BD73" s="1236"/>
      <c r="BE73" s="1236"/>
      <c r="BF73" s="1236"/>
      <c r="BG73" s="1234"/>
      <c r="BH73" s="1246">
        <v>1484</v>
      </c>
      <c r="BI73" s="1246">
        <v>0</v>
      </c>
      <c r="BJ73" s="1246">
        <v>1484</v>
      </c>
      <c r="BK73" s="1300" t="s">
        <v>41</v>
      </c>
      <c r="BL73" s="1236"/>
      <c r="BM73" s="1751">
        <v>1484</v>
      </c>
      <c r="BN73" s="1751">
        <v>0</v>
      </c>
      <c r="BO73" s="1751">
        <v>466</v>
      </c>
      <c r="BP73" s="1751">
        <v>8</v>
      </c>
      <c r="BQ73" s="1751">
        <v>87</v>
      </c>
      <c r="BR73" s="1751">
        <v>229</v>
      </c>
      <c r="BS73" s="1273">
        <v>468</v>
      </c>
      <c r="BT73" s="1234">
        <v>39</v>
      </c>
      <c r="BU73" s="2001">
        <v>370</v>
      </c>
      <c r="BV73" s="2001">
        <v>0</v>
      </c>
      <c r="BW73" s="1157">
        <v>0</v>
      </c>
      <c r="BX73" s="2001">
        <v>0</v>
      </c>
      <c r="BY73" s="2001">
        <v>0</v>
      </c>
      <c r="BZ73" s="2001">
        <v>0</v>
      </c>
      <c r="CA73" s="2022"/>
      <c r="CB73" s="2022"/>
      <c r="CC73" s="1999"/>
      <c r="CE73" s="1920">
        <v>-140</v>
      </c>
      <c r="CF73" s="1180" t="e">
        <v>#DIV/0!</v>
      </c>
      <c r="CG73" s="1180">
        <v>209</v>
      </c>
      <c r="CH73" s="1180" t="e">
        <v>#DIV/0!</v>
      </c>
      <c r="CJ73" s="1920">
        <v>0</v>
      </c>
      <c r="CK73" s="1315">
        <v>1484</v>
      </c>
      <c r="CL73" s="1920"/>
      <c r="CM73" s="1315">
        <v>1484</v>
      </c>
      <c r="CN73" s="1315" t="e">
        <v>#DIV/0!</v>
      </c>
      <c r="CO73" s="1315">
        <v>0</v>
      </c>
      <c r="CP73" s="1180" t="e">
        <v>#VALUE!</v>
      </c>
    </row>
    <row r="74" spans="1:94" ht="12.75" customHeight="1" x14ac:dyDescent="0.2">
      <c r="A74" s="1193"/>
      <c r="B74" s="946" t="s">
        <v>610</v>
      </c>
      <c r="C74" s="1209">
        <v>-17</v>
      </c>
      <c r="D74" s="1035">
        <v>-1.2142857142857142</v>
      </c>
      <c r="E74" s="1147"/>
      <c r="F74" s="2015">
        <v>-3</v>
      </c>
      <c r="G74" s="1155">
        <v>61</v>
      </c>
      <c r="H74" s="1269">
        <v>53</v>
      </c>
      <c r="I74" s="1269">
        <v>-28</v>
      </c>
      <c r="J74" s="1245">
        <v>14</v>
      </c>
      <c r="K74" s="1269">
        <v>24</v>
      </c>
      <c r="L74" s="1269">
        <v>23</v>
      </c>
      <c r="M74" s="1269">
        <v>102</v>
      </c>
      <c r="N74" s="1245">
        <v>52</v>
      </c>
      <c r="O74" s="1269">
        <v>114</v>
      </c>
      <c r="P74" s="1269">
        <v>100</v>
      </c>
      <c r="Q74" s="1269">
        <v>90</v>
      </c>
      <c r="R74" s="1245">
        <v>216</v>
      </c>
      <c r="S74" s="1269">
        <v>147</v>
      </c>
      <c r="T74" s="1269">
        <v>-64</v>
      </c>
      <c r="U74" s="1269">
        <v>74</v>
      </c>
      <c r="V74" s="1245">
        <v>82</v>
      </c>
      <c r="W74" s="1269">
        <v>106</v>
      </c>
      <c r="X74" s="1262">
        <v>64</v>
      </c>
      <c r="Y74" s="1269">
        <v>80</v>
      </c>
      <c r="Z74" s="1245">
        <v>11</v>
      </c>
      <c r="AA74" s="1269">
        <v>-200</v>
      </c>
      <c r="AB74" s="1262">
        <v>87</v>
      </c>
      <c r="AC74" s="1269">
        <v>124</v>
      </c>
      <c r="AD74" s="1245">
        <v>-345</v>
      </c>
      <c r="AE74" s="1269">
        <v>-94</v>
      </c>
      <c r="AF74" s="1269">
        <v>-61</v>
      </c>
      <c r="AG74" s="1269">
        <v>81</v>
      </c>
      <c r="AH74" s="1245">
        <v>-199</v>
      </c>
      <c r="AI74" s="1269">
        <v>-17</v>
      </c>
      <c r="AJ74" s="1269">
        <v>37</v>
      </c>
      <c r="AK74" s="1269">
        <v>47</v>
      </c>
      <c r="AL74" s="1272">
        <v>353</v>
      </c>
      <c r="AM74" s="1262">
        <v>714</v>
      </c>
      <c r="AN74" s="1262">
        <v>526</v>
      </c>
      <c r="AO74" s="1262">
        <v>321</v>
      </c>
      <c r="AP74" s="1272">
        <v>104</v>
      </c>
      <c r="AQ74" s="1262">
        <v>408</v>
      </c>
      <c r="AR74" s="1262">
        <v>4280</v>
      </c>
      <c r="AS74" s="1262">
        <v>850</v>
      </c>
      <c r="AT74" s="1272">
        <v>1696</v>
      </c>
      <c r="AU74" s="1462">
        <v>198</v>
      </c>
      <c r="AV74" s="1262">
        <v>-649</v>
      </c>
      <c r="AW74" s="1272">
        <v>-226</v>
      </c>
      <c r="AX74" s="1272">
        <v>548</v>
      </c>
      <c r="AY74" s="1454">
        <v>5363</v>
      </c>
      <c r="AZ74" s="1208"/>
      <c r="BA74" s="1208"/>
      <c r="BB74" s="946"/>
      <c r="BC74" s="1208"/>
      <c r="BD74" s="946"/>
      <c r="BE74" s="946"/>
      <c r="BF74" s="1208"/>
      <c r="BG74" s="1229"/>
      <c r="BH74" s="1246">
        <v>100</v>
      </c>
      <c r="BI74" s="1246">
        <v>201</v>
      </c>
      <c r="BJ74" s="1246">
        <v>-101</v>
      </c>
      <c r="BK74" s="1300">
        <v>-0.50248756218905477</v>
      </c>
      <c r="BL74" s="1208"/>
      <c r="BM74" s="1751">
        <v>100</v>
      </c>
      <c r="BN74" s="1751">
        <v>201</v>
      </c>
      <c r="BO74" s="1751">
        <v>520</v>
      </c>
      <c r="BP74" s="1751">
        <v>239</v>
      </c>
      <c r="BQ74" s="1751">
        <v>261</v>
      </c>
      <c r="BR74" s="1751">
        <v>-334</v>
      </c>
      <c r="BS74" s="1249">
        <v>-273</v>
      </c>
      <c r="BT74" s="1273">
        <v>420</v>
      </c>
      <c r="BU74" s="2016">
        <v>1665</v>
      </c>
      <c r="BV74" s="2016">
        <v>7234</v>
      </c>
      <c r="BW74" s="2006">
        <v>-129</v>
      </c>
      <c r="BX74" s="2013">
        <v>210</v>
      </c>
      <c r="BY74" s="2002">
        <v>4992</v>
      </c>
      <c r="BZ74" s="2003">
        <v>5670</v>
      </c>
      <c r="CA74" s="2022"/>
      <c r="CB74" s="2022"/>
      <c r="CC74" s="1999"/>
      <c r="CE74" s="1920">
        <v>-77</v>
      </c>
      <c r="CF74" s="1180">
        <v>-0.77</v>
      </c>
      <c r="CG74" s="1180">
        <v>60</v>
      </c>
      <c r="CH74" s="1180">
        <v>-0.44428571428571417</v>
      </c>
      <c r="CJ74" s="1920">
        <v>177</v>
      </c>
      <c r="CK74" s="1315">
        <v>-77</v>
      </c>
      <c r="CL74" s="1920"/>
      <c r="CM74" s="1315">
        <v>-101</v>
      </c>
      <c r="CN74" s="1315">
        <v>-0.50248756218905477</v>
      </c>
      <c r="CO74" s="1315">
        <v>0</v>
      </c>
      <c r="CP74" s="1180">
        <v>0</v>
      </c>
    </row>
    <row r="75" spans="1:94" ht="12.75" customHeight="1" x14ac:dyDescent="0.2">
      <c r="A75" s="1193"/>
      <c r="B75" s="946" t="s">
        <v>611</v>
      </c>
      <c r="C75" s="1209">
        <v>1480</v>
      </c>
      <c r="D75" s="1035">
        <v>0.36660886797126579</v>
      </c>
      <c r="E75" s="1147"/>
      <c r="F75" s="2223">
        <v>5517</v>
      </c>
      <c r="G75" s="1155">
        <v>4798</v>
      </c>
      <c r="H75" s="1269">
        <v>4797</v>
      </c>
      <c r="I75" s="1269">
        <v>7354</v>
      </c>
      <c r="J75" s="1245">
        <v>4037</v>
      </c>
      <c r="K75" s="1262">
        <v>3453</v>
      </c>
      <c r="L75" s="1262">
        <v>2736</v>
      </c>
      <c r="M75" s="1269">
        <v>2355</v>
      </c>
      <c r="N75" s="1245">
        <v>2099</v>
      </c>
      <c r="O75" s="1262">
        <v>2058</v>
      </c>
      <c r="P75" s="1262">
        <v>2016</v>
      </c>
      <c r="Q75" s="1269">
        <v>1832</v>
      </c>
      <c r="R75" s="1245">
        <v>1788</v>
      </c>
      <c r="S75" s="1262">
        <v>1649</v>
      </c>
      <c r="T75" s="1262">
        <v>1839</v>
      </c>
      <c r="U75" s="1269">
        <v>2427</v>
      </c>
      <c r="V75" s="1245">
        <v>2218</v>
      </c>
      <c r="W75" s="1262">
        <v>2128</v>
      </c>
      <c r="X75" s="1262">
        <v>2296</v>
      </c>
      <c r="Y75" s="1269">
        <v>2238</v>
      </c>
      <c r="Z75" s="1245">
        <v>2068</v>
      </c>
      <c r="AA75" s="1262">
        <v>1890</v>
      </c>
      <c r="AB75" s="1262">
        <v>1840</v>
      </c>
      <c r="AC75" s="1269">
        <v>1802</v>
      </c>
      <c r="AD75" s="1245">
        <v>1939</v>
      </c>
      <c r="AE75" s="1269">
        <v>2260</v>
      </c>
      <c r="AF75" s="1269">
        <v>2506</v>
      </c>
      <c r="AG75" s="1269">
        <v>2765</v>
      </c>
      <c r="AH75" s="1245">
        <v>3176</v>
      </c>
      <c r="AI75" s="1269">
        <v>3237</v>
      </c>
      <c r="AJ75" s="1269">
        <v>3426</v>
      </c>
      <c r="AK75" s="1269">
        <v>3371</v>
      </c>
      <c r="AL75" s="1272">
        <v>3392</v>
      </c>
      <c r="AM75" s="1262">
        <v>3221</v>
      </c>
      <c r="AN75" s="1262">
        <v>2965</v>
      </c>
      <c r="AO75" s="1262">
        <v>2556</v>
      </c>
      <c r="AP75" s="1272">
        <v>2302</v>
      </c>
      <c r="AQ75" s="1262">
        <v>2191</v>
      </c>
      <c r="AR75" s="1262">
        <v>2171</v>
      </c>
      <c r="AS75" s="1262">
        <v>2224</v>
      </c>
      <c r="AT75" s="1272">
        <v>2325</v>
      </c>
      <c r="AU75" s="1462">
        <v>6358</v>
      </c>
      <c r="AV75" s="1262">
        <v>4010</v>
      </c>
      <c r="AW75" s="1272">
        <v>5644</v>
      </c>
      <c r="AX75" s="1272">
        <v>5891</v>
      </c>
      <c r="AY75" s="1454">
        <v>1512</v>
      </c>
      <c r="AZ75" s="1208"/>
      <c r="BA75" s="1208"/>
      <c r="BB75" s="946"/>
      <c r="BC75" s="1208"/>
      <c r="BD75" s="946"/>
      <c r="BE75" s="946"/>
      <c r="BF75" s="1208"/>
      <c r="BG75" s="1229"/>
      <c r="BH75" s="1246">
        <v>20986</v>
      </c>
      <c r="BI75" s="1246">
        <v>10643</v>
      </c>
      <c r="BJ75" s="1246">
        <v>10343</v>
      </c>
      <c r="BK75" s="1299">
        <v>0.97181245889316925</v>
      </c>
      <c r="BL75" s="1208"/>
      <c r="BM75" s="1751">
        <v>20986</v>
      </c>
      <c r="BN75" s="1751">
        <v>10643</v>
      </c>
      <c r="BO75" s="1751">
        <v>7694</v>
      </c>
      <c r="BP75" s="1751">
        <v>8133</v>
      </c>
      <c r="BQ75" s="1751">
        <v>8730</v>
      </c>
      <c r="BR75" s="1751">
        <v>7471</v>
      </c>
      <c r="BS75" s="1273">
        <v>10707</v>
      </c>
      <c r="BT75" s="1273">
        <v>13426</v>
      </c>
      <c r="BU75" s="2016">
        <v>11044</v>
      </c>
      <c r="BV75" s="2016">
        <v>8911</v>
      </c>
      <c r="BW75" s="2016">
        <v>21903</v>
      </c>
      <c r="BX75" s="2013">
        <v>27650</v>
      </c>
      <c r="BY75" s="2002">
        <v>26877</v>
      </c>
      <c r="BZ75" s="2003">
        <v>18354</v>
      </c>
      <c r="CA75" s="2022"/>
      <c r="CB75" s="2022"/>
      <c r="CC75" s="1999"/>
      <c r="CE75" s="1920">
        <v>720</v>
      </c>
      <c r="CF75" s="1180">
        <v>0.35714285714285715</v>
      </c>
      <c r="CG75" s="1180">
        <v>760</v>
      </c>
      <c r="CH75" s="1180">
        <v>9.4660108284086442E-3</v>
      </c>
      <c r="CJ75" s="1920">
        <v>7190</v>
      </c>
      <c r="CK75" s="1315">
        <v>13796</v>
      </c>
      <c r="CL75" s="1920"/>
      <c r="CM75" s="1315">
        <v>10343</v>
      </c>
      <c r="CN75" s="1315">
        <v>0.97181245889316925</v>
      </c>
      <c r="CO75" s="1315">
        <v>0</v>
      </c>
      <c r="CP75" s="1180">
        <v>0</v>
      </c>
    </row>
    <row r="76" spans="1:94" ht="12.75" customHeight="1" x14ac:dyDescent="0.2">
      <c r="A76" s="1350"/>
      <c r="B76" s="946" t="s">
        <v>612</v>
      </c>
      <c r="C76" s="1209">
        <v>114</v>
      </c>
      <c r="D76" s="1035">
        <v>0.56999999999999995</v>
      </c>
      <c r="E76" s="2854"/>
      <c r="F76" s="2223">
        <v>314</v>
      </c>
      <c r="G76" s="1155">
        <v>1036</v>
      </c>
      <c r="H76" s="1304">
        <v>254</v>
      </c>
      <c r="I76" s="1304">
        <v>264</v>
      </c>
      <c r="J76" s="1245">
        <v>200</v>
      </c>
      <c r="K76" s="1302">
        <v>842</v>
      </c>
      <c r="L76" s="1302">
        <v>214</v>
      </c>
      <c r="M76" s="1304">
        <v>199</v>
      </c>
      <c r="N76" s="1245">
        <v>269</v>
      </c>
      <c r="O76" s="1302">
        <v>727</v>
      </c>
      <c r="P76" s="1302">
        <v>226</v>
      </c>
      <c r="Q76" s="1304">
        <v>384</v>
      </c>
      <c r="R76" s="1245">
        <v>228</v>
      </c>
      <c r="S76" s="1302">
        <v>722</v>
      </c>
      <c r="T76" s="1302">
        <v>429</v>
      </c>
      <c r="U76" s="1304">
        <v>348</v>
      </c>
      <c r="V76" s="1245">
        <v>431</v>
      </c>
      <c r="W76" s="1302">
        <v>957</v>
      </c>
      <c r="X76" s="1302">
        <v>318</v>
      </c>
      <c r="Y76" s="1304">
        <v>262</v>
      </c>
      <c r="Z76" s="1245">
        <v>241</v>
      </c>
      <c r="AA76" s="1302">
        <v>1051</v>
      </c>
      <c r="AB76" s="1302">
        <v>437</v>
      </c>
      <c r="AC76" s="1304">
        <v>344</v>
      </c>
      <c r="AD76" s="1245">
        <v>905</v>
      </c>
      <c r="AE76" s="1269">
        <v>1986</v>
      </c>
      <c r="AF76" s="1269">
        <v>1906</v>
      </c>
      <c r="AG76" s="1269">
        <v>373</v>
      </c>
      <c r="AH76" s="1245">
        <v>457</v>
      </c>
      <c r="AI76" s="1269">
        <v>2250</v>
      </c>
      <c r="AJ76" s="1269">
        <v>1260</v>
      </c>
      <c r="AK76" s="1304">
        <v>1283</v>
      </c>
      <c r="AL76" s="1301">
        <v>1290</v>
      </c>
      <c r="AM76" s="1262">
        <v>2742</v>
      </c>
      <c r="AN76" s="1262">
        <v>369</v>
      </c>
      <c r="AO76" s="1302">
        <v>408</v>
      </c>
      <c r="AP76" s="1301">
        <v>333</v>
      </c>
      <c r="AQ76" s="1262">
        <v>3386</v>
      </c>
      <c r="AR76" s="1262">
        <v>858</v>
      </c>
      <c r="AS76" s="1302">
        <v>440</v>
      </c>
      <c r="AT76" s="1301">
        <v>454</v>
      </c>
      <c r="AU76" s="1462">
        <v>680</v>
      </c>
      <c r="AV76" s="1302">
        <v>457</v>
      </c>
      <c r="AW76" s="1301">
        <v>430</v>
      </c>
      <c r="AX76" s="1301">
        <v>377</v>
      </c>
      <c r="AY76" s="1457">
        <v>60</v>
      </c>
      <c r="AZ76" s="990"/>
      <c r="BA76" s="990"/>
      <c r="BB76" s="990"/>
      <c r="BC76" s="990"/>
      <c r="BD76" s="990"/>
      <c r="BE76" s="990"/>
      <c r="BF76" s="990"/>
      <c r="BG76" s="1229"/>
      <c r="BH76" s="1246">
        <v>1754</v>
      </c>
      <c r="BI76" s="1246">
        <v>1524</v>
      </c>
      <c r="BJ76" s="1254">
        <v>230</v>
      </c>
      <c r="BK76" s="1309">
        <v>0.15091863517060367</v>
      </c>
      <c r="BL76" s="1193"/>
      <c r="BM76" s="1751">
        <v>1754</v>
      </c>
      <c r="BN76" s="1751">
        <v>1524</v>
      </c>
      <c r="BO76" s="1751">
        <v>1565</v>
      </c>
      <c r="BP76" s="1751">
        <v>1930</v>
      </c>
      <c r="BQ76" s="1751">
        <v>1778</v>
      </c>
      <c r="BR76" s="1751">
        <v>2737</v>
      </c>
      <c r="BS76" s="1273">
        <v>4722</v>
      </c>
      <c r="BT76" s="1461">
        <v>6083</v>
      </c>
      <c r="BU76" s="2056">
        <v>3852</v>
      </c>
      <c r="BV76" s="2056">
        <v>5138</v>
      </c>
      <c r="BW76" s="2056">
        <v>1944</v>
      </c>
      <c r="BX76" s="2055">
        <v>779</v>
      </c>
      <c r="BY76" s="2007">
        <v>756</v>
      </c>
      <c r="BZ76" s="2018">
        <v>1174</v>
      </c>
      <c r="CA76" s="2022"/>
      <c r="CB76" s="2022"/>
      <c r="CC76" s="1999"/>
      <c r="CE76" s="1920">
        <v>-12</v>
      </c>
      <c r="CF76" s="1180">
        <v>-5.3097345132743362E-2</v>
      </c>
      <c r="CG76" s="1180">
        <v>126</v>
      </c>
      <c r="CH76" s="1180">
        <v>0.62309734513274329</v>
      </c>
      <c r="CJ76" s="1920">
        <v>682</v>
      </c>
      <c r="CK76" s="1315">
        <v>1072</v>
      </c>
      <c r="CL76" s="1920"/>
      <c r="CM76" s="1315">
        <v>230</v>
      </c>
      <c r="CN76" s="1315">
        <v>0.15091863517060367</v>
      </c>
      <c r="CO76" s="1315">
        <v>0</v>
      </c>
      <c r="CP76" s="1180">
        <v>0</v>
      </c>
    </row>
    <row r="77" spans="1:94" ht="12.75" customHeight="1" x14ac:dyDescent="0.2">
      <c r="A77" s="1350"/>
      <c r="B77" s="946"/>
      <c r="C77" s="1351">
        <v>11029</v>
      </c>
      <c r="D77" s="1190">
        <v>0.23571779691807904</v>
      </c>
      <c r="E77" s="1818"/>
      <c r="F77" s="2058">
        <v>57818</v>
      </c>
      <c r="G77" s="1174">
        <v>53636</v>
      </c>
      <c r="H77" s="1281">
        <v>54202</v>
      </c>
      <c r="I77" s="1281">
        <v>52199</v>
      </c>
      <c r="J77" s="1466">
        <v>46789</v>
      </c>
      <c r="K77" s="1281">
        <v>51455</v>
      </c>
      <c r="L77" s="1276">
        <v>48428</v>
      </c>
      <c r="M77" s="1281">
        <v>32081</v>
      </c>
      <c r="N77" s="1466">
        <v>36918</v>
      </c>
      <c r="O77" s="1281">
        <v>40268</v>
      </c>
      <c r="P77" s="1281">
        <v>32819</v>
      </c>
      <c r="Q77" s="1281">
        <v>29732</v>
      </c>
      <c r="R77" s="1466">
        <v>29473</v>
      </c>
      <c r="S77" s="1281">
        <v>25521</v>
      </c>
      <c r="T77" s="1281">
        <v>25616</v>
      </c>
      <c r="U77" s="1281">
        <v>26155</v>
      </c>
      <c r="V77" s="1466">
        <v>30916</v>
      </c>
      <c r="W77" s="1465">
        <v>33079</v>
      </c>
      <c r="X77" s="1465">
        <v>28267</v>
      </c>
      <c r="Y77" s="1281">
        <v>31637</v>
      </c>
      <c r="Z77" s="1466">
        <v>32356</v>
      </c>
      <c r="AA77" s="1465">
        <v>32016</v>
      </c>
      <c r="AB77" s="1465">
        <v>27719</v>
      </c>
      <c r="AC77" s="1281">
        <v>24413</v>
      </c>
      <c r="AD77" s="1782">
        <v>26842</v>
      </c>
      <c r="AE77" s="1281">
        <v>32223</v>
      </c>
      <c r="AF77" s="1281">
        <v>35051</v>
      </c>
      <c r="AG77" s="1281">
        <v>35814</v>
      </c>
      <c r="AH77" s="1782">
        <v>36767</v>
      </c>
      <c r="AI77" s="1281">
        <v>52537</v>
      </c>
      <c r="AJ77" s="1281">
        <v>44571</v>
      </c>
      <c r="AK77" s="1281">
        <v>47412</v>
      </c>
      <c r="AL77" s="1466">
        <v>54783</v>
      </c>
      <c r="AM77" s="1465">
        <v>72704</v>
      </c>
      <c r="AN77" s="1465">
        <v>68599</v>
      </c>
      <c r="AO77" s="1465">
        <v>44539</v>
      </c>
      <c r="AP77" s="1466">
        <v>47207</v>
      </c>
      <c r="AQ77" s="1465">
        <v>54990</v>
      </c>
      <c r="AR77" s="1465">
        <v>51733</v>
      </c>
      <c r="AS77" s="1465">
        <v>40138</v>
      </c>
      <c r="AT77" s="1466">
        <v>40185</v>
      </c>
      <c r="AU77" s="1467">
        <v>37255</v>
      </c>
      <c r="AV77" s="1465">
        <v>33532</v>
      </c>
      <c r="AW77" s="1466">
        <v>43844</v>
      </c>
      <c r="AX77" s="1466">
        <v>57853</v>
      </c>
      <c r="AY77" s="1466">
        <v>104793</v>
      </c>
      <c r="AZ77" s="941"/>
      <c r="BA77" s="941"/>
      <c r="BB77" s="941"/>
      <c r="BC77" s="941"/>
      <c r="BD77" s="941"/>
      <c r="BE77" s="941"/>
      <c r="BF77" s="941"/>
      <c r="BG77" s="1222"/>
      <c r="BH77" s="1465">
        <v>206826</v>
      </c>
      <c r="BI77" s="1465">
        <v>168882</v>
      </c>
      <c r="BJ77" s="1468">
        <v>37944</v>
      </c>
      <c r="BK77" s="1352">
        <v>0.22467758553309411</v>
      </c>
      <c r="BM77" s="2901">
        <v>206826</v>
      </c>
      <c r="BN77" s="1470">
        <v>168882</v>
      </c>
      <c r="BO77" s="1470">
        <v>132292</v>
      </c>
      <c r="BP77" s="1470">
        <v>108208</v>
      </c>
      <c r="BQ77" s="1467">
        <v>125339</v>
      </c>
      <c r="BR77" s="1467">
        <v>110990</v>
      </c>
      <c r="BS77" s="1467">
        <v>139855</v>
      </c>
      <c r="BT77" s="1467">
        <v>199303</v>
      </c>
      <c r="BU77" s="2057">
        <v>233049</v>
      </c>
      <c r="BV77" s="2057">
        <v>187046</v>
      </c>
      <c r="BW77" s="2059">
        <v>172484</v>
      </c>
      <c r="BX77" s="1336">
        <v>249127</v>
      </c>
      <c r="BY77" s="2059">
        <v>272619</v>
      </c>
      <c r="BZ77" s="2004">
        <v>225194</v>
      </c>
      <c r="CA77" s="2022"/>
      <c r="CB77" s="2022"/>
      <c r="CC77" s="1999"/>
      <c r="CE77" s="1920">
        <v>15609</v>
      </c>
      <c r="CF77" s="1180">
        <v>0.4756086413358116</v>
      </c>
      <c r="CG77" s="1180">
        <v>-4580</v>
      </c>
      <c r="CH77" s="1180">
        <v>-0.23989084441773256</v>
      </c>
      <c r="CJ77" s="1920">
        <v>117427</v>
      </c>
      <c r="CK77" s="1315">
        <v>89399</v>
      </c>
      <c r="CL77" s="1920"/>
      <c r="CM77" s="1315">
        <v>37944</v>
      </c>
      <c r="CN77" s="1315">
        <v>0.22467758553309411</v>
      </c>
      <c r="CO77" s="1315">
        <v>0</v>
      </c>
      <c r="CP77" s="1180">
        <v>0</v>
      </c>
    </row>
    <row r="78" spans="1:94" ht="12.75" customHeight="1" x14ac:dyDescent="0.2">
      <c r="A78" s="946" t="s">
        <v>357</v>
      </c>
      <c r="B78" s="972"/>
      <c r="C78" s="972"/>
      <c r="D78" s="972"/>
      <c r="E78" s="938"/>
      <c r="F78" s="938"/>
      <c r="G78" s="938"/>
      <c r="H78" s="972"/>
      <c r="I78" s="972"/>
      <c r="J78" s="972"/>
      <c r="K78" s="972"/>
      <c r="L78" s="972"/>
      <c r="M78" s="972"/>
      <c r="N78" s="972"/>
      <c r="O78" s="972"/>
      <c r="P78" s="972"/>
      <c r="Q78" s="972"/>
      <c r="R78" s="972"/>
      <c r="S78" s="972"/>
      <c r="T78" s="972"/>
      <c r="U78" s="972"/>
      <c r="V78" s="990"/>
      <c r="W78" s="972"/>
      <c r="X78" s="972"/>
      <c r="Y78" s="972"/>
      <c r="Z78" s="990"/>
      <c r="AA78" s="972"/>
      <c r="AB78" s="972"/>
      <c r="AC78" s="972"/>
      <c r="AD78" s="990"/>
      <c r="AE78" s="972"/>
      <c r="AF78" s="972"/>
      <c r="AG78" s="972"/>
      <c r="AH78" s="990"/>
      <c r="AI78" s="972"/>
      <c r="AJ78" s="972"/>
      <c r="AK78" s="972"/>
      <c r="AL78" s="990"/>
      <c r="AM78" s="972"/>
      <c r="AN78" s="972"/>
      <c r="AO78" s="972"/>
      <c r="AP78" s="990"/>
      <c r="AQ78" s="972"/>
      <c r="AR78" s="972"/>
      <c r="AS78" s="972"/>
      <c r="AT78" s="990"/>
      <c r="AU78" s="972"/>
      <c r="AV78" s="972"/>
      <c r="AW78" s="972"/>
      <c r="AX78" s="990"/>
      <c r="AY78" s="990"/>
      <c r="AZ78" s="990"/>
      <c r="BA78" s="990"/>
      <c r="BB78" s="990"/>
      <c r="BC78" s="990"/>
      <c r="BD78" s="990"/>
      <c r="BE78" s="990"/>
      <c r="BF78" s="990"/>
      <c r="BG78" s="1184"/>
      <c r="BH78" s="1184"/>
      <c r="BI78" s="1184"/>
      <c r="BJ78" s="1193"/>
      <c r="BK78" s="1193"/>
      <c r="BX78" s="897"/>
      <c r="BY78" s="897"/>
      <c r="CB78" s="1145"/>
      <c r="CC78" s="1145"/>
      <c r="CE78" s="1315"/>
    </row>
    <row r="79" spans="1:94" x14ac:dyDescent="0.2">
      <c r="A79" s="971" t="s">
        <v>28</v>
      </c>
      <c r="B79" s="1184"/>
      <c r="C79" s="1184"/>
      <c r="D79" s="1184"/>
      <c r="J79" s="1215"/>
      <c r="S79" s="1006"/>
      <c r="T79" s="1006"/>
      <c r="U79" s="1006"/>
      <c r="V79" s="1006"/>
      <c r="W79" s="1006"/>
      <c r="X79" s="1006"/>
      <c r="Y79" s="1006"/>
      <c r="Z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c r="AU79" s="1006"/>
      <c r="AV79" s="1006"/>
      <c r="AW79" s="1006"/>
      <c r="AX79" s="1006"/>
      <c r="AY79" s="1006"/>
      <c r="AZ79" s="1006"/>
      <c r="BA79" s="1006"/>
      <c r="BB79" s="1006"/>
      <c r="BC79" s="1006"/>
      <c r="BD79" s="1006"/>
      <c r="BE79" s="1006"/>
      <c r="BF79" s="1006"/>
      <c r="BG79" s="1006"/>
      <c r="BH79" s="1006"/>
      <c r="BI79" s="1006"/>
      <c r="BJ79" s="1006"/>
      <c r="BK79" s="1006"/>
      <c r="BL79" s="1006"/>
      <c r="BM79" s="1006"/>
      <c r="BT79" s="1006"/>
      <c r="BU79" s="914"/>
      <c r="BV79" s="914"/>
      <c r="BW79" s="914"/>
      <c r="BX79" s="914"/>
      <c r="BY79" s="914"/>
      <c r="BZ79" s="914"/>
      <c r="CA79" s="1154"/>
      <c r="CB79" s="1145"/>
      <c r="CC79" s="1145"/>
      <c r="CE79" s="1315"/>
    </row>
    <row r="80" spans="1:94" x14ac:dyDescent="0.2">
      <c r="A80" s="946" t="s">
        <v>709</v>
      </c>
      <c r="C80" s="1822"/>
      <c r="J80" s="1215"/>
      <c r="S80" s="1215"/>
      <c r="T80" s="1215"/>
      <c r="U80" s="1215"/>
      <c r="V80" s="1006"/>
      <c r="W80" s="1215"/>
      <c r="X80" s="1215"/>
      <c r="Y80" s="1215"/>
      <c r="Z80" s="1006"/>
      <c r="BX80" s="914"/>
      <c r="BY80" s="914"/>
      <c r="BZ80" s="2163"/>
      <c r="CA80" s="2163"/>
      <c r="CB80" s="1145"/>
      <c r="CC80" s="1145"/>
      <c r="CE80" s="1315"/>
    </row>
    <row r="81" spans="1:83" x14ac:dyDescent="0.2">
      <c r="C81" s="1823"/>
      <c r="J81" s="1215"/>
      <c r="S81" s="1215"/>
      <c r="T81" s="1357"/>
      <c r="U81" s="1215"/>
      <c r="V81" s="1215"/>
      <c r="W81" s="1215"/>
      <c r="X81" s="1215"/>
      <c r="Y81" s="1215"/>
      <c r="Z81" s="1215"/>
      <c r="BX81" s="914"/>
      <c r="BY81" s="914"/>
      <c r="BZ81" s="2163"/>
      <c r="CA81" s="2163"/>
      <c r="CB81" s="1145"/>
      <c r="CC81" s="1145"/>
      <c r="CE81" s="1315"/>
    </row>
    <row r="82" spans="1:83" x14ac:dyDescent="0.2">
      <c r="A82" s="941"/>
      <c r="C82" s="1822"/>
      <c r="J82" s="1215"/>
      <c r="T82" s="1215"/>
      <c r="U82" s="1215"/>
      <c r="V82" s="1006"/>
      <c r="X82" s="1215"/>
      <c r="Y82" s="1215"/>
      <c r="Z82" s="1006"/>
      <c r="BX82" s="914"/>
      <c r="BY82" s="914"/>
      <c r="CA82" s="2163"/>
    </row>
    <row r="83" spans="1:83" x14ac:dyDescent="0.2">
      <c r="A83" s="946"/>
      <c r="J83" s="1215"/>
      <c r="T83" s="1215"/>
      <c r="U83" s="1215"/>
      <c r="V83" s="1834"/>
      <c r="X83" s="1215"/>
      <c r="Y83" s="1215"/>
      <c r="Z83" s="1835"/>
      <c r="BJ83" s="1312"/>
      <c r="BX83" s="897"/>
      <c r="BY83" s="897"/>
      <c r="CA83" s="2163"/>
    </row>
    <row r="84" spans="1:83" x14ac:dyDescent="0.2">
      <c r="J84" s="1215"/>
      <c r="T84" s="1215"/>
      <c r="U84" s="1215"/>
      <c r="V84" s="1835"/>
      <c r="X84" s="1215"/>
      <c r="Y84" s="1215"/>
      <c r="Z84" s="1835"/>
      <c r="AA84" s="1215"/>
      <c r="AB84" s="1215"/>
      <c r="AC84" s="1215"/>
      <c r="AD84" s="1006"/>
      <c r="AH84" s="1006"/>
      <c r="AL84" s="1006"/>
      <c r="AP84" s="1006"/>
      <c r="AT84" s="1006"/>
      <c r="AX84" s="1006"/>
      <c r="BF84" s="1006"/>
      <c r="BG84" s="1184"/>
      <c r="BH84" s="1184"/>
      <c r="BI84" s="1184"/>
      <c r="BX84" s="897"/>
      <c r="BY84" s="897"/>
      <c r="CA84" s="2163"/>
    </row>
    <row r="85" spans="1:83" x14ac:dyDescent="0.2">
      <c r="J85" s="1215"/>
      <c r="T85" s="1215"/>
      <c r="U85" s="1215"/>
      <c r="V85" s="1215"/>
      <c r="X85" s="1215"/>
      <c r="Y85" s="1215"/>
      <c r="Z85" s="1215"/>
      <c r="AA85" s="1215"/>
      <c r="AB85" s="1215"/>
      <c r="AC85" s="1215"/>
      <c r="AD85" s="1215"/>
      <c r="AE85" s="1215"/>
      <c r="AF85" s="1215"/>
      <c r="AG85" s="1215"/>
      <c r="AH85" s="1215"/>
      <c r="AL85" s="1006"/>
      <c r="AP85" s="1006"/>
      <c r="AT85" s="1006"/>
      <c r="AX85" s="1006"/>
      <c r="BF85" s="1006"/>
      <c r="BG85" s="1184"/>
      <c r="BH85" s="1184"/>
      <c r="BI85" s="1184"/>
      <c r="BN85" s="1312"/>
      <c r="BO85" s="1312"/>
      <c r="BP85" s="1312"/>
      <c r="BQ85" s="1312"/>
      <c r="BR85" s="1312"/>
      <c r="BS85" s="1312"/>
      <c r="BX85" s="897"/>
      <c r="BY85" s="897"/>
    </row>
    <row r="86" spans="1:83" x14ac:dyDescent="0.2">
      <c r="J86" s="1215"/>
      <c r="T86" s="1215"/>
      <c r="U86" s="1215"/>
      <c r="V86" s="1835"/>
      <c r="X86" s="1215"/>
      <c r="Y86" s="1215"/>
      <c r="Z86" s="1835"/>
      <c r="AB86" s="1215"/>
      <c r="AC86" s="1215"/>
      <c r="AD86" s="1006"/>
      <c r="AH86" s="1006"/>
      <c r="AL86" s="1006"/>
      <c r="AP86" s="1006"/>
      <c r="AT86" s="1006"/>
      <c r="AX86" s="1006"/>
      <c r="BF86" s="1006"/>
      <c r="BG86" s="1184"/>
      <c r="BH86" s="1184"/>
      <c r="BI86" s="1184"/>
      <c r="BN86" s="1312"/>
      <c r="BO86" s="1312"/>
      <c r="BP86" s="1312"/>
      <c r="BQ86" s="1312"/>
      <c r="BR86" s="1312"/>
      <c r="BS86" s="1312"/>
      <c r="BX86" s="919"/>
      <c r="BY86" s="919"/>
    </row>
    <row r="87" spans="1:83" x14ac:dyDescent="0.2">
      <c r="E87" s="1144"/>
      <c r="F87" s="1144"/>
      <c r="G87" s="1144"/>
      <c r="H87" s="1183"/>
      <c r="I87" s="1183"/>
      <c r="J87" s="1215"/>
      <c r="K87" s="1183"/>
      <c r="L87" s="940"/>
      <c r="M87" s="1183"/>
      <c r="N87" s="1183"/>
      <c r="O87" s="1183"/>
      <c r="P87" s="1183"/>
      <c r="Q87" s="1183"/>
      <c r="R87" s="1183"/>
      <c r="S87" s="1183"/>
      <c r="T87" s="1183"/>
      <c r="U87" s="1183"/>
      <c r="V87" s="1835"/>
      <c r="W87" s="1183"/>
      <c r="X87" s="1183"/>
      <c r="Y87" s="1183"/>
      <c r="Z87" s="1835"/>
      <c r="AB87" s="1215"/>
      <c r="AC87" s="1215"/>
      <c r="AD87" s="1835"/>
      <c r="AE87" s="1835"/>
      <c r="AF87" s="1835"/>
      <c r="AG87" s="1215"/>
      <c r="AH87" s="1006"/>
      <c r="AL87" s="1006"/>
      <c r="AP87" s="1006"/>
      <c r="AT87" s="1006"/>
      <c r="AX87" s="1006"/>
      <c r="BF87" s="1006"/>
      <c r="BG87" s="1184"/>
      <c r="BH87" s="1184"/>
      <c r="BI87" s="1184"/>
      <c r="BX87" s="923"/>
      <c r="BY87" s="923"/>
    </row>
    <row r="88" spans="1:83" x14ac:dyDescent="0.2">
      <c r="E88" s="1144"/>
      <c r="F88" s="1144"/>
      <c r="G88" s="1144"/>
      <c r="H88" s="1183"/>
      <c r="I88" s="1183"/>
      <c r="J88" s="1215"/>
      <c r="K88" s="1183"/>
      <c r="L88" s="940"/>
      <c r="M88" s="1183"/>
      <c r="N88" s="1183"/>
      <c r="O88" s="1183"/>
      <c r="P88" s="1183"/>
      <c r="Q88" s="1183"/>
      <c r="R88" s="1183"/>
      <c r="S88" s="1183"/>
      <c r="T88" s="1183"/>
      <c r="U88" s="1183"/>
      <c r="V88" s="1835"/>
      <c r="W88" s="1183"/>
      <c r="X88" s="1183"/>
      <c r="Y88" s="1183"/>
      <c r="Z88" s="1835"/>
      <c r="AB88" s="1215"/>
      <c r="AC88" s="1215"/>
      <c r="AD88" s="1835"/>
      <c r="AE88" s="1835"/>
      <c r="AF88" s="1835"/>
      <c r="AG88" s="1215"/>
      <c r="AH88" s="1141"/>
      <c r="AL88" s="941"/>
      <c r="AP88" s="941"/>
      <c r="AT88" s="941"/>
      <c r="AX88" s="941"/>
      <c r="BF88" s="976"/>
      <c r="BG88" s="1184"/>
      <c r="BH88" s="1184"/>
      <c r="BI88" s="1184"/>
      <c r="BN88" s="1312"/>
      <c r="BO88" s="1312"/>
      <c r="BP88" s="1312"/>
      <c r="BQ88" s="1312"/>
      <c r="BR88" s="1312"/>
      <c r="BS88" s="1312"/>
      <c r="BX88" s="923"/>
      <c r="BY88" s="923"/>
    </row>
    <row r="89" spans="1:83" x14ac:dyDescent="0.2">
      <c r="E89" s="1144"/>
      <c r="F89" s="1144"/>
      <c r="G89" s="1144"/>
      <c r="H89" s="1183"/>
      <c r="I89" s="1183"/>
      <c r="J89" s="1215"/>
      <c r="K89" s="1183"/>
      <c r="L89" s="940"/>
      <c r="M89" s="1183"/>
      <c r="N89" s="1183"/>
      <c r="O89" s="1183"/>
      <c r="P89" s="1183"/>
      <c r="Q89" s="1183"/>
      <c r="R89" s="1183"/>
      <c r="S89" s="1183"/>
      <c r="T89" s="1183"/>
      <c r="U89" s="1183"/>
      <c r="V89" s="1835"/>
      <c r="W89" s="1183"/>
      <c r="X89" s="1183"/>
      <c r="Y89" s="1183"/>
      <c r="Z89" s="1835"/>
      <c r="AB89" s="1215"/>
      <c r="AC89" s="1215"/>
      <c r="AD89" s="1835"/>
      <c r="AE89" s="1835"/>
      <c r="AF89" s="1835"/>
      <c r="AG89" s="1215"/>
      <c r="AH89" s="941"/>
      <c r="AL89" s="941"/>
      <c r="AP89" s="941"/>
      <c r="AT89" s="941"/>
      <c r="AX89" s="941"/>
      <c r="BF89" s="1836"/>
      <c r="BG89" s="1184"/>
      <c r="BH89" s="1184"/>
      <c r="BI89" s="1184"/>
      <c r="BN89" s="1312"/>
      <c r="BO89" s="1312"/>
      <c r="BP89" s="1312"/>
      <c r="BQ89" s="1312"/>
      <c r="BR89" s="1312"/>
      <c r="BS89" s="1312"/>
      <c r="BX89" s="935"/>
      <c r="BY89" s="935"/>
    </row>
    <row r="90" spans="1:83" x14ac:dyDescent="0.2">
      <c r="E90" s="1144"/>
      <c r="F90" s="1144"/>
      <c r="G90" s="1144"/>
      <c r="H90" s="1183"/>
      <c r="I90" s="1183"/>
      <c r="J90" s="1215"/>
      <c r="K90" s="1183"/>
      <c r="L90" s="940"/>
      <c r="M90" s="1183"/>
      <c r="N90" s="1183"/>
      <c r="O90" s="1183"/>
      <c r="P90" s="1183"/>
      <c r="Q90" s="1183"/>
      <c r="R90" s="1183"/>
      <c r="S90" s="1183"/>
      <c r="T90" s="1183"/>
      <c r="U90" s="1183"/>
      <c r="V90" s="1215"/>
      <c r="W90" s="1183"/>
      <c r="X90" s="1183"/>
      <c r="Y90" s="1183"/>
      <c r="Z90" s="1215"/>
      <c r="AB90" s="1215"/>
      <c r="AC90" s="1215"/>
      <c r="AD90" s="1835"/>
      <c r="AE90" s="1835"/>
      <c r="AF90" s="1835"/>
      <c r="AG90" s="1215"/>
      <c r="AH90" s="1141"/>
      <c r="AL90" s="941"/>
      <c r="AP90" s="941"/>
      <c r="AT90" s="941"/>
      <c r="AX90" s="941"/>
      <c r="BF90" s="1836"/>
      <c r="BG90" s="1184"/>
      <c r="BH90" s="1184"/>
      <c r="BI90" s="1184"/>
      <c r="BN90" s="1312"/>
      <c r="BO90" s="1312"/>
      <c r="BP90" s="1312"/>
      <c r="BQ90" s="1312"/>
      <c r="BR90" s="1312"/>
      <c r="BS90" s="1312"/>
      <c r="BX90" s="935"/>
      <c r="BY90" s="935"/>
    </row>
    <row r="91" spans="1:83" x14ac:dyDescent="0.2">
      <c r="E91" s="1144"/>
      <c r="F91" s="1144"/>
      <c r="G91" s="1144"/>
      <c r="H91" s="1183"/>
      <c r="I91" s="1183"/>
      <c r="J91" s="1183"/>
      <c r="K91" s="1183"/>
      <c r="L91" s="940"/>
      <c r="M91" s="1183"/>
      <c r="N91" s="1183"/>
      <c r="O91" s="1183"/>
      <c r="P91" s="1183"/>
      <c r="Q91" s="1183"/>
      <c r="R91" s="1183"/>
      <c r="S91" s="1183"/>
      <c r="T91" s="1183"/>
      <c r="U91" s="1183"/>
      <c r="V91" s="1215"/>
      <c r="W91" s="1183"/>
      <c r="X91" s="1183"/>
      <c r="Y91" s="1183"/>
      <c r="Z91" s="1215"/>
      <c r="AA91" s="1183"/>
      <c r="AB91" s="1183"/>
      <c r="AC91" s="1183"/>
      <c r="AD91" s="1835"/>
      <c r="AE91" s="1835"/>
      <c r="AF91" s="1835"/>
      <c r="AG91" s="1215"/>
      <c r="AH91" s="1215"/>
      <c r="AX91" s="959"/>
      <c r="AY91" s="1036"/>
      <c r="AZ91" s="1036"/>
      <c r="BA91" s="1036"/>
      <c r="BB91" s="1036"/>
      <c r="BC91" s="1036"/>
      <c r="BD91" s="1036"/>
      <c r="BE91" s="1036"/>
      <c r="BF91" s="952"/>
      <c r="BG91" s="1184"/>
      <c r="BH91" s="1184"/>
      <c r="BI91" s="1184"/>
      <c r="BN91" s="1312"/>
      <c r="BO91" s="1312"/>
      <c r="BP91" s="1312"/>
      <c r="BQ91" s="1312"/>
      <c r="BR91" s="1312"/>
      <c r="BS91" s="1312"/>
      <c r="BX91" s="1145"/>
      <c r="BY91" s="1145"/>
    </row>
    <row r="92" spans="1:83" x14ac:dyDescent="0.2">
      <c r="E92" s="1144"/>
      <c r="F92" s="1144"/>
      <c r="G92" s="1144"/>
      <c r="H92" s="1183"/>
      <c r="I92" s="1183"/>
      <c r="J92" s="1183"/>
      <c r="K92" s="1183"/>
      <c r="L92" s="940"/>
      <c r="M92" s="1183"/>
      <c r="N92" s="1183"/>
      <c r="O92" s="1183"/>
      <c r="P92" s="1183"/>
      <c r="Q92" s="1183"/>
      <c r="R92" s="1183"/>
      <c r="S92" s="1183"/>
      <c r="T92" s="1183"/>
      <c r="U92" s="1183"/>
      <c r="V92" s="1215"/>
      <c r="W92" s="1183"/>
      <c r="X92" s="1183"/>
      <c r="Y92" s="1183"/>
      <c r="Z92" s="1215"/>
      <c r="AA92" s="1183"/>
      <c r="AB92" s="1183"/>
      <c r="AC92" s="1183"/>
      <c r="AD92" s="1835"/>
      <c r="AE92" s="1835"/>
      <c r="AF92" s="1835"/>
      <c r="AG92" s="1215"/>
      <c r="AH92" s="1215"/>
      <c r="AX92" s="959"/>
      <c r="AY92" s="1036"/>
      <c r="AZ92" s="1036"/>
      <c r="BA92" s="1036"/>
      <c r="BB92" s="1036"/>
      <c r="BC92" s="1036"/>
      <c r="BD92" s="1036"/>
      <c r="BE92" s="1036"/>
      <c r="BF92" s="952"/>
      <c r="BG92" s="1184"/>
      <c r="BH92" s="1184"/>
      <c r="BI92" s="1184"/>
      <c r="BN92" s="1312"/>
      <c r="BO92" s="1312"/>
      <c r="BP92" s="1312"/>
      <c r="BQ92" s="1312"/>
      <c r="BR92" s="1312"/>
      <c r="BS92" s="1312"/>
      <c r="BX92" s="1145"/>
      <c r="BY92" s="1145"/>
    </row>
    <row r="93" spans="1:83" x14ac:dyDescent="0.2">
      <c r="E93" s="1144"/>
      <c r="F93" s="1144"/>
      <c r="G93" s="1144"/>
      <c r="H93" s="1183"/>
      <c r="I93" s="1183"/>
      <c r="J93" s="1183"/>
      <c r="K93" s="1183"/>
      <c r="L93" s="940"/>
      <c r="M93" s="1183"/>
      <c r="N93" s="1183"/>
      <c r="O93" s="1183"/>
      <c r="P93" s="1183"/>
      <c r="Q93" s="1183"/>
      <c r="R93" s="1183"/>
      <c r="S93" s="1183"/>
      <c r="T93" s="1183"/>
      <c r="U93" s="1183"/>
      <c r="W93" s="1183"/>
      <c r="X93" s="1183"/>
      <c r="Y93" s="1183"/>
      <c r="AA93" s="1183"/>
      <c r="AB93" s="1183"/>
      <c r="AC93" s="1183"/>
      <c r="AD93" s="1835"/>
      <c r="AE93" s="1835"/>
      <c r="AF93" s="1835"/>
      <c r="AG93" s="1215"/>
      <c r="AH93" s="1215"/>
      <c r="AX93" s="1036"/>
      <c r="AY93" s="1036"/>
      <c r="AZ93" s="1036"/>
      <c r="BA93" s="1036"/>
      <c r="BB93" s="1036"/>
      <c r="BC93" s="1036"/>
      <c r="BD93" s="1036"/>
      <c r="BE93" s="1036"/>
      <c r="BF93" s="1036"/>
      <c r="BG93" s="1184"/>
      <c r="BH93" s="1184"/>
      <c r="BI93" s="1184"/>
      <c r="BN93" s="1312"/>
      <c r="BO93" s="1312"/>
      <c r="BP93" s="1312"/>
      <c r="BQ93" s="1312"/>
      <c r="BR93" s="1312"/>
      <c r="BS93" s="1312"/>
      <c r="BX93" s="1145"/>
      <c r="BY93" s="1145"/>
    </row>
    <row r="94" spans="1:83" x14ac:dyDescent="0.2">
      <c r="E94" s="1144"/>
      <c r="F94" s="1144"/>
      <c r="G94" s="1144"/>
      <c r="H94" s="1183"/>
      <c r="I94" s="1183"/>
      <c r="J94" s="1183"/>
      <c r="K94" s="1183"/>
      <c r="L94" s="940"/>
      <c r="M94" s="1183"/>
      <c r="N94" s="1183"/>
      <c r="O94" s="1183"/>
      <c r="P94" s="1183"/>
      <c r="Q94" s="1183"/>
      <c r="R94" s="1183"/>
      <c r="S94" s="1183"/>
      <c r="T94" s="1183"/>
      <c r="U94" s="1183"/>
      <c r="W94" s="1183"/>
      <c r="X94" s="1183"/>
      <c r="Y94" s="1183"/>
      <c r="AA94" s="1183"/>
      <c r="AB94" s="1183"/>
      <c r="AC94" s="1183"/>
      <c r="AD94" s="1215"/>
      <c r="AH94" s="1215"/>
      <c r="AX94" s="1090"/>
      <c r="AY94" s="1090"/>
      <c r="AZ94" s="1090"/>
      <c r="BA94" s="1090"/>
      <c r="BB94" s="1090"/>
      <c r="BC94" s="1090"/>
      <c r="BD94" s="1090"/>
      <c r="BE94" s="1090"/>
      <c r="BF94" s="1090"/>
      <c r="BG94" s="1184"/>
      <c r="BH94" s="1184"/>
      <c r="BI94" s="1184"/>
      <c r="BN94" s="1312"/>
      <c r="BO94" s="1312"/>
      <c r="BP94" s="1312"/>
      <c r="BQ94" s="1312"/>
      <c r="BR94" s="1312"/>
      <c r="BS94" s="1312"/>
      <c r="BX94" s="1145"/>
      <c r="BY94" s="1145"/>
    </row>
    <row r="95" spans="1:83" x14ac:dyDescent="0.2">
      <c r="E95" s="1144"/>
      <c r="F95" s="1144"/>
      <c r="G95" s="1144"/>
      <c r="H95" s="1183"/>
      <c r="I95" s="1183"/>
      <c r="J95" s="1183"/>
      <c r="K95" s="1183"/>
      <c r="L95" s="940"/>
      <c r="M95" s="1183"/>
      <c r="N95" s="1183"/>
      <c r="O95" s="1183"/>
      <c r="P95" s="1183"/>
      <c r="Q95" s="1183"/>
      <c r="R95" s="1183"/>
      <c r="S95" s="1183"/>
      <c r="T95" s="1183"/>
      <c r="U95" s="1183"/>
      <c r="W95" s="1183"/>
      <c r="X95" s="1183"/>
      <c r="Y95" s="1183"/>
      <c r="AA95" s="1183"/>
      <c r="AB95" s="1183"/>
      <c r="AC95" s="1183"/>
      <c r="AD95" s="1215"/>
      <c r="AX95" s="1090"/>
      <c r="AY95" s="1090"/>
      <c r="AZ95" s="1090"/>
      <c r="BA95" s="1090"/>
      <c r="BB95" s="1090"/>
      <c r="BC95" s="1090"/>
      <c r="BD95" s="1090"/>
      <c r="BE95" s="1090"/>
      <c r="BF95" s="1090"/>
      <c r="BG95" s="1184"/>
      <c r="BH95" s="1184"/>
      <c r="BI95" s="1184"/>
      <c r="BX95" s="1145"/>
      <c r="BY95" s="1145"/>
    </row>
    <row r="96" spans="1:83" x14ac:dyDescent="0.2">
      <c r="E96" s="1144"/>
      <c r="F96" s="1144"/>
      <c r="G96" s="1144"/>
      <c r="H96" s="1183"/>
      <c r="I96" s="1183"/>
      <c r="J96" s="1183"/>
      <c r="K96" s="1183"/>
      <c r="L96" s="940"/>
      <c r="M96" s="1183"/>
      <c r="N96" s="1183"/>
      <c r="O96" s="1183"/>
      <c r="P96" s="1183"/>
      <c r="Q96" s="1183"/>
      <c r="R96" s="1183"/>
      <c r="S96" s="1183"/>
      <c r="T96" s="1183"/>
      <c r="U96" s="1183"/>
      <c r="W96" s="1183"/>
      <c r="X96" s="1183"/>
      <c r="Y96" s="1183"/>
      <c r="AA96" s="1183"/>
      <c r="AB96" s="1183"/>
      <c r="AC96" s="1183"/>
      <c r="AD96" s="1215"/>
      <c r="AH96" s="1215"/>
      <c r="AX96" s="1184"/>
      <c r="AY96" s="1184"/>
      <c r="AZ96" s="1184"/>
      <c r="BA96" s="1184"/>
      <c r="BB96" s="1184"/>
      <c r="BC96" s="1184"/>
      <c r="BD96" s="1184"/>
      <c r="BE96" s="1184"/>
      <c r="BF96" s="1184"/>
      <c r="BG96" s="1184"/>
      <c r="BH96" s="1184"/>
      <c r="BI96" s="1184"/>
      <c r="BJ96" s="1006"/>
      <c r="BK96" s="952"/>
      <c r="BN96" s="1312"/>
      <c r="BO96" s="1312"/>
      <c r="BP96" s="1312"/>
      <c r="BQ96" s="1312"/>
      <c r="BR96" s="1312"/>
      <c r="BS96" s="1312"/>
    </row>
    <row r="97" spans="27:71" x14ac:dyDescent="0.2">
      <c r="AA97" s="1183"/>
      <c r="AB97" s="1183"/>
      <c r="AC97" s="1183"/>
      <c r="AX97" s="1184"/>
      <c r="AY97" s="1184"/>
      <c r="AZ97" s="1184"/>
      <c r="BA97" s="1184"/>
      <c r="BB97" s="1184"/>
      <c r="BC97" s="1184"/>
      <c r="BD97" s="1184"/>
      <c r="BE97" s="1184"/>
      <c r="BF97" s="1184"/>
      <c r="BG97" s="1184"/>
      <c r="BH97" s="1184"/>
      <c r="BI97" s="1184"/>
      <c r="BN97" s="1312"/>
      <c r="BO97" s="1312"/>
      <c r="BP97" s="1312"/>
      <c r="BQ97" s="1312"/>
      <c r="BR97" s="1312"/>
      <c r="BS97" s="1312"/>
    </row>
    <row r="98" spans="27:71" x14ac:dyDescent="0.2">
      <c r="AA98" s="1183"/>
      <c r="AB98" s="1183"/>
      <c r="AC98" s="1183"/>
      <c r="AX98" s="1184"/>
      <c r="AY98" s="1184"/>
      <c r="AZ98" s="1184"/>
      <c r="BA98" s="1184"/>
      <c r="BB98" s="1184"/>
      <c r="BC98" s="1184"/>
      <c r="BD98" s="1184"/>
      <c r="BE98" s="1184"/>
      <c r="BF98" s="1184"/>
      <c r="BG98" s="1184"/>
      <c r="BH98" s="1184"/>
      <c r="BI98" s="1184"/>
      <c r="BN98" s="1312"/>
      <c r="BO98" s="1312"/>
      <c r="BP98" s="1312"/>
      <c r="BQ98" s="1312"/>
      <c r="BR98" s="1312"/>
      <c r="BS98" s="1312"/>
    </row>
    <row r="99" spans="27:71" x14ac:dyDescent="0.2">
      <c r="AA99" s="1183"/>
      <c r="AB99" s="1183"/>
      <c r="AC99" s="1183"/>
      <c r="AE99" s="1183"/>
      <c r="AF99" s="1183"/>
      <c r="AG99" s="1183"/>
      <c r="AX99" s="1184"/>
      <c r="AY99" s="1184"/>
      <c r="AZ99" s="1184"/>
      <c r="BA99" s="1184"/>
      <c r="BB99" s="1184"/>
      <c r="BC99" s="1184"/>
      <c r="BD99" s="1184"/>
      <c r="BE99" s="1184"/>
      <c r="BF99" s="1184"/>
      <c r="BG99" s="1184"/>
      <c r="BH99" s="1184"/>
      <c r="BI99" s="1184"/>
      <c r="BN99" s="1312"/>
      <c r="BO99" s="1312"/>
      <c r="BP99" s="1312"/>
      <c r="BQ99" s="1312"/>
      <c r="BR99" s="1312"/>
      <c r="BS99" s="1312"/>
    </row>
    <row r="100" spans="27:71" x14ac:dyDescent="0.2">
      <c r="AA100" s="1183"/>
      <c r="AB100" s="1183"/>
      <c r="AC100" s="1183"/>
      <c r="AE100" s="1183"/>
      <c r="AF100" s="1183"/>
      <c r="AG100" s="1183"/>
      <c r="AX100" s="1184"/>
      <c r="AY100" s="1184"/>
      <c r="AZ100" s="1184"/>
      <c r="BA100" s="1184"/>
      <c r="BB100" s="1184"/>
      <c r="BC100" s="1184"/>
      <c r="BD100" s="1184"/>
      <c r="BE100" s="1184"/>
      <c r="BF100" s="1184"/>
      <c r="BG100" s="1184"/>
      <c r="BH100" s="1184"/>
      <c r="BI100" s="1184"/>
      <c r="BN100" s="1312"/>
      <c r="BO100" s="1312"/>
      <c r="BP100" s="1312"/>
      <c r="BQ100" s="1312"/>
      <c r="BR100" s="1312"/>
      <c r="BS100" s="1312"/>
    </row>
  </sheetData>
  <mergeCells count="10">
    <mergeCell ref="A34:B34"/>
    <mergeCell ref="C56:D56"/>
    <mergeCell ref="C57:D57"/>
    <mergeCell ref="BJ57:BK57"/>
    <mergeCell ref="C10:D10"/>
    <mergeCell ref="C11:D11"/>
    <mergeCell ref="BJ11:BK11"/>
    <mergeCell ref="C69:D69"/>
    <mergeCell ref="C70:D70"/>
    <mergeCell ref="BJ70:BK70"/>
  </mergeCells>
  <conditionalFormatting sqref="A68 AY64:BF67 A76:A77 BT67:BY67 A54:A55 BX43:CA43 A44 BT38:BY38 A37 BT49:BX49 AI49:AP49 AE38:BF38 BT44:BV44 BX64:BY66 A39:A41 B37:B49 BX39:BY42 BH38:BI43 BO39:BW43 L39:BF43 K39 BN39 BM38:BM43 F39:J43">
    <cfRule type="cellIs" dxfId="65" priority="80" stopIfTrue="1" operator="equal">
      <formula>0</formula>
    </cfRule>
  </conditionalFormatting>
  <conditionalFormatting sqref="BS67 BS49 BS44 BR38:BS38">
    <cfRule type="cellIs" dxfId="64" priority="79" stopIfTrue="1" operator="equal">
      <formula>0</formula>
    </cfRule>
  </conditionalFormatting>
  <conditionalFormatting sqref="X38:AD38">
    <cfRule type="cellIs" dxfId="63" priority="78" stopIfTrue="1" operator="equal">
      <formula>0</formula>
    </cfRule>
  </conditionalFormatting>
  <conditionalFormatting sqref="BR67 BR49 BR44">
    <cfRule type="cellIs" dxfId="62" priority="76" stopIfTrue="1" operator="equal">
      <formula>0</formula>
    </cfRule>
  </conditionalFormatting>
  <conditionalFormatting sqref="V38:W38">
    <cfRule type="cellIs" dxfId="61" priority="74" stopIfTrue="1" operator="equal">
      <formula>0</formula>
    </cfRule>
  </conditionalFormatting>
  <conditionalFormatting sqref="BQ38">
    <cfRule type="cellIs" dxfId="60" priority="71" stopIfTrue="1" operator="equal">
      <formula>0</formula>
    </cfRule>
  </conditionalFormatting>
  <conditionalFormatting sqref="BQ67 BQ49 BQ44">
    <cfRule type="cellIs" dxfId="59" priority="70" stopIfTrue="1" operator="equal">
      <formula>0</formula>
    </cfRule>
  </conditionalFormatting>
  <conditionalFormatting sqref="P38:U38">
    <cfRule type="cellIs" dxfId="58" priority="62" stopIfTrue="1" operator="equal">
      <formula>0</formula>
    </cfRule>
  </conditionalFormatting>
  <conditionalFormatting sqref="BP38">
    <cfRule type="cellIs" dxfId="57" priority="60" stopIfTrue="1" operator="equal">
      <formula>0</formula>
    </cfRule>
  </conditionalFormatting>
  <conditionalFormatting sqref="BP67 BP49">
    <cfRule type="cellIs" dxfId="56" priority="59" stopIfTrue="1" operator="equal">
      <formula>0</formula>
    </cfRule>
  </conditionalFormatting>
  <conditionalFormatting sqref="R38">
    <cfRule type="cellIs" dxfId="55" priority="56" stopIfTrue="1" operator="equal">
      <formula>0</formula>
    </cfRule>
  </conditionalFormatting>
  <conditionalFormatting sqref="P38:Q38">
    <cfRule type="cellIs" dxfId="54" priority="54" stopIfTrue="1" operator="equal">
      <formula>0</formula>
    </cfRule>
  </conditionalFormatting>
  <conditionalFormatting sqref="O38">
    <cfRule type="cellIs" dxfId="53" priority="53" stopIfTrue="1" operator="equal">
      <formula>0</formula>
    </cfRule>
  </conditionalFormatting>
  <conditionalFormatting sqref="O38">
    <cfRule type="cellIs" dxfId="52" priority="51" stopIfTrue="1" operator="equal">
      <formula>0</formula>
    </cfRule>
  </conditionalFormatting>
  <conditionalFormatting sqref="BO38">
    <cfRule type="cellIs" dxfId="51" priority="50" stopIfTrue="1" operator="equal">
      <formula>0</formula>
    </cfRule>
  </conditionalFormatting>
  <conditionalFormatting sqref="BO67 BO49">
    <cfRule type="cellIs" dxfId="50" priority="49" stopIfTrue="1" operator="equal">
      <formula>0</formula>
    </cfRule>
  </conditionalFormatting>
  <conditionalFormatting sqref="L38:N38">
    <cfRule type="cellIs" dxfId="49" priority="44" stopIfTrue="1" operator="equal">
      <formula>0</formula>
    </cfRule>
  </conditionalFormatting>
  <conditionalFormatting sqref="N38">
    <cfRule type="cellIs" dxfId="48" priority="42" stopIfTrue="1" operator="equal">
      <formula>0</formula>
    </cfRule>
  </conditionalFormatting>
  <conditionalFormatting sqref="L38:M38">
    <cfRule type="cellIs" dxfId="47" priority="40" stopIfTrue="1" operator="equal">
      <formula>0</formula>
    </cfRule>
  </conditionalFormatting>
  <conditionalFormatting sqref="K38">
    <cfRule type="cellIs" dxfId="46" priority="39" stopIfTrue="1" operator="equal">
      <formula>0</formula>
    </cfRule>
  </conditionalFormatting>
  <conditionalFormatting sqref="K41:K43">
    <cfRule type="cellIs" dxfId="45" priority="38" stopIfTrue="1" operator="equal">
      <formula>0</formula>
    </cfRule>
  </conditionalFormatting>
  <conditionalFormatting sqref="K38">
    <cfRule type="cellIs" dxfId="44" priority="37" stopIfTrue="1" operator="equal">
      <formula>0</formula>
    </cfRule>
  </conditionalFormatting>
  <conditionalFormatting sqref="BN41:BN43">
    <cfRule type="cellIs" dxfId="43" priority="33" stopIfTrue="1" operator="equal">
      <formula>0</formula>
    </cfRule>
  </conditionalFormatting>
  <conditionalFormatting sqref="BN38">
    <cfRule type="cellIs" dxfId="42" priority="35" stopIfTrue="1" operator="equal">
      <formula>0</formula>
    </cfRule>
  </conditionalFormatting>
  <conditionalFormatting sqref="BN67 BN49">
    <cfRule type="cellIs" dxfId="41" priority="34" stopIfTrue="1" operator="equal">
      <formula>0</formula>
    </cfRule>
  </conditionalFormatting>
  <conditionalFormatting sqref="B63">
    <cfRule type="cellIs" dxfId="40" priority="32" stopIfTrue="1" operator="equal">
      <formula>0</formula>
    </cfRule>
  </conditionalFormatting>
  <conditionalFormatting sqref="G38 I38:J38">
    <cfRule type="cellIs" dxfId="39" priority="23" stopIfTrue="1" operator="equal">
      <formula>0</formula>
    </cfRule>
  </conditionalFormatting>
  <conditionalFormatting sqref="K40">
    <cfRule type="cellIs" dxfId="38" priority="22" stopIfTrue="1" operator="equal">
      <formula>0</formula>
    </cfRule>
  </conditionalFormatting>
  <conditionalFormatting sqref="G38 I38:J38">
    <cfRule type="cellIs" dxfId="37" priority="21" stopIfTrue="1" operator="equal">
      <formula>0</formula>
    </cfRule>
  </conditionalFormatting>
  <conditionalFormatting sqref="BN40">
    <cfRule type="cellIs" dxfId="36" priority="19" stopIfTrue="1" operator="equal">
      <formula>0</formula>
    </cfRule>
  </conditionalFormatting>
  <conditionalFormatting sqref="H38">
    <cfRule type="cellIs" dxfId="35" priority="12" stopIfTrue="1" operator="equal">
      <formula>0</formula>
    </cfRule>
  </conditionalFormatting>
  <conditionalFormatting sqref="H38">
    <cfRule type="cellIs" dxfId="34" priority="10" stopIfTrue="1" operator="equal">
      <formula>0</formula>
    </cfRule>
  </conditionalFormatting>
  <conditionalFormatting sqref="BM67 BM49">
    <cfRule type="cellIs" dxfId="33" priority="8" stopIfTrue="1" operator="equal">
      <formula>0</formula>
    </cfRule>
  </conditionalFormatting>
  <conditionalFormatting sqref="BM50:BM51 BM45:BM46">
    <cfRule type="cellIs" dxfId="32" priority="5" stopIfTrue="1" operator="equal">
      <formula>0</formula>
    </cfRule>
  </conditionalFormatting>
  <conditionalFormatting sqref="BI49">
    <cfRule type="cellIs" dxfId="31" priority="4" stopIfTrue="1" operator="equal">
      <formula>0</formula>
    </cfRule>
  </conditionalFormatting>
  <conditionalFormatting sqref="F38">
    <cfRule type="cellIs" dxfId="30" priority="3" stopIfTrue="1" operator="equal">
      <formula>0</formula>
    </cfRule>
  </conditionalFormatting>
  <conditionalFormatting sqref="F38">
    <cfRule type="cellIs" dxfId="29" priority="1" stopIfTrue="1" operator="equal">
      <formula>0</formula>
    </cfRule>
  </conditionalFormatting>
  <printOptions horizontalCentered="1" verticalCentered="1"/>
  <pageMargins left="0" right="0" top="0" bottom="0" header="0" footer="0"/>
  <pageSetup scale="60" orientation="landscape" r:id="rId1"/>
  <headerFooter alignWithMargins="0">
    <oddFooter>&amp;L&amp;F&amp;CPage 11</oddFooter>
  </headerFooter>
  <colBreaks count="1" manualBreakCount="1">
    <brk id="78" max="8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A1:CP101"/>
  <sheetViews>
    <sheetView topLeftCell="A27" zoomScale="80" zoomScaleNormal="80" workbookViewId="0">
      <selection activeCell="D52" sqref="D52"/>
    </sheetView>
  </sheetViews>
  <sheetFormatPr defaultColWidth="9.140625" defaultRowHeight="12.75" x14ac:dyDescent="0.2"/>
  <cols>
    <col min="1" max="1" width="2.7109375" style="1183" customWidth="1"/>
    <col min="2" max="2" width="52" style="1183" customWidth="1"/>
    <col min="3" max="3" width="12.28515625" style="1183" customWidth="1"/>
    <col min="4" max="4" width="9.7109375" style="1183" customWidth="1"/>
    <col min="5" max="5" width="1.5703125" style="1145" customWidth="1"/>
    <col min="6" max="6" width="10.85546875" style="1145" customWidth="1"/>
    <col min="7" max="7" width="9.28515625" style="1145" customWidth="1"/>
    <col min="8" max="9" width="10.42578125" style="1184" customWidth="1"/>
    <col min="10" max="10" width="10.7109375" style="1184" customWidth="1"/>
    <col min="11" max="11" width="9.28515625" style="1184" customWidth="1"/>
    <col min="12" max="12" width="9.28515625" style="941" customWidth="1"/>
    <col min="13" max="14" width="9.28515625" style="1184" customWidth="1"/>
    <col min="15" max="19" width="9.28515625" style="1184" hidden="1" customWidth="1"/>
    <col min="20" max="20" width="8.140625" style="1184" hidden="1" customWidth="1"/>
    <col min="21" max="21" width="9.28515625" style="1184" hidden="1" customWidth="1"/>
    <col min="22" max="22" width="9.42578125" style="1184" hidden="1" customWidth="1"/>
    <col min="23" max="23" width="9.85546875" style="1184" hidden="1" customWidth="1"/>
    <col min="24" max="24" width="10.85546875" style="1184" hidden="1" customWidth="1"/>
    <col min="25" max="25" width="9.28515625" style="1184" hidden="1" customWidth="1"/>
    <col min="26" max="26" width="9.42578125" style="1184" hidden="1" customWidth="1"/>
    <col min="27" max="29" width="9.28515625" style="1184" hidden="1" customWidth="1"/>
    <col min="30" max="30" width="9.42578125" style="1184" hidden="1" customWidth="1"/>
    <col min="31" max="33" width="9.28515625" style="1184" hidden="1" customWidth="1"/>
    <col min="34" max="35" width="9.42578125" style="1184" hidden="1" customWidth="1"/>
    <col min="36" max="37" width="9.28515625" style="1184" hidden="1" customWidth="1"/>
    <col min="38" max="39" width="9.42578125" style="1184" hidden="1" customWidth="1"/>
    <col min="40" max="47" width="9.28515625" style="1184" hidden="1" customWidth="1"/>
    <col min="48" max="49" width="9.7109375" style="1184" hidden="1" customWidth="1"/>
    <col min="50" max="58" width="9.7109375" style="1183" hidden="1" customWidth="1"/>
    <col min="59" max="59" width="2.140625" style="1184" customWidth="1"/>
    <col min="60" max="62" width="10" style="1183" hidden="1" customWidth="1"/>
    <col min="63" max="63" width="9.7109375" style="1183" hidden="1" customWidth="1"/>
    <col min="64" max="64" width="1.5703125" style="1183" hidden="1" customWidth="1"/>
    <col min="65" max="69" width="9.5703125" style="1183" customWidth="1"/>
    <col min="70" max="72" width="9.5703125" style="1183" hidden="1" customWidth="1"/>
    <col min="73" max="73" width="9.5703125" style="1144" hidden="1" customWidth="1"/>
    <col min="74" max="80" width="9.7109375" style="1144" hidden="1" customWidth="1"/>
    <col min="81" max="81" width="1.5703125" style="1144" customWidth="1"/>
    <col min="82" max="82" width="9.140625" style="1180"/>
    <col min="83" max="94" width="0" style="1180" hidden="1" customWidth="1"/>
    <col min="95" max="16384" width="9.140625" style="1180"/>
  </cols>
  <sheetData>
    <row r="1" spans="1:94" ht="6" customHeight="1" x14ac:dyDescent="0.2"/>
    <row r="5" spans="1:94" ht="18.75" customHeight="1" x14ac:dyDescent="0.2">
      <c r="A5" s="1184"/>
      <c r="B5" s="1184"/>
      <c r="C5" s="1184"/>
      <c r="D5" s="1184"/>
      <c r="AX5" s="1184"/>
      <c r="AY5" s="1184"/>
      <c r="AZ5" s="1184"/>
    </row>
    <row r="6" spans="1:94" ht="18" customHeight="1" x14ac:dyDescent="0.2">
      <c r="A6" s="1185" t="s">
        <v>358</v>
      </c>
      <c r="B6" s="1184"/>
      <c r="C6" s="1184"/>
      <c r="D6" s="1184"/>
      <c r="J6" s="1357"/>
      <c r="T6" s="1214"/>
      <c r="U6" s="1214"/>
      <c r="V6" s="1214"/>
      <c r="W6" s="1214"/>
      <c r="X6" s="1214"/>
      <c r="Y6" s="1214"/>
      <c r="Z6" s="1214"/>
      <c r="AA6" s="1214"/>
      <c r="AB6" s="1214"/>
      <c r="AC6" s="1214"/>
      <c r="AX6" s="1184"/>
      <c r="AY6" s="1184"/>
      <c r="AZ6" s="1184"/>
      <c r="BN6" s="1312"/>
      <c r="BO6" s="1312"/>
      <c r="BP6" s="1312"/>
      <c r="BQ6" s="1312"/>
      <c r="BR6" s="1312"/>
      <c r="BS6" s="1312"/>
    </row>
    <row r="7" spans="1:94" ht="18" customHeight="1" x14ac:dyDescent="0.2">
      <c r="A7" s="1186" t="s">
        <v>282</v>
      </c>
      <c r="B7" s="943"/>
      <c r="C7" s="943"/>
      <c r="D7" s="943"/>
      <c r="E7" s="899"/>
      <c r="F7" s="899"/>
      <c r="G7" s="899"/>
      <c r="H7" s="943"/>
      <c r="I7" s="943"/>
      <c r="J7" s="943"/>
      <c r="K7" s="943"/>
      <c r="L7" s="943"/>
      <c r="M7" s="943"/>
      <c r="N7" s="943"/>
      <c r="O7" s="943"/>
      <c r="P7" s="943"/>
      <c r="Q7" s="943"/>
      <c r="R7" s="943"/>
      <c r="S7" s="943"/>
      <c r="T7" s="1840"/>
      <c r="U7" s="1840"/>
      <c r="V7" s="1840"/>
      <c r="W7" s="1840"/>
      <c r="X7" s="1840"/>
      <c r="Y7" s="1840"/>
      <c r="Z7" s="1841"/>
      <c r="AA7" s="1842"/>
      <c r="AB7" s="1841"/>
      <c r="AC7" s="1841"/>
      <c r="AD7" s="943"/>
      <c r="AE7" s="943"/>
      <c r="AF7" s="943"/>
      <c r="AG7" s="943"/>
      <c r="AH7" s="943"/>
      <c r="AI7" s="943"/>
      <c r="AJ7" s="943"/>
      <c r="AK7" s="943"/>
      <c r="AL7" s="943"/>
      <c r="AM7" s="943"/>
      <c r="AN7" s="943"/>
      <c r="AO7" s="943"/>
      <c r="AP7" s="943"/>
      <c r="AQ7" s="943"/>
      <c r="AR7" s="943"/>
      <c r="AS7" s="943"/>
      <c r="AT7" s="943"/>
      <c r="AU7" s="943"/>
      <c r="AV7" s="943"/>
      <c r="AW7" s="943"/>
      <c r="AX7" s="1184"/>
      <c r="AY7" s="1184"/>
      <c r="AZ7" s="1184"/>
      <c r="BN7" s="1312"/>
      <c r="BO7" s="1312"/>
      <c r="BP7" s="1312"/>
      <c r="BQ7" s="1312"/>
      <c r="BR7" s="1312"/>
      <c r="BS7" s="1312"/>
    </row>
    <row r="8" spans="1:94" ht="15" x14ac:dyDescent="0.2">
      <c r="A8" s="944"/>
      <c r="B8" s="943"/>
      <c r="C8" s="943"/>
      <c r="D8" s="943"/>
      <c r="E8" s="899"/>
      <c r="F8" s="899"/>
      <c r="G8" s="899"/>
      <c r="H8" s="943"/>
      <c r="I8" s="943"/>
      <c r="J8" s="943"/>
      <c r="K8" s="943"/>
      <c r="L8" s="943"/>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943"/>
      <c r="AV8" s="943"/>
      <c r="AW8" s="943"/>
      <c r="AX8" s="1184"/>
      <c r="AY8" s="1184"/>
      <c r="AZ8" s="1184"/>
      <c r="BN8" s="1312"/>
      <c r="BO8" s="1312"/>
      <c r="BP8" s="1312"/>
      <c r="BQ8" s="1312"/>
      <c r="BR8" s="1312"/>
      <c r="BS8" s="1312"/>
    </row>
    <row r="9" spans="1:94" ht="9.75" customHeight="1" x14ac:dyDescent="0.2">
      <c r="A9" s="941"/>
      <c r="B9" s="941"/>
      <c r="C9" s="941"/>
      <c r="D9" s="941"/>
      <c r="E9" s="897"/>
      <c r="F9" s="897"/>
      <c r="G9" s="897"/>
      <c r="H9" s="941"/>
      <c r="I9" s="941"/>
      <c r="J9" s="941"/>
      <c r="K9" s="941"/>
      <c r="M9" s="941"/>
      <c r="N9" s="941"/>
      <c r="O9" s="941"/>
      <c r="P9" s="941"/>
      <c r="Q9" s="941"/>
      <c r="R9" s="941"/>
      <c r="S9" s="981"/>
      <c r="T9" s="981"/>
      <c r="U9" s="981"/>
      <c r="V9" s="941"/>
      <c r="W9" s="981"/>
      <c r="X9" s="981"/>
      <c r="Y9" s="981"/>
      <c r="Z9" s="941"/>
      <c r="AA9" s="981"/>
      <c r="AB9" s="981"/>
      <c r="AC9" s="981"/>
      <c r="AD9" s="941"/>
      <c r="AE9" s="981"/>
      <c r="AF9" s="981"/>
      <c r="AG9" s="981"/>
      <c r="AH9" s="941"/>
      <c r="AI9" s="981"/>
      <c r="AJ9" s="941"/>
      <c r="AK9" s="981"/>
      <c r="AL9" s="941"/>
      <c r="AM9" s="981"/>
      <c r="AN9" s="941"/>
      <c r="AO9" s="981"/>
      <c r="AP9" s="941"/>
      <c r="AQ9" s="981"/>
      <c r="AR9" s="941"/>
      <c r="AS9" s="981"/>
      <c r="AT9" s="941"/>
      <c r="AU9" s="981"/>
      <c r="AV9" s="941"/>
      <c r="AW9" s="941"/>
      <c r="AX9" s="1184"/>
      <c r="AY9" s="1184"/>
      <c r="AZ9" s="1184"/>
      <c r="BJ9" s="1217"/>
      <c r="BK9" s="1217"/>
      <c r="BZ9" s="1145"/>
      <c r="CA9" s="1145"/>
      <c r="CB9" s="1145"/>
    </row>
    <row r="10" spans="1:94" x14ac:dyDescent="0.2">
      <c r="A10" s="945" t="s">
        <v>1</v>
      </c>
      <c r="B10" s="946"/>
      <c r="C10" s="3073" t="s">
        <v>671</v>
      </c>
      <c r="D10" s="3074"/>
      <c r="E10" s="901"/>
      <c r="F10" s="2958"/>
      <c r="G10" s="902"/>
      <c r="H10" s="982"/>
      <c r="I10" s="982"/>
      <c r="J10" s="983"/>
      <c r="K10" s="982"/>
      <c r="L10" s="982"/>
      <c r="M10" s="982"/>
      <c r="N10" s="983"/>
      <c r="O10" s="982"/>
      <c r="P10" s="982"/>
      <c r="Q10" s="982"/>
      <c r="R10" s="983"/>
      <c r="S10" s="985"/>
      <c r="T10" s="982"/>
      <c r="U10" s="982"/>
      <c r="V10" s="983"/>
      <c r="W10" s="982"/>
      <c r="X10" s="982"/>
      <c r="Y10" s="982"/>
      <c r="Z10" s="983"/>
      <c r="AA10" s="982"/>
      <c r="AB10" s="982"/>
      <c r="AC10" s="982"/>
      <c r="AD10" s="983"/>
      <c r="AE10" s="982"/>
      <c r="AF10" s="982"/>
      <c r="AG10" s="982"/>
      <c r="AH10" s="983"/>
      <c r="AI10" s="984"/>
      <c r="AJ10" s="982"/>
      <c r="AK10" s="982"/>
      <c r="AL10" s="983"/>
      <c r="AM10" s="984"/>
      <c r="AN10" s="982"/>
      <c r="AO10" s="982"/>
      <c r="AP10" s="983"/>
      <c r="AQ10" s="941"/>
      <c r="AR10" s="982"/>
      <c r="AS10" s="941"/>
      <c r="AT10" s="983"/>
      <c r="AU10" s="982"/>
      <c r="AV10" s="941"/>
      <c r="AW10" s="982"/>
      <c r="AX10" s="983"/>
      <c r="AY10" s="982"/>
      <c r="AZ10" s="982"/>
      <c r="BA10" s="982"/>
      <c r="BB10" s="982"/>
      <c r="BC10" s="985"/>
      <c r="BD10" s="983"/>
      <c r="BE10" s="983"/>
      <c r="BF10" s="983"/>
      <c r="BG10" s="986"/>
      <c r="BH10" s="988" t="s">
        <v>660</v>
      </c>
      <c r="BI10" s="988"/>
      <c r="BJ10" s="988" t="s">
        <v>563</v>
      </c>
      <c r="BK10" s="989"/>
      <c r="BL10" s="990"/>
      <c r="BM10" s="991"/>
      <c r="BN10" s="991"/>
      <c r="BO10" s="991"/>
      <c r="BP10" s="991"/>
      <c r="BQ10" s="991"/>
      <c r="BR10" s="991"/>
      <c r="BS10" s="991"/>
      <c r="BT10" s="991"/>
      <c r="BU10" s="1992"/>
      <c r="BV10" s="1992"/>
      <c r="BW10" s="1992"/>
      <c r="BX10" s="1990"/>
      <c r="BY10" s="1991"/>
      <c r="BZ10" s="1992"/>
      <c r="CA10" s="1985"/>
      <c r="CB10" s="2026"/>
      <c r="CC10" s="1150"/>
    </row>
    <row r="11" spans="1:94" ht="13.5" x14ac:dyDescent="0.2">
      <c r="A11" s="945" t="s">
        <v>2</v>
      </c>
      <c r="B11" s="946"/>
      <c r="C11" s="3075" t="s">
        <v>38</v>
      </c>
      <c r="D11" s="3076"/>
      <c r="E11" s="906"/>
      <c r="F11" s="1993" t="s">
        <v>670</v>
      </c>
      <c r="G11" s="907" t="s">
        <v>558</v>
      </c>
      <c r="H11" s="992" t="s">
        <v>559</v>
      </c>
      <c r="I11" s="992" t="s">
        <v>560</v>
      </c>
      <c r="J11" s="993" t="s">
        <v>561</v>
      </c>
      <c r="K11" s="992" t="s">
        <v>508</v>
      </c>
      <c r="L11" s="992" t="s">
        <v>507</v>
      </c>
      <c r="M11" s="992" t="s">
        <v>506</v>
      </c>
      <c r="N11" s="993" t="s">
        <v>505</v>
      </c>
      <c r="O11" s="992" t="s">
        <v>382</v>
      </c>
      <c r="P11" s="992" t="s">
        <v>383</v>
      </c>
      <c r="Q11" s="992" t="s">
        <v>384</v>
      </c>
      <c r="R11" s="993" t="s">
        <v>385</v>
      </c>
      <c r="S11" s="995" t="s">
        <v>368</v>
      </c>
      <c r="T11" s="992" t="s">
        <v>367</v>
      </c>
      <c r="U11" s="992" t="s">
        <v>366</v>
      </c>
      <c r="V11" s="993" t="s">
        <v>364</v>
      </c>
      <c r="W11" s="992" t="s">
        <v>348</v>
      </c>
      <c r="X11" s="992" t="s">
        <v>349</v>
      </c>
      <c r="Y11" s="992" t="s">
        <v>350</v>
      </c>
      <c r="Z11" s="993" t="s">
        <v>351</v>
      </c>
      <c r="AA11" s="992" t="s">
        <v>315</v>
      </c>
      <c r="AB11" s="992" t="s">
        <v>314</v>
      </c>
      <c r="AC11" s="992" t="s">
        <v>313</v>
      </c>
      <c r="AD11" s="993" t="s">
        <v>311</v>
      </c>
      <c r="AE11" s="992" t="s">
        <v>270</v>
      </c>
      <c r="AF11" s="992" t="s">
        <v>271</v>
      </c>
      <c r="AG11" s="992" t="s">
        <v>272</v>
      </c>
      <c r="AH11" s="993" t="s">
        <v>273</v>
      </c>
      <c r="AI11" s="994" t="s">
        <v>223</v>
      </c>
      <c r="AJ11" s="992" t="s">
        <v>224</v>
      </c>
      <c r="AK11" s="992" t="s">
        <v>225</v>
      </c>
      <c r="AL11" s="993" t="s">
        <v>222</v>
      </c>
      <c r="AM11" s="994" t="s">
        <v>189</v>
      </c>
      <c r="AN11" s="992" t="s">
        <v>190</v>
      </c>
      <c r="AO11" s="992" t="s">
        <v>191</v>
      </c>
      <c r="AP11" s="993" t="s">
        <v>192</v>
      </c>
      <c r="AQ11" s="992" t="s">
        <v>121</v>
      </c>
      <c r="AR11" s="992" t="s">
        <v>120</v>
      </c>
      <c r="AS11" s="992" t="s">
        <v>119</v>
      </c>
      <c r="AT11" s="993" t="s">
        <v>118</v>
      </c>
      <c r="AU11" s="992" t="s">
        <v>81</v>
      </c>
      <c r="AV11" s="992" t="s">
        <v>82</v>
      </c>
      <c r="AW11" s="992" t="s">
        <v>83</v>
      </c>
      <c r="AX11" s="993" t="s">
        <v>29</v>
      </c>
      <c r="AY11" s="992" t="s">
        <v>30</v>
      </c>
      <c r="AZ11" s="992" t="s">
        <v>31</v>
      </c>
      <c r="BA11" s="992" t="s">
        <v>32</v>
      </c>
      <c r="BB11" s="992" t="s">
        <v>33</v>
      </c>
      <c r="BC11" s="995" t="s">
        <v>34</v>
      </c>
      <c r="BD11" s="993" t="s">
        <v>35</v>
      </c>
      <c r="BE11" s="993" t="s">
        <v>36</v>
      </c>
      <c r="BF11" s="993" t="s">
        <v>37</v>
      </c>
      <c r="BG11" s="996"/>
      <c r="BH11" s="992" t="s">
        <v>558</v>
      </c>
      <c r="BI11" s="992" t="s">
        <v>508</v>
      </c>
      <c r="BJ11" s="3194" t="s">
        <v>38</v>
      </c>
      <c r="BK11" s="3076"/>
      <c r="BL11" s="997"/>
      <c r="BM11" s="994" t="s">
        <v>562</v>
      </c>
      <c r="BN11" s="994" t="s">
        <v>509</v>
      </c>
      <c r="BO11" s="994" t="s">
        <v>502</v>
      </c>
      <c r="BP11" s="994" t="s">
        <v>379</v>
      </c>
      <c r="BQ11" s="995" t="s">
        <v>360</v>
      </c>
      <c r="BR11" s="995" t="s">
        <v>317</v>
      </c>
      <c r="BS11" s="994" t="s">
        <v>275</v>
      </c>
      <c r="BT11" s="994" t="s">
        <v>227</v>
      </c>
      <c r="BU11" s="1948" t="s">
        <v>123</v>
      </c>
      <c r="BV11" s="1948" t="s">
        <v>122</v>
      </c>
      <c r="BW11" s="1948" t="s">
        <v>42</v>
      </c>
      <c r="BX11" s="1948" t="s">
        <v>39</v>
      </c>
      <c r="BY11" s="1993" t="s">
        <v>40</v>
      </c>
      <c r="BZ11" s="1993" t="s">
        <v>142</v>
      </c>
      <c r="CA11" s="1993" t="s">
        <v>143</v>
      </c>
      <c r="CB11" s="1948" t="s">
        <v>144</v>
      </c>
      <c r="CC11" s="1150"/>
      <c r="CD11" s="1315"/>
      <c r="CE11" s="2737" t="s">
        <v>533</v>
      </c>
      <c r="CF11" s="2738"/>
      <c r="CG11" s="2738"/>
      <c r="CH11" s="2738"/>
      <c r="CI11" s="1315"/>
      <c r="CJ11" s="2738" t="s">
        <v>534</v>
      </c>
      <c r="CK11" s="2738"/>
      <c r="CM11" s="2739" t="s">
        <v>535</v>
      </c>
      <c r="CN11" s="2739"/>
      <c r="CO11" s="2739"/>
      <c r="CP11" s="2739"/>
    </row>
    <row r="12" spans="1:94" x14ac:dyDescent="0.2">
      <c r="A12" s="945"/>
      <c r="B12" s="946"/>
      <c r="C12" s="2784"/>
      <c r="D12" s="1187"/>
      <c r="E12" s="2938"/>
      <c r="F12" s="1997" t="s">
        <v>141</v>
      </c>
      <c r="G12" s="1151"/>
      <c r="H12" s="1224"/>
      <c r="I12" s="1224"/>
      <c r="J12" s="1225"/>
      <c r="K12" s="1224"/>
      <c r="L12" s="1224"/>
      <c r="M12" s="1224"/>
      <c r="N12" s="1225"/>
      <c r="O12" s="1224"/>
      <c r="P12" s="1224"/>
      <c r="Q12" s="1224"/>
      <c r="R12" s="1225"/>
      <c r="S12" s="1228"/>
      <c r="T12" s="1224"/>
      <c r="U12" s="1224"/>
      <c r="V12" s="1225"/>
      <c r="W12" s="1224"/>
      <c r="X12" s="1224"/>
      <c r="Y12" s="1224"/>
      <c r="Z12" s="1225"/>
      <c r="AA12" s="1224"/>
      <c r="AB12" s="1224"/>
      <c r="AC12" s="1224"/>
      <c r="AD12" s="1225"/>
      <c r="AE12" s="1224"/>
      <c r="AF12" s="1224"/>
      <c r="AG12" s="1224"/>
      <c r="AH12" s="1225"/>
      <c r="AI12" s="1226"/>
      <c r="AJ12" s="1224"/>
      <c r="AK12" s="1224"/>
      <c r="AL12" s="1225"/>
      <c r="AM12" s="1226"/>
      <c r="AN12" s="1224"/>
      <c r="AO12" s="1224"/>
      <c r="AP12" s="1225"/>
      <c r="AQ12" s="1226"/>
      <c r="AR12" s="1224"/>
      <c r="AS12" s="1224"/>
      <c r="AT12" s="1225"/>
      <c r="AU12" s="990"/>
      <c r="AV12" s="990"/>
      <c r="AW12" s="990"/>
      <c r="AX12" s="1227"/>
      <c r="AY12" s="990"/>
      <c r="AZ12" s="990"/>
      <c r="BA12" s="990"/>
      <c r="BB12" s="990"/>
      <c r="BC12" s="996"/>
      <c r="BD12" s="1227"/>
      <c r="BE12" s="1227"/>
      <c r="BF12" s="1227"/>
      <c r="BG12" s="996"/>
      <c r="BH12" s="1224"/>
      <c r="BI12" s="1224"/>
      <c r="BJ12" s="982"/>
      <c r="BK12" s="983"/>
      <c r="BL12" s="997"/>
      <c r="BM12" s="1226"/>
      <c r="BN12" s="1226"/>
      <c r="BO12" s="1226"/>
      <c r="BP12" s="1226"/>
      <c r="BQ12" s="1228"/>
      <c r="BR12" s="1228"/>
      <c r="BS12" s="1226"/>
      <c r="BT12" s="1226"/>
      <c r="BU12" s="1997"/>
      <c r="BV12" s="2027" t="s">
        <v>241</v>
      </c>
      <c r="BW12" s="2027" t="s">
        <v>241</v>
      </c>
      <c r="BX12" s="2027" t="s">
        <v>241</v>
      </c>
      <c r="BY12" s="2028" t="s">
        <v>241</v>
      </c>
      <c r="BZ12" s="901"/>
      <c r="CA12" s="901"/>
      <c r="CB12" s="2161"/>
      <c r="CC12" s="905"/>
      <c r="CD12" s="2568"/>
      <c r="CE12" s="2568"/>
      <c r="CF12" s="1315"/>
      <c r="CG12" s="1315"/>
      <c r="CH12" s="1315"/>
      <c r="CP12" s="2740"/>
    </row>
    <row r="13" spans="1:94" ht="12.75" customHeight="1" x14ac:dyDescent="0.2">
      <c r="A13" s="947" t="s">
        <v>59</v>
      </c>
      <c r="B13" s="948"/>
      <c r="C13" s="2438"/>
      <c r="D13" s="1059"/>
      <c r="E13" s="2529"/>
      <c r="F13" s="921"/>
      <c r="G13" s="900"/>
      <c r="H13" s="946"/>
      <c r="I13" s="946"/>
      <c r="J13" s="1059"/>
      <c r="K13" s="946"/>
      <c r="L13" s="946"/>
      <c r="M13" s="946"/>
      <c r="N13" s="1059"/>
      <c r="O13" s="946"/>
      <c r="P13" s="946"/>
      <c r="Q13" s="946"/>
      <c r="R13" s="1059"/>
      <c r="S13" s="1034"/>
      <c r="T13" s="946"/>
      <c r="U13" s="946"/>
      <c r="V13" s="1059"/>
      <c r="W13" s="946"/>
      <c r="X13" s="946"/>
      <c r="Y13" s="946"/>
      <c r="Z13" s="1059"/>
      <c r="AA13" s="946"/>
      <c r="AB13" s="946"/>
      <c r="AC13" s="946"/>
      <c r="AD13" s="1059"/>
      <c r="AE13" s="946"/>
      <c r="AF13" s="946"/>
      <c r="AG13" s="946"/>
      <c r="AH13" s="1059"/>
      <c r="AI13" s="2438"/>
      <c r="AJ13" s="946"/>
      <c r="AK13" s="946"/>
      <c r="AL13" s="1059"/>
      <c r="AM13" s="946"/>
      <c r="AN13" s="946"/>
      <c r="AO13" s="946"/>
      <c r="AP13" s="1059"/>
      <c r="AQ13" s="946"/>
      <c r="AR13" s="946"/>
      <c r="AS13" s="946"/>
      <c r="AT13" s="1059"/>
      <c r="AU13" s="946"/>
      <c r="AV13" s="946"/>
      <c r="AW13" s="946"/>
      <c r="AX13" s="1059"/>
      <c r="AY13" s="2438"/>
      <c r="AZ13" s="946"/>
      <c r="BA13" s="946"/>
      <c r="BB13" s="941"/>
      <c r="BC13" s="986"/>
      <c r="BD13" s="950"/>
      <c r="BE13" s="950"/>
      <c r="BF13" s="950"/>
      <c r="BG13" s="1034"/>
      <c r="BH13" s="946"/>
      <c r="BI13" s="946"/>
      <c r="BJ13" s="946"/>
      <c r="BK13" s="1059"/>
      <c r="BL13" s="946"/>
      <c r="BM13" s="1034"/>
      <c r="BN13" s="1034"/>
      <c r="BO13" s="1034"/>
      <c r="BP13" s="1034"/>
      <c r="BQ13" s="1034"/>
      <c r="BR13" s="1034"/>
      <c r="BS13" s="1034"/>
      <c r="BT13" s="1034"/>
      <c r="BU13" s="921"/>
      <c r="BV13" s="921"/>
      <c r="BW13" s="921"/>
      <c r="BX13" s="2530"/>
      <c r="BY13" s="921"/>
      <c r="BZ13" s="2164"/>
      <c r="CA13" s="2164"/>
      <c r="CB13" s="2165"/>
      <c r="CC13" s="905"/>
      <c r="CD13" s="2568"/>
      <c r="CE13" s="2568"/>
      <c r="CF13" s="1315"/>
      <c r="CG13" s="1315"/>
      <c r="CH13" s="1315"/>
      <c r="CP13" s="2734"/>
    </row>
    <row r="14" spans="1:94" ht="12.75" customHeight="1" x14ac:dyDescent="0.2">
      <c r="A14" s="946"/>
      <c r="B14" s="954" t="s">
        <v>251</v>
      </c>
      <c r="C14" s="957">
        <v>6136</v>
      </c>
      <c r="D14" s="1035">
        <v>9.3270706978582391E-2</v>
      </c>
      <c r="E14" s="922"/>
      <c r="F14" s="2015">
        <v>71923</v>
      </c>
      <c r="G14" s="1159">
        <v>63494</v>
      </c>
      <c r="H14" s="1205">
        <v>61777</v>
      </c>
      <c r="I14" s="1205">
        <v>63927</v>
      </c>
      <c r="J14" s="1409">
        <v>65787</v>
      </c>
      <c r="K14" s="1205">
        <v>64923</v>
      </c>
      <c r="L14" s="1205">
        <v>60945</v>
      </c>
      <c r="M14" s="1205">
        <v>37482</v>
      </c>
      <c r="N14" s="1409">
        <v>38033</v>
      </c>
      <c r="O14" s="1205">
        <v>33065</v>
      </c>
      <c r="P14" s="1205">
        <v>34549</v>
      </c>
      <c r="Q14" s="1205">
        <v>33958</v>
      </c>
      <c r="R14" s="1245">
        <v>33247</v>
      </c>
      <c r="S14" s="1413">
        <v>34913</v>
      </c>
      <c r="T14" s="1205">
        <v>35040</v>
      </c>
      <c r="U14" s="1205">
        <v>34039</v>
      </c>
      <c r="V14" s="1245">
        <v>34367</v>
      </c>
      <c r="W14" s="1205">
        <v>35672</v>
      </c>
      <c r="X14" s="1205">
        <v>29965</v>
      </c>
      <c r="Y14" s="1205">
        <v>29786</v>
      </c>
      <c r="Z14" s="1245">
        <v>30128</v>
      </c>
      <c r="AA14" s="1205">
        <v>33220</v>
      </c>
      <c r="AB14" s="1205">
        <v>27018</v>
      </c>
      <c r="AC14" s="1205">
        <v>25830</v>
      </c>
      <c r="AD14" s="1245">
        <v>26978</v>
      </c>
      <c r="AE14" s="1205">
        <v>26706</v>
      </c>
      <c r="AF14" s="1205">
        <v>24792</v>
      </c>
      <c r="AG14" s="1205">
        <v>20672</v>
      </c>
      <c r="AH14" s="1245">
        <v>19587</v>
      </c>
      <c r="AI14" s="1370">
        <v>1987</v>
      </c>
      <c r="AJ14" s="1205"/>
      <c r="AK14" s="1205"/>
      <c r="AL14" s="1245"/>
      <c r="AM14" s="1205"/>
      <c r="AN14" s="1205"/>
      <c r="AO14" s="1205"/>
      <c r="AP14" s="1245"/>
      <c r="AQ14" s="1205">
        <v>0</v>
      </c>
      <c r="AR14" s="1230"/>
      <c r="AS14" s="1230"/>
      <c r="AT14" s="1231"/>
      <c r="AU14" s="1230"/>
      <c r="AV14" s="1230"/>
      <c r="AW14" s="1230"/>
      <c r="AX14" s="1231"/>
      <c r="AY14" s="1209"/>
      <c r="AZ14" s="1259"/>
      <c r="BA14" s="1259"/>
      <c r="BB14" s="1007"/>
      <c r="BC14" s="1261"/>
      <c r="BD14" s="1260"/>
      <c r="BE14" s="1260"/>
      <c r="BF14" s="1260"/>
      <c r="BG14" s="1034"/>
      <c r="BH14" s="1262">
        <v>254985</v>
      </c>
      <c r="BI14" s="1007">
        <v>201383</v>
      </c>
      <c r="BJ14" s="1006">
        <v>53602</v>
      </c>
      <c r="BK14" s="1300">
        <v>0.26616943833392093</v>
      </c>
      <c r="BL14" s="1201"/>
      <c r="BM14" s="2527">
        <v>254985</v>
      </c>
      <c r="BN14" s="2527">
        <v>201383</v>
      </c>
      <c r="BO14" s="1668">
        <v>134819</v>
      </c>
      <c r="BP14" s="2231">
        <v>138359</v>
      </c>
      <c r="BQ14" s="2527">
        <v>125551</v>
      </c>
      <c r="BR14" s="2527">
        <v>113046</v>
      </c>
      <c r="BS14" s="1367">
        <v>91757</v>
      </c>
      <c r="BT14" s="1367">
        <v>1987</v>
      </c>
      <c r="BU14" s="2015"/>
      <c r="BV14" s="2015"/>
      <c r="BW14" s="2015"/>
      <c r="BX14" s="2015"/>
      <c r="BY14" s="1317"/>
      <c r="BZ14" s="2166"/>
      <c r="CA14" s="2166"/>
      <c r="CB14" s="2166"/>
      <c r="CC14" s="900"/>
      <c r="CD14" s="934"/>
      <c r="CE14" s="2728">
        <v>26396</v>
      </c>
      <c r="CF14" s="1180">
        <v>0.76401632464036584</v>
      </c>
      <c r="CG14" s="1180">
        <v>-20260</v>
      </c>
      <c r="CH14" s="1180">
        <v>-0.67074561766178342</v>
      </c>
      <c r="CJ14" s="1920">
        <v>136460</v>
      </c>
      <c r="CK14" s="1315">
        <v>118525</v>
      </c>
      <c r="CL14" s="1920"/>
      <c r="CM14" s="1315">
        <v>53602</v>
      </c>
      <c r="CN14" s="1315">
        <v>0.26616943833392093</v>
      </c>
      <c r="CO14" s="1315">
        <v>0</v>
      </c>
      <c r="CP14" s="1180">
        <v>0</v>
      </c>
    </row>
    <row r="15" spans="1:94" ht="12.75" customHeight="1" x14ac:dyDescent="0.2">
      <c r="A15" s="948"/>
      <c r="B15" s="946"/>
      <c r="C15" s="1189">
        <v>6136</v>
      </c>
      <c r="D15" s="1190">
        <v>9.3270706978582391E-2</v>
      </c>
      <c r="E15" s="922"/>
      <c r="F15" s="2959">
        <v>71923</v>
      </c>
      <c r="G15" s="1158">
        <v>63494</v>
      </c>
      <c r="H15" s="1238">
        <v>61777</v>
      </c>
      <c r="I15" s="1238">
        <v>63927</v>
      </c>
      <c r="J15" s="1239">
        <v>65787</v>
      </c>
      <c r="K15" s="1238">
        <v>64923</v>
      </c>
      <c r="L15" s="1238">
        <v>60945</v>
      </c>
      <c r="M15" s="1238">
        <v>37482</v>
      </c>
      <c r="N15" s="1239">
        <v>38033</v>
      </c>
      <c r="O15" s="1238">
        <v>33065</v>
      </c>
      <c r="P15" s="1238">
        <v>34549</v>
      </c>
      <c r="Q15" s="1238">
        <v>33958</v>
      </c>
      <c r="R15" s="1240">
        <v>33247</v>
      </c>
      <c r="S15" s="1944">
        <v>34913</v>
      </c>
      <c r="T15" s="1238">
        <v>35040</v>
      </c>
      <c r="U15" s="1238">
        <v>34039</v>
      </c>
      <c r="V15" s="1240">
        <v>34367</v>
      </c>
      <c r="W15" s="1238">
        <v>35672</v>
      </c>
      <c r="X15" s="1238">
        <v>29965</v>
      </c>
      <c r="Y15" s="1238">
        <v>29786</v>
      </c>
      <c r="Z15" s="1240">
        <v>30128</v>
      </c>
      <c r="AA15" s="1238">
        <v>33220</v>
      </c>
      <c r="AB15" s="1238">
        <v>27018</v>
      </c>
      <c r="AC15" s="1238">
        <v>25830</v>
      </c>
      <c r="AD15" s="1240">
        <v>26978</v>
      </c>
      <c r="AE15" s="1238">
        <v>26706</v>
      </c>
      <c r="AF15" s="1238">
        <v>24792</v>
      </c>
      <c r="AG15" s="1238">
        <v>20672</v>
      </c>
      <c r="AH15" s="1240">
        <v>19587</v>
      </c>
      <c r="AI15" s="1825">
        <v>1987</v>
      </c>
      <c r="AJ15" s="1847"/>
      <c r="AK15" s="1847"/>
      <c r="AL15" s="1277"/>
      <c r="AM15" s="1401"/>
      <c r="AN15" s="1395"/>
      <c r="AO15" s="1395"/>
      <c r="AP15" s="1395"/>
      <c r="AQ15" s="1238">
        <v>54990</v>
      </c>
      <c r="AR15" s="1238">
        <v>51733</v>
      </c>
      <c r="AS15" s="1238">
        <v>40138</v>
      </c>
      <c r="AT15" s="1240">
        <v>40185</v>
      </c>
      <c r="AU15" s="1238">
        <v>37255</v>
      </c>
      <c r="AV15" s="1238">
        <v>33532</v>
      </c>
      <c r="AW15" s="1238">
        <v>43844</v>
      </c>
      <c r="AX15" s="1240">
        <v>57853</v>
      </c>
      <c r="AY15" s="1384">
        <v>54463</v>
      </c>
      <c r="AZ15" s="1266">
        <v>61166</v>
      </c>
      <c r="BA15" s="1266">
        <v>57415</v>
      </c>
      <c r="BB15" s="1266">
        <v>76083</v>
      </c>
      <c r="BC15" s="1243">
        <v>75876</v>
      </c>
      <c r="BD15" s="1240">
        <v>68831</v>
      </c>
      <c r="BE15" s="1240">
        <v>55626</v>
      </c>
      <c r="BF15" s="1240">
        <v>72286</v>
      </c>
      <c r="BG15" s="1034"/>
      <c r="BH15" s="1238">
        <v>254985</v>
      </c>
      <c r="BI15" s="1826">
        <v>201383</v>
      </c>
      <c r="BJ15" s="1395">
        <v>53602</v>
      </c>
      <c r="BK15" s="1190">
        <v>0.26616943833392093</v>
      </c>
      <c r="BL15" s="1201"/>
      <c r="BM15" s="2538">
        <v>254985</v>
      </c>
      <c r="BN15" s="1386">
        <v>201383</v>
      </c>
      <c r="BO15" s="1394">
        <v>134819</v>
      </c>
      <c r="BP15" s="1386">
        <v>138359</v>
      </c>
      <c r="BQ15" s="1386">
        <v>125551</v>
      </c>
      <c r="BR15" s="1386">
        <v>113046</v>
      </c>
      <c r="BS15" s="1386">
        <v>91757</v>
      </c>
      <c r="BT15" s="1386">
        <v>1987</v>
      </c>
      <c r="BU15" s="2036"/>
      <c r="BV15" s="2036"/>
      <c r="BW15" s="2036"/>
      <c r="BX15" s="2036"/>
      <c r="BY15" s="2032">
        <v>272619</v>
      </c>
      <c r="BZ15" s="2167">
        <v>225194</v>
      </c>
      <c r="CA15" s="2167">
        <v>178176</v>
      </c>
      <c r="CB15" s="2167">
        <v>175983</v>
      </c>
      <c r="CC15" s="900"/>
      <c r="CD15" s="934"/>
      <c r="CE15" s="2568"/>
      <c r="CG15" s="1315"/>
    </row>
    <row r="16" spans="1:94" ht="12.75" customHeight="1" x14ac:dyDescent="0.2">
      <c r="A16" s="947" t="s">
        <v>5</v>
      </c>
      <c r="B16" s="946"/>
      <c r="C16" s="957"/>
      <c r="D16" s="1035"/>
      <c r="E16" s="922"/>
      <c r="F16" s="2222"/>
      <c r="G16" s="2967"/>
      <c r="H16" s="2909"/>
      <c r="I16" s="2909"/>
      <c r="J16" s="2910"/>
      <c r="K16" s="1230"/>
      <c r="L16" s="1230"/>
      <c r="M16" s="1230"/>
      <c r="N16" s="1258"/>
      <c r="O16" s="1230"/>
      <c r="P16" s="1230"/>
      <c r="Q16" s="1230"/>
      <c r="R16" s="1231"/>
      <c r="S16" s="1930"/>
      <c r="T16" s="1230"/>
      <c r="U16" s="1230"/>
      <c r="V16" s="1231"/>
      <c r="W16" s="1230"/>
      <c r="X16" s="1230"/>
      <c r="Y16" s="1230"/>
      <c r="Z16" s="1231"/>
      <c r="AA16" s="1230"/>
      <c r="AB16" s="1230"/>
      <c r="AC16" s="1230"/>
      <c r="AD16" s="1231"/>
      <c r="AE16" s="1230"/>
      <c r="AF16" s="1230"/>
      <c r="AG16" s="1230"/>
      <c r="AH16" s="1231"/>
      <c r="AI16" s="1370"/>
      <c r="AJ16" s="1230"/>
      <c r="AK16" s="1230"/>
      <c r="AL16" s="1231"/>
      <c r="AM16" s="1230"/>
      <c r="AN16" s="1230"/>
      <c r="AO16" s="1230"/>
      <c r="AP16" s="1231"/>
      <c r="AQ16" s="1230"/>
      <c r="AR16" s="1230"/>
      <c r="AS16" s="1230"/>
      <c r="AT16" s="1231"/>
      <c r="AU16" s="1230"/>
      <c r="AV16" s="1230"/>
      <c r="AW16" s="1230"/>
      <c r="AX16" s="1231"/>
      <c r="AY16" s="1196"/>
      <c r="AZ16" s="1270"/>
      <c r="BA16" s="1270"/>
      <c r="BB16" s="1270"/>
      <c r="BC16" s="1237"/>
      <c r="BD16" s="1231"/>
      <c r="BE16" s="1231"/>
      <c r="BF16" s="1231"/>
      <c r="BG16" s="1034"/>
      <c r="BH16" s="1262"/>
      <c r="BI16" s="1007"/>
      <c r="BJ16" s="1006"/>
      <c r="BK16" s="1035"/>
      <c r="BL16" s="1201"/>
      <c r="BM16" s="2903"/>
      <c r="BN16" s="1412"/>
      <c r="BO16" s="2531"/>
      <c r="BP16" s="1412"/>
      <c r="BQ16" s="1412"/>
      <c r="BR16" s="1412"/>
      <c r="BS16" s="1412"/>
      <c r="BT16" s="1412"/>
      <c r="BU16" s="2532"/>
      <c r="BV16" s="2532"/>
      <c r="BW16" s="2532"/>
      <c r="BX16" s="2015"/>
      <c r="BY16" s="1317"/>
      <c r="BZ16" s="2166"/>
      <c r="CA16" s="2166"/>
      <c r="CB16" s="2166"/>
      <c r="CC16" s="900"/>
      <c r="CD16" s="934"/>
      <c r="CE16" s="2568"/>
      <c r="CG16" s="1315"/>
    </row>
    <row r="17" spans="1:94" ht="12.75" hidden="1" customHeight="1" x14ac:dyDescent="0.2">
      <c r="A17" s="947"/>
      <c r="B17" s="946" t="s">
        <v>292</v>
      </c>
      <c r="C17" s="957">
        <v>360</v>
      </c>
      <c r="D17" s="1035">
        <v>1.4065796671094788E-2</v>
      </c>
      <c r="E17" s="922"/>
      <c r="F17" s="2223">
        <v>25954</v>
      </c>
      <c r="G17" s="1155">
        <v>21637</v>
      </c>
      <c r="H17" s="1230">
        <v>21340</v>
      </c>
      <c r="I17" s="1230">
        <v>23415</v>
      </c>
      <c r="J17" s="1258">
        <v>25594</v>
      </c>
      <c r="K17" s="1230">
        <v>25297</v>
      </c>
      <c r="L17" s="1230">
        <v>22777</v>
      </c>
      <c r="M17" s="1230">
        <v>13230</v>
      </c>
      <c r="N17" s="1258">
        <v>11918</v>
      </c>
      <c r="O17" s="1230">
        <v>11116</v>
      </c>
      <c r="P17" s="1230">
        <v>11181</v>
      </c>
      <c r="Q17" s="1230">
        <v>11263</v>
      </c>
      <c r="R17" s="1231">
        <v>12195</v>
      </c>
      <c r="S17" s="1930">
        <v>13021</v>
      </c>
      <c r="T17" s="1230">
        <v>12009</v>
      </c>
      <c r="U17" s="1230">
        <v>11536</v>
      </c>
      <c r="V17" s="1231">
        <v>12006</v>
      </c>
      <c r="W17" s="1230">
        <v>12797</v>
      </c>
      <c r="X17" s="1230">
        <v>10473</v>
      </c>
      <c r="Y17" s="1230">
        <v>10397</v>
      </c>
      <c r="Z17" s="1231">
        <v>10506</v>
      </c>
      <c r="AA17" s="1230">
        <v>11009</v>
      </c>
      <c r="AB17" s="1230">
        <v>9317</v>
      </c>
      <c r="AC17" s="1230">
        <v>8787</v>
      </c>
      <c r="AD17" s="1231">
        <v>9406</v>
      </c>
      <c r="AE17" s="1230">
        <v>9197</v>
      </c>
      <c r="AF17" s="1230">
        <v>9305</v>
      </c>
      <c r="AG17" s="1230">
        <v>7682</v>
      </c>
      <c r="AH17" s="1231">
        <v>7353</v>
      </c>
      <c r="AI17" s="1370">
        <v>683</v>
      </c>
      <c r="AJ17" s="1230"/>
      <c r="AK17" s="1230"/>
      <c r="AL17" s="1231"/>
      <c r="AM17" s="1230"/>
      <c r="AN17" s="1230"/>
      <c r="AO17" s="1230"/>
      <c r="AP17" s="1270"/>
      <c r="AQ17" s="1230"/>
      <c r="AR17" s="1230"/>
      <c r="AS17" s="1230"/>
      <c r="AT17" s="1231"/>
      <c r="AU17" s="1230"/>
      <c r="AV17" s="1230"/>
      <c r="AW17" s="1230"/>
      <c r="AX17" s="1231"/>
      <c r="AY17" s="1196"/>
      <c r="AZ17" s="1270"/>
      <c r="BA17" s="1270"/>
      <c r="BB17" s="1270"/>
      <c r="BC17" s="1237"/>
      <c r="BD17" s="1231"/>
      <c r="BE17" s="1231"/>
      <c r="BF17" s="1231"/>
      <c r="BG17" s="1034"/>
      <c r="BH17" s="1298">
        <v>91986</v>
      </c>
      <c r="BI17" s="1007">
        <v>73222</v>
      </c>
      <c r="BJ17" s="1006">
        <v>18764</v>
      </c>
      <c r="BK17" s="1035">
        <v>0.25626177924667448</v>
      </c>
      <c r="BL17" s="1201"/>
      <c r="BM17" s="2527">
        <v>91986</v>
      </c>
      <c r="BN17" s="2527">
        <v>73222</v>
      </c>
      <c r="BO17" s="1668">
        <v>45755</v>
      </c>
      <c r="BP17" s="2231">
        <v>48572</v>
      </c>
      <c r="BQ17" s="2527">
        <v>44173</v>
      </c>
      <c r="BR17" s="2527">
        <v>38519</v>
      </c>
      <c r="BS17" s="1367">
        <v>33537</v>
      </c>
      <c r="BT17" s="1367">
        <v>683</v>
      </c>
      <c r="BU17" s="2532"/>
      <c r="BV17" s="2532"/>
      <c r="BW17" s="2532"/>
      <c r="BX17" s="2015"/>
      <c r="BY17" s="1317"/>
      <c r="BZ17" s="2166"/>
      <c r="CA17" s="2166"/>
      <c r="CB17" s="2166"/>
      <c r="CC17" s="900"/>
      <c r="CD17" s="934"/>
      <c r="CE17" s="2728">
        <v>11596</v>
      </c>
      <c r="CF17" s="1180">
        <v>1.0371165369823809</v>
      </c>
      <c r="CG17" s="1180">
        <v>-11236</v>
      </c>
      <c r="CH17" s="1180">
        <v>-1.0230507403112861</v>
      </c>
      <c r="CJ17" s="1920">
        <v>47925</v>
      </c>
      <c r="CK17" s="1315">
        <v>44061</v>
      </c>
      <c r="CL17" s="1920"/>
      <c r="CM17" s="1315">
        <v>18764</v>
      </c>
      <c r="CN17" s="1315">
        <v>0.25626177924667448</v>
      </c>
      <c r="CO17" s="1315">
        <v>0</v>
      </c>
      <c r="CP17" s="1180">
        <v>0</v>
      </c>
    </row>
    <row r="18" spans="1:94" ht="12.75" hidden="1" customHeight="1" x14ac:dyDescent="0.2">
      <c r="A18" s="947"/>
      <c r="B18" s="946" t="s">
        <v>293</v>
      </c>
      <c r="C18" s="1191">
        <v>1086</v>
      </c>
      <c r="D18" s="1192" t="s">
        <v>41</v>
      </c>
      <c r="E18" s="922"/>
      <c r="F18" s="2240">
        <v>1387</v>
      </c>
      <c r="G18" s="1161">
        <v>1740</v>
      </c>
      <c r="H18" s="1250">
        <v>1020</v>
      </c>
      <c r="I18" s="1250">
        <v>958</v>
      </c>
      <c r="J18" s="2850">
        <v>301</v>
      </c>
      <c r="K18" s="1250">
        <v>1608</v>
      </c>
      <c r="L18" s="1250">
        <v>1135</v>
      </c>
      <c r="M18" s="1250">
        <v>660</v>
      </c>
      <c r="N18" s="2850">
        <v>678</v>
      </c>
      <c r="O18" s="1250">
        <v>711</v>
      </c>
      <c r="P18" s="1250">
        <v>258</v>
      </c>
      <c r="Q18" s="1250">
        <v>537</v>
      </c>
      <c r="R18" s="1251">
        <v>378</v>
      </c>
      <c r="S18" s="1931">
        <v>400</v>
      </c>
      <c r="T18" s="1250">
        <v>415</v>
      </c>
      <c r="U18" s="1250">
        <v>399</v>
      </c>
      <c r="V18" s="1251">
        <v>360</v>
      </c>
      <c r="W18" s="1250">
        <v>362</v>
      </c>
      <c r="X18" s="1250">
        <v>289</v>
      </c>
      <c r="Y18" s="1250">
        <v>274</v>
      </c>
      <c r="Z18" s="1251">
        <v>309</v>
      </c>
      <c r="AA18" s="1250">
        <v>393</v>
      </c>
      <c r="AB18" s="1250">
        <v>301</v>
      </c>
      <c r="AC18" s="1250">
        <v>345</v>
      </c>
      <c r="AD18" s="1251">
        <v>581</v>
      </c>
      <c r="AE18" s="1250">
        <v>73</v>
      </c>
      <c r="AF18" s="1250">
        <v>374</v>
      </c>
      <c r="AG18" s="1250">
        <v>409</v>
      </c>
      <c r="AH18" s="1251">
        <v>387</v>
      </c>
      <c r="AI18" s="1383">
        <v>284</v>
      </c>
      <c r="AJ18" s="1250"/>
      <c r="AK18" s="1250"/>
      <c r="AL18" s="1251"/>
      <c r="AM18" s="1250"/>
      <c r="AN18" s="1250"/>
      <c r="AO18" s="1250"/>
      <c r="AP18" s="1270"/>
      <c r="AQ18" s="1230"/>
      <c r="AR18" s="1230"/>
      <c r="AS18" s="1230"/>
      <c r="AT18" s="1231"/>
      <c r="AU18" s="1230"/>
      <c r="AV18" s="1230"/>
      <c r="AW18" s="1230"/>
      <c r="AX18" s="1231"/>
      <c r="AY18" s="1196"/>
      <c r="AZ18" s="1270"/>
      <c r="BA18" s="1270"/>
      <c r="BB18" s="1270"/>
      <c r="BC18" s="1237"/>
      <c r="BD18" s="1231"/>
      <c r="BE18" s="1231"/>
      <c r="BF18" s="1231"/>
      <c r="BG18" s="1034"/>
      <c r="BH18" s="1305">
        <v>4019</v>
      </c>
      <c r="BI18" s="1308">
        <v>4081</v>
      </c>
      <c r="BJ18" s="1303">
        <v>-62</v>
      </c>
      <c r="BK18" s="1192">
        <v>-1.5192354814996324E-2</v>
      </c>
      <c r="BL18" s="1201"/>
      <c r="BM18" s="2524">
        <v>4019</v>
      </c>
      <c r="BN18" s="2524">
        <v>4081</v>
      </c>
      <c r="BO18" s="2533">
        <v>1884</v>
      </c>
      <c r="BP18" s="2524">
        <v>1574</v>
      </c>
      <c r="BQ18" s="2524">
        <v>1234</v>
      </c>
      <c r="BR18" s="2524">
        <v>1620</v>
      </c>
      <c r="BS18" s="1380">
        <v>1243</v>
      </c>
      <c r="BT18" s="1380">
        <v>284</v>
      </c>
      <c r="BU18" s="2534"/>
      <c r="BV18" s="2534"/>
      <c r="BW18" s="2534"/>
      <c r="BX18" s="2017"/>
      <c r="BY18" s="1317"/>
      <c r="BZ18" s="2166"/>
      <c r="CA18" s="2166"/>
      <c r="CB18" s="2166"/>
      <c r="CC18" s="900"/>
      <c r="CD18" s="934"/>
      <c r="CE18" s="2728">
        <v>877</v>
      </c>
      <c r="CF18" s="1180">
        <v>3.3992248062015502</v>
      </c>
      <c r="CG18" s="1180">
        <v>209</v>
      </c>
      <c r="CH18" s="1180" t="e">
        <v>#VALUE!</v>
      </c>
      <c r="CJ18" s="1920">
        <v>2473</v>
      </c>
      <c r="CK18" s="1315">
        <v>1546</v>
      </c>
      <c r="CL18" s="1920"/>
      <c r="CM18" s="1315">
        <v>-62</v>
      </c>
      <c r="CN18" s="1315">
        <v>-1.5192354814996324E-2</v>
      </c>
      <c r="CO18" s="1315">
        <v>0</v>
      </c>
      <c r="CP18" s="1180">
        <v>0</v>
      </c>
    </row>
    <row r="19" spans="1:94" ht="12.75" hidden="1" customHeight="1" x14ac:dyDescent="0.2">
      <c r="A19" s="948"/>
      <c r="B19" s="1201" t="s">
        <v>636</v>
      </c>
      <c r="C19" s="957">
        <v>1446</v>
      </c>
      <c r="D19" s="1035">
        <v>5.5840895925854415E-2</v>
      </c>
      <c r="E19" s="920"/>
      <c r="F19" s="2223">
        <v>27341</v>
      </c>
      <c r="G19" s="1155">
        <v>23377</v>
      </c>
      <c r="H19" s="1230">
        <v>22360</v>
      </c>
      <c r="I19" s="1230">
        <v>24373</v>
      </c>
      <c r="J19" s="1258">
        <v>25895</v>
      </c>
      <c r="K19" s="1230">
        <v>26905</v>
      </c>
      <c r="L19" s="1230">
        <v>23912</v>
      </c>
      <c r="M19" s="1230">
        <v>13890</v>
      </c>
      <c r="N19" s="1258">
        <v>12596</v>
      </c>
      <c r="O19" s="1230">
        <v>11827</v>
      </c>
      <c r="P19" s="1230">
        <v>11439</v>
      </c>
      <c r="Q19" s="1230">
        <v>11800</v>
      </c>
      <c r="R19" s="1231">
        <v>12573</v>
      </c>
      <c r="S19" s="1930">
        <v>13421</v>
      </c>
      <c r="T19" s="1230">
        <v>12424</v>
      </c>
      <c r="U19" s="1230">
        <v>11935</v>
      </c>
      <c r="V19" s="1231">
        <v>12366</v>
      </c>
      <c r="W19" s="1230">
        <v>13159</v>
      </c>
      <c r="X19" s="1230">
        <v>10762</v>
      </c>
      <c r="Y19" s="1230">
        <v>10671</v>
      </c>
      <c r="Z19" s="1231">
        <v>10815</v>
      </c>
      <c r="AA19" s="1230">
        <v>11402</v>
      </c>
      <c r="AB19" s="1230">
        <v>9618</v>
      </c>
      <c r="AC19" s="1230">
        <v>9132</v>
      </c>
      <c r="AD19" s="1231">
        <v>9987</v>
      </c>
      <c r="AE19" s="1230">
        <v>9270</v>
      </c>
      <c r="AF19" s="1230">
        <v>9679</v>
      </c>
      <c r="AG19" s="1230">
        <v>8091</v>
      </c>
      <c r="AH19" s="1231">
        <v>7740</v>
      </c>
      <c r="AI19" s="1370">
        <v>967</v>
      </c>
      <c r="AJ19" s="1205"/>
      <c r="AK19" s="1205"/>
      <c r="AL19" s="1409"/>
      <c r="AM19" s="1205"/>
      <c r="AN19" s="1205"/>
      <c r="AO19" s="1205"/>
      <c r="AP19" s="1205"/>
      <c r="AQ19" s="1230">
        <v>26203</v>
      </c>
      <c r="AR19" s="1230">
        <v>24376</v>
      </c>
      <c r="AS19" s="1230">
        <v>19368</v>
      </c>
      <c r="AT19" s="1231">
        <v>18643</v>
      </c>
      <c r="AU19" s="1230">
        <v>13122</v>
      </c>
      <c r="AV19" s="1230">
        <v>14195</v>
      </c>
      <c r="AW19" s="1230">
        <v>20116</v>
      </c>
      <c r="AX19" s="1231">
        <v>26950</v>
      </c>
      <c r="AY19" s="1196">
        <v>24166</v>
      </c>
      <c r="AZ19" s="1270">
        <v>28443</v>
      </c>
      <c r="BA19" s="1270">
        <v>25351</v>
      </c>
      <c r="BB19" s="1270">
        <v>37680</v>
      </c>
      <c r="BC19" s="1237">
        <v>36567</v>
      </c>
      <c r="BD19" s="1231">
        <v>31848</v>
      </c>
      <c r="BE19" s="1231">
        <v>24885</v>
      </c>
      <c r="BF19" s="1231">
        <v>33368</v>
      </c>
      <c r="BG19" s="1034"/>
      <c r="BH19" s="1298">
        <v>96005</v>
      </c>
      <c r="BI19" s="1262">
        <v>77303</v>
      </c>
      <c r="BJ19" s="1006">
        <v>18702</v>
      </c>
      <c r="BK19" s="1035">
        <v>0.24193110228581038</v>
      </c>
      <c r="BL19" s="1201"/>
      <c r="BM19" s="2527">
        <v>96005</v>
      </c>
      <c r="BN19" s="1367">
        <v>77303</v>
      </c>
      <c r="BO19" s="1397">
        <v>47639</v>
      </c>
      <c r="BP19" s="1367">
        <v>50146</v>
      </c>
      <c r="BQ19" s="1367">
        <v>45407</v>
      </c>
      <c r="BR19" s="1367">
        <v>40139</v>
      </c>
      <c r="BS19" s="1367">
        <v>34780</v>
      </c>
      <c r="BT19" s="1367">
        <v>967</v>
      </c>
      <c r="BU19" s="2015"/>
      <c r="BV19" s="2015"/>
      <c r="BW19" s="2015"/>
      <c r="BX19" s="2015"/>
      <c r="BY19" s="1317">
        <v>126668</v>
      </c>
      <c r="BZ19" s="2166">
        <v>105283</v>
      </c>
      <c r="CA19" s="2166">
        <v>84396</v>
      </c>
      <c r="CB19" s="2166">
        <v>82758</v>
      </c>
      <c r="CC19" s="900"/>
      <c r="CD19" s="934"/>
      <c r="CE19" s="2728">
        <v>12473</v>
      </c>
      <c r="CF19" s="1180">
        <v>1.0903925168283941</v>
      </c>
      <c r="CG19" s="1180">
        <v>-11027</v>
      </c>
      <c r="CH19" s="1180">
        <v>-1.0345516209025396</v>
      </c>
      <c r="CJ19" s="1920">
        <v>50398</v>
      </c>
      <c r="CK19" s="1315">
        <v>45607</v>
      </c>
      <c r="CL19" s="1920"/>
      <c r="CM19" s="1315">
        <v>18702</v>
      </c>
      <c r="CN19" s="1315">
        <v>0.24193110228581038</v>
      </c>
      <c r="CO19" s="1315">
        <v>0</v>
      </c>
      <c r="CP19" s="1180">
        <v>0</v>
      </c>
    </row>
    <row r="20" spans="1:94" ht="12.75" hidden="1" customHeight="1" x14ac:dyDescent="0.2">
      <c r="A20" s="948"/>
      <c r="B20" s="954" t="s">
        <v>64</v>
      </c>
      <c r="C20" s="957">
        <v>-177</v>
      </c>
      <c r="D20" s="1035">
        <v>-1.4692454553000747E-2</v>
      </c>
      <c r="E20" s="920"/>
      <c r="F20" s="2223">
        <v>11870</v>
      </c>
      <c r="G20" s="1155">
        <v>12500</v>
      </c>
      <c r="H20" s="1230">
        <v>12292</v>
      </c>
      <c r="I20" s="1230">
        <v>11983</v>
      </c>
      <c r="J20" s="1258">
        <v>12047</v>
      </c>
      <c r="K20" s="1230">
        <v>11914</v>
      </c>
      <c r="L20" s="1230">
        <v>11055</v>
      </c>
      <c r="M20" s="1230">
        <v>6866</v>
      </c>
      <c r="N20" s="1258">
        <v>6379</v>
      </c>
      <c r="O20" s="1230">
        <v>5588</v>
      </c>
      <c r="P20" s="1230">
        <v>5335</v>
      </c>
      <c r="Q20" s="1230">
        <v>5307</v>
      </c>
      <c r="R20" s="1231">
        <v>5481</v>
      </c>
      <c r="S20" s="1930">
        <v>5901</v>
      </c>
      <c r="T20" s="1230">
        <v>5988</v>
      </c>
      <c r="U20" s="1230">
        <v>6023</v>
      </c>
      <c r="V20" s="1231">
        <v>5542</v>
      </c>
      <c r="W20" s="1230">
        <v>4680</v>
      </c>
      <c r="X20" s="1230">
        <v>4725</v>
      </c>
      <c r="Y20" s="1230">
        <v>4567</v>
      </c>
      <c r="Z20" s="1231">
        <v>4601</v>
      </c>
      <c r="AA20" s="1230">
        <v>4614</v>
      </c>
      <c r="AB20" s="1230">
        <v>3477</v>
      </c>
      <c r="AC20" s="1230">
        <v>3559</v>
      </c>
      <c r="AD20" s="1231">
        <v>3006</v>
      </c>
      <c r="AE20" s="1230">
        <v>2306</v>
      </c>
      <c r="AF20" s="1230">
        <v>2596</v>
      </c>
      <c r="AG20" s="1230">
        <v>2281</v>
      </c>
      <c r="AH20" s="1231">
        <v>2552</v>
      </c>
      <c r="AI20" s="1370">
        <v>178</v>
      </c>
      <c r="AJ20" s="1205"/>
      <c r="AK20" s="1205"/>
      <c r="AL20" s="1409"/>
      <c r="AM20" s="1205"/>
      <c r="AN20" s="1205"/>
      <c r="AO20" s="1205"/>
      <c r="AP20" s="1205"/>
      <c r="AQ20" s="1230">
        <v>5573</v>
      </c>
      <c r="AR20" s="1230">
        <v>4015</v>
      </c>
      <c r="AS20" s="1230">
        <v>4360</v>
      </c>
      <c r="AT20" s="1231">
        <v>4246</v>
      </c>
      <c r="AU20" s="1230">
        <v>4505</v>
      </c>
      <c r="AV20" s="1230">
        <v>3057</v>
      </c>
      <c r="AW20" s="1230">
        <v>3477</v>
      </c>
      <c r="AX20" s="1231">
        <v>3781</v>
      </c>
      <c r="AY20" s="1196">
        <v>4683</v>
      </c>
      <c r="AZ20" s="1270">
        <v>3272</v>
      </c>
      <c r="BA20" s="1270">
        <v>3510</v>
      </c>
      <c r="BB20" s="1270">
        <v>4049</v>
      </c>
      <c r="BC20" s="1237">
        <v>4303</v>
      </c>
      <c r="BD20" s="1231">
        <v>3039</v>
      </c>
      <c r="BE20" s="1231">
        <v>2854</v>
      </c>
      <c r="BF20" s="1231">
        <v>3430</v>
      </c>
      <c r="BG20" s="1034"/>
      <c r="BH20" s="1298">
        <v>48822</v>
      </c>
      <c r="BI20" s="1007">
        <v>36214</v>
      </c>
      <c r="BJ20" s="1006">
        <v>12608</v>
      </c>
      <c r="BK20" s="1035">
        <v>0.34815264814712543</v>
      </c>
      <c r="BL20" s="1201"/>
      <c r="BM20" s="2527">
        <v>48822</v>
      </c>
      <c r="BN20" s="2527">
        <v>36214</v>
      </c>
      <c r="BO20" s="1668">
        <v>21711</v>
      </c>
      <c r="BP20" s="2231">
        <v>23454</v>
      </c>
      <c r="BQ20" s="2527">
        <v>18573</v>
      </c>
      <c r="BR20" s="2527">
        <v>14656</v>
      </c>
      <c r="BS20" s="1367">
        <v>9735</v>
      </c>
      <c r="BT20" s="1367">
        <v>178</v>
      </c>
      <c r="BU20" s="2015"/>
      <c r="BV20" s="2015"/>
      <c r="BW20" s="2015"/>
      <c r="BX20" s="2015"/>
      <c r="BY20" s="1317">
        <v>13626</v>
      </c>
      <c r="BZ20" s="2166">
        <v>13053</v>
      </c>
      <c r="CA20" s="2166">
        <v>11158</v>
      </c>
      <c r="CB20" s="2166">
        <v>10157</v>
      </c>
      <c r="CC20" s="900"/>
      <c r="CD20" s="934"/>
      <c r="CE20" s="2728">
        <v>5720</v>
      </c>
      <c r="CF20" s="1180">
        <v>1.0721649484536082</v>
      </c>
      <c r="CG20" s="1180">
        <v>-5897</v>
      </c>
      <c r="CH20" s="1180">
        <v>-1.0868574030066089</v>
      </c>
      <c r="CJ20" s="1920">
        <v>24300</v>
      </c>
      <c r="CK20" s="1315">
        <v>24522</v>
      </c>
      <c r="CL20" s="1920"/>
      <c r="CM20" s="1315">
        <v>12608</v>
      </c>
      <c r="CN20" s="1315">
        <v>0.34815264814712543</v>
      </c>
      <c r="CO20" s="1315">
        <v>0</v>
      </c>
      <c r="CP20" s="1180">
        <v>0</v>
      </c>
    </row>
    <row r="21" spans="1:94" ht="12.75" customHeight="1" x14ac:dyDescent="0.2">
      <c r="A21" s="948"/>
      <c r="B21" s="1201" t="s">
        <v>720</v>
      </c>
      <c r="C21" s="957">
        <v>1269</v>
      </c>
      <c r="D21" s="1035">
        <v>3.3445785672869113E-2</v>
      </c>
      <c r="E21" s="920"/>
      <c r="F21" s="2223">
        <v>39211</v>
      </c>
      <c r="G21" s="1155">
        <v>35877</v>
      </c>
      <c r="H21" s="1230">
        <v>34652</v>
      </c>
      <c r="I21" s="1230">
        <v>36356</v>
      </c>
      <c r="J21" s="1258">
        <v>37942</v>
      </c>
      <c r="K21" s="1155">
        <v>38819</v>
      </c>
      <c r="L21" s="1230">
        <v>34967</v>
      </c>
      <c r="M21" s="1230">
        <v>20756</v>
      </c>
      <c r="N21" s="1258">
        <v>18975</v>
      </c>
      <c r="O21" s="1230"/>
      <c r="P21" s="1230"/>
      <c r="Q21" s="1230"/>
      <c r="R21" s="1231"/>
      <c r="S21" s="1930"/>
      <c r="T21" s="1230"/>
      <c r="U21" s="1230"/>
      <c r="V21" s="1231"/>
      <c r="W21" s="1230"/>
      <c r="X21" s="1230"/>
      <c r="Y21" s="1230"/>
      <c r="Z21" s="1231"/>
      <c r="AA21" s="1230"/>
      <c r="AB21" s="1230"/>
      <c r="AC21" s="1230"/>
      <c r="AD21" s="1231"/>
      <c r="AE21" s="1230"/>
      <c r="AF21" s="1230"/>
      <c r="AG21" s="1230"/>
      <c r="AH21" s="1231"/>
      <c r="AI21" s="1370"/>
      <c r="AJ21" s="1205"/>
      <c r="AK21" s="1205"/>
      <c r="AL21" s="1409"/>
      <c r="AM21" s="1205"/>
      <c r="AN21" s="1205"/>
      <c r="AO21" s="1205"/>
      <c r="AP21" s="1205"/>
      <c r="AQ21" s="1230"/>
      <c r="AR21" s="1230"/>
      <c r="AS21" s="1230"/>
      <c r="AT21" s="1231"/>
      <c r="AU21" s="1230"/>
      <c r="AV21" s="1230"/>
      <c r="AW21" s="1230"/>
      <c r="AX21" s="1231"/>
      <c r="AY21" s="1196"/>
      <c r="AZ21" s="1270"/>
      <c r="BA21" s="1270"/>
      <c r="BB21" s="1270"/>
      <c r="BC21" s="1237"/>
      <c r="BD21" s="1231"/>
      <c r="BE21" s="1231"/>
      <c r="BF21" s="1231"/>
      <c r="BG21" s="1034"/>
      <c r="BH21" s="1298"/>
      <c r="BI21" s="1007"/>
      <c r="BJ21" s="1006"/>
      <c r="BK21" s="1035"/>
      <c r="BL21" s="1201"/>
      <c r="BM21" s="2527">
        <v>144827</v>
      </c>
      <c r="BN21" s="2527">
        <v>113517</v>
      </c>
      <c r="BO21" s="2527">
        <v>69350</v>
      </c>
      <c r="BP21" s="2527">
        <v>73600</v>
      </c>
      <c r="BQ21" s="2527">
        <v>63980</v>
      </c>
      <c r="BR21" s="2527"/>
      <c r="BS21" s="1367"/>
      <c r="BT21" s="1367"/>
      <c r="BU21" s="2015"/>
      <c r="BV21" s="2015"/>
      <c r="BW21" s="2015"/>
      <c r="BX21" s="2015"/>
      <c r="BY21" s="1317"/>
      <c r="BZ21" s="2166"/>
      <c r="CA21" s="2166"/>
      <c r="CB21" s="2166"/>
      <c r="CC21" s="900"/>
      <c r="CD21" s="934"/>
      <c r="CE21" s="2728"/>
      <c r="CJ21" s="1920"/>
      <c r="CK21" s="1315"/>
      <c r="CL21" s="1920"/>
      <c r="CM21" s="1315"/>
      <c r="CN21" s="1315"/>
      <c r="CO21" s="1315"/>
    </row>
    <row r="22" spans="1:94" ht="12.75" customHeight="1" x14ac:dyDescent="0.2">
      <c r="A22" s="948"/>
      <c r="B22" s="954" t="s">
        <v>93</v>
      </c>
      <c r="C22" s="957">
        <v>1113</v>
      </c>
      <c r="D22" s="1035">
        <v>0.53509615384615383</v>
      </c>
      <c r="E22" s="920"/>
      <c r="F22" s="2223">
        <v>3193</v>
      </c>
      <c r="G22" s="1155">
        <v>1935</v>
      </c>
      <c r="H22" s="1230">
        <v>2322</v>
      </c>
      <c r="I22" s="1230">
        <v>1800</v>
      </c>
      <c r="J22" s="1258">
        <v>2080</v>
      </c>
      <c r="K22" s="1230">
        <v>2147</v>
      </c>
      <c r="L22" s="1230">
        <v>2020</v>
      </c>
      <c r="M22" s="1230">
        <v>1380</v>
      </c>
      <c r="N22" s="1258">
        <v>2133</v>
      </c>
      <c r="O22" s="1230">
        <v>2150</v>
      </c>
      <c r="P22" s="1230">
        <v>1334</v>
      </c>
      <c r="Q22" s="1230">
        <v>1557</v>
      </c>
      <c r="R22" s="1231">
        <v>1559</v>
      </c>
      <c r="S22" s="1930">
        <v>1428</v>
      </c>
      <c r="T22" s="1230">
        <v>1245</v>
      </c>
      <c r="U22" s="1230">
        <v>1372</v>
      </c>
      <c r="V22" s="1231">
        <v>1188</v>
      </c>
      <c r="W22" s="1230">
        <v>1107</v>
      </c>
      <c r="X22" s="1230">
        <v>1024</v>
      </c>
      <c r="Y22" s="1230">
        <v>1098</v>
      </c>
      <c r="Z22" s="1231">
        <v>976</v>
      </c>
      <c r="AA22" s="1230">
        <v>1113</v>
      </c>
      <c r="AB22" s="1230">
        <v>949</v>
      </c>
      <c r="AC22" s="1230">
        <v>813</v>
      </c>
      <c r="AD22" s="1231">
        <v>1007</v>
      </c>
      <c r="AE22" s="1230">
        <v>1284</v>
      </c>
      <c r="AF22" s="1230">
        <v>1292</v>
      </c>
      <c r="AG22" s="1230">
        <v>958</v>
      </c>
      <c r="AH22" s="1231">
        <v>823</v>
      </c>
      <c r="AI22" s="1370">
        <v>87</v>
      </c>
      <c r="AJ22" s="1205"/>
      <c r="AK22" s="1205"/>
      <c r="AL22" s="1409"/>
      <c r="AM22" s="1205"/>
      <c r="AN22" s="1205"/>
      <c r="AO22" s="1205"/>
      <c r="AP22" s="1205"/>
      <c r="AQ22" s="1230">
        <v>2320</v>
      </c>
      <c r="AR22" s="1230">
        <v>1910</v>
      </c>
      <c r="AS22" s="1230">
        <v>2120</v>
      </c>
      <c r="AT22" s="1231">
        <v>2156</v>
      </c>
      <c r="AU22" s="1230">
        <v>1697</v>
      </c>
      <c r="AV22" s="1230">
        <v>1856</v>
      </c>
      <c r="AW22" s="1230">
        <v>1606</v>
      </c>
      <c r="AX22" s="1231">
        <v>1849</v>
      </c>
      <c r="AY22" s="1196">
        <v>1694</v>
      </c>
      <c r="AZ22" s="1270">
        <v>2331</v>
      </c>
      <c r="BA22" s="1270">
        <v>2158</v>
      </c>
      <c r="BB22" s="1270">
        <v>2399</v>
      </c>
      <c r="BC22" s="1237">
        <v>2477</v>
      </c>
      <c r="BD22" s="1231">
        <v>2338</v>
      </c>
      <c r="BE22" s="1231">
        <v>2276</v>
      </c>
      <c r="BF22" s="1231">
        <v>3066</v>
      </c>
      <c r="BG22" s="1034"/>
      <c r="BH22" s="1298">
        <v>8137</v>
      </c>
      <c r="BI22" s="1007">
        <v>7680</v>
      </c>
      <c r="BJ22" s="1006">
        <v>457</v>
      </c>
      <c r="BK22" s="1035">
        <v>5.950520833333333E-2</v>
      </c>
      <c r="BL22" s="1201"/>
      <c r="BM22" s="2527">
        <v>8137</v>
      </c>
      <c r="BN22" s="2527">
        <v>7680</v>
      </c>
      <c r="BO22" s="1668">
        <v>6600</v>
      </c>
      <c r="BP22" s="2231">
        <v>5233</v>
      </c>
      <c r="BQ22" s="2527">
        <v>4205</v>
      </c>
      <c r="BR22" s="2527">
        <v>3882</v>
      </c>
      <c r="BS22" s="1367">
        <v>4357</v>
      </c>
      <c r="BT22" s="1367">
        <v>87</v>
      </c>
      <c r="BU22" s="2015"/>
      <c r="BV22" s="2015"/>
      <c r="BW22" s="2015"/>
      <c r="BX22" s="2015"/>
      <c r="BY22" s="1317">
        <v>10157</v>
      </c>
      <c r="BZ22" s="2166">
        <v>9013</v>
      </c>
      <c r="CA22" s="2166">
        <v>8802</v>
      </c>
      <c r="CB22" s="2166">
        <v>1308</v>
      </c>
      <c r="CC22" s="900"/>
      <c r="CD22" s="934"/>
      <c r="CE22" s="2728">
        <v>686</v>
      </c>
      <c r="CF22" s="1180">
        <v>0.5142428785607196</v>
      </c>
      <c r="CG22" s="1180">
        <v>427</v>
      </c>
      <c r="CH22" s="1180">
        <v>2.0853275285434236E-2</v>
      </c>
      <c r="CJ22" s="1920">
        <v>5533</v>
      </c>
      <c r="CK22" s="1315">
        <v>2604</v>
      </c>
      <c r="CL22" s="1920"/>
      <c r="CM22" s="1315">
        <v>457</v>
      </c>
      <c r="CN22" s="1315">
        <v>5.950520833333333E-2</v>
      </c>
      <c r="CO22" s="1315">
        <v>0</v>
      </c>
      <c r="CP22" s="1180">
        <v>0</v>
      </c>
    </row>
    <row r="23" spans="1:94" ht="12.75" customHeight="1" x14ac:dyDescent="0.2">
      <c r="A23" s="948"/>
      <c r="B23" s="954" t="s">
        <v>66</v>
      </c>
      <c r="C23" s="957">
        <v>-977</v>
      </c>
      <c r="D23" s="1035">
        <v>-0.51286089238845145</v>
      </c>
      <c r="E23" s="920"/>
      <c r="F23" s="2223">
        <v>928</v>
      </c>
      <c r="G23" s="1155">
        <v>2469</v>
      </c>
      <c r="H23" s="1230">
        <v>2012</v>
      </c>
      <c r="I23" s="1230">
        <v>2238</v>
      </c>
      <c r="J23" s="1258">
        <v>1905</v>
      </c>
      <c r="K23" s="1230">
        <v>2317</v>
      </c>
      <c r="L23" s="1230">
        <v>2070</v>
      </c>
      <c r="M23" s="1230">
        <v>1488</v>
      </c>
      <c r="N23" s="1258">
        <v>1422</v>
      </c>
      <c r="O23" s="1230">
        <v>1380</v>
      </c>
      <c r="P23" s="1230">
        <v>1191</v>
      </c>
      <c r="Q23" s="1230">
        <v>1220</v>
      </c>
      <c r="R23" s="1231">
        <v>1304</v>
      </c>
      <c r="S23" s="1930">
        <v>1384</v>
      </c>
      <c r="T23" s="1230">
        <v>1336</v>
      </c>
      <c r="U23" s="1230">
        <v>1045</v>
      </c>
      <c r="V23" s="1231">
        <v>1179</v>
      </c>
      <c r="W23" s="1230">
        <v>1757</v>
      </c>
      <c r="X23" s="1230">
        <v>1324</v>
      </c>
      <c r="Y23" s="1230">
        <v>1321</v>
      </c>
      <c r="Z23" s="1231">
        <v>1336</v>
      </c>
      <c r="AA23" s="1230">
        <v>1255</v>
      </c>
      <c r="AB23" s="1230">
        <v>878</v>
      </c>
      <c r="AC23" s="1230">
        <v>830</v>
      </c>
      <c r="AD23" s="1231">
        <v>837</v>
      </c>
      <c r="AE23" s="1230">
        <v>591</v>
      </c>
      <c r="AF23" s="1230">
        <v>550</v>
      </c>
      <c r="AG23" s="1230">
        <v>749</v>
      </c>
      <c r="AH23" s="1231">
        <v>848</v>
      </c>
      <c r="AI23" s="1370">
        <v>42</v>
      </c>
      <c r="AJ23" s="1205"/>
      <c r="AK23" s="1205"/>
      <c r="AL23" s="1409"/>
      <c r="AM23" s="1205"/>
      <c r="AN23" s="1205"/>
      <c r="AO23" s="1205"/>
      <c r="AP23" s="1205"/>
      <c r="AQ23" s="1230">
        <v>2016</v>
      </c>
      <c r="AR23" s="1230">
        <v>2074</v>
      </c>
      <c r="AS23" s="1230">
        <v>2075</v>
      </c>
      <c r="AT23" s="1231">
        <v>1951</v>
      </c>
      <c r="AU23" s="1230">
        <v>1822</v>
      </c>
      <c r="AV23" s="1230">
        <v>1632</v>
      </c>
      <c r="AW23" s="1230">
        <v>1702</v>
      </c>
      <c r="AX23" s="1231">
        <v>1632</v>
      </c>
      <c r="AY23" s="1196">
        <v>1630</v>
      </c>
      <c r="AZ23" s="1270">
        <v>1605</v>
      </c>
      <c r="BA23" s="1270">
        <v>1605</v>
      </c>
      <c r="BB23" s="1270">
        <v>1535</v>
      </c>
      <c r="BC23" s="1237">
        <v>1555</v>
      </c>
      <c r="BD23" s="1231">
        <v>1528</v>
      </c>
      <c r="BE23" s="1231">
        <v>1534</v>
      </c>
      <c r="BF23" s="1231">
        <v>1536</v>
      </c>
      <c r="BG23" s="1034"/>
      <c r="BH23" s="1298">
        <v>8624</v>
      </c>
      <c r="BI23" s="1007">
        <v>7297</v>
      </c>
      <c r="BJ23" s="1006">
        <v>1327</v>
      </c>
      <c r="BK23" s="1035">
        <v>0.18185555707825132</v>
      </c>
      <c r="BL23" s="1201"/>
      <c r="BM23" s="2527">
        <v>8624</v>
      </c>
      <c r="BN23" s="2527">
        <v>7297</v>
      </c>
      <c r="BO23" s="1668">
        <v>5095</v>
      </c>
      <c r="BP23" s="2231">
        <v>4944</v>
      </c>
      <c r="BQ23" s="2527">
        <v>5738</v>
      </c>
      <c r="BR23" s="2527">
        <v>3800</v>
      </c>
      <c r="BS23" s="1367">
        <v>2738</v>
      </c>
      <c r="BT23" s="1367">
        <v>42</v>
      </c>
      <c r="BU23" s="2015"/>
      <c r="BV23" s="2015"/>
      <c r="BW23" s="2015"/>
      <c r="BX23" s="2015"/>
      <c r="BY23" s="1317">
        <v>6153</v>
      </c>
      <c r="BZ23" s="2166">
        <v>5464</v>
      </c>
      <c r="CA23" s="2166">
        <v>4653</v>
      </c>
      <c r="CB23" s="2166">
        <v>4742</v>
      </c>
      <c r="CC23" s="900"/>
      <c r="CD23" s="934"/>
      <c r="CE23" s="2728">
        <v>879</v>
      </c>
      <c r="CF23" s="1180">
        <v>0.73803526448362722</v>
      </c>
      <c r="CG23" s="1180">
        <v>-1856</v>
      </c>
      <c r="CH23" s="1180">
        <v>-1.2508961568720787</v>
      </c>
      <c r="CJ23" s="1920">
        <v>4980</v>
      </c>
      <c r="CK23" s="1315">
        <v>3644</v>
      </c>
      <c r="CL23" s="1920"/>
      <c r="CM23" s="1315">
        <v>1327</v>
      </c>
      <c r="CN23" s="1315">
        <v>0.18185555707825132</v>
      </c>
      <c r="CO23" s="1315">
        <v>0</v>
      </c>
      <c r="CP23" s="1180">
        <v>0</v>
      </c>
    </row>
    <row r="24" spans="1:94" ht="12.75" customHeight="1" x14ac:dyDescent="0.2">
      <c r="A24" s="948"/>
      <c r="B24" s="954" t="s">
        <v>67</v>
      </c>
      <c r="C24" s="957">
        <v>148</v>
      </c>
      <c r="D24" s="1035">
        <v>3.8733315885893745E-2</v>
      </c>
      <c r="E24" s="920"/>
      <c r="F24" s="2223">
        <v>3969</v>
      </c>
      <c r="G24" s="1155">
        <v>4055</v>
      </c>
      <c r="H24" s="1230">
        <v>3723</v>
      </c>
      <c r="I24" s="1230">
        <v>3941</v>
      </c>
      <c r="J24" s="1258">
        <v>3821</v>
      </c>
      <c r="K24" s="1230">
        <v>3755</v>
      </c>
      <c r="L24" s="1230">
        <v>3220</v>
      </c>
      <c r="M24" s="1230">
        <v>2104</v>
      </c>
      <c r="N24" s="1258">
        <v>1883</v>
      </c>
      <c r="O24" s="1230">
        <v>1605</v>
      </c>
      <c r="P24" s="1230">
        <v>1856</v>
      </c>
      <c r="Q24" s="1230">
        <v>1930</v>
      </c>
      <c r="R24" s="1231">
        <v>1705</v>
      </c>
      <c r="S24" s="1930">
        <v>2108</v>
      </c>
      <c r="T24" s="1230">
        <v>2114</v>
      </c>
      <c r="U24" s="1230">
        <v>2111</v>
      </c>
      <c r="V24" s="1231">
        <v>2241</v>
      </c>
      <c r="W24" s="1230">
        <v>1938</v>
      </c>
      <c r="X24" s="1230">
        <v>1772</v>
      </c>
      <c r="Y24" s="1230">
        <v>1850</v>
      </c>
      <c r="Z24" s="1231">
        <v>1680</v>
      </c>
      <c r="AA24" s="1230">
        <v>1710</v>
      </c>
      <c r="AB24" s="1230">
        <v>1796</v>
      </c>
      <c r="AC24" s="1230">
        <v>1706</v>
      </c>
      <c r="AD24" s="1231">
        <v>1470</v>
      </c>
      <c r="AE24" s="1230">
        <v>1659</v>
      </c>
      <c r="AF24" s="1230">
        <v>1426</v>
      </c>
      <c r="AG24" s="1230">
        <v>1229</v>
      </c>
      <c r="AH24" s="1231">
        <v>1455</v>
      </c>
      <c r="AI24" s="1370">
        <v>117</v>
      </c>
      <c r="AJ24" s="1205"/>
      <c r="AK24" s="1205"/>
      <c r="AL24" s="1409"/>
      <c r="AM24" s="1205"/>
      <c r="AN24" s="1205"/>
      <c r="AO24" s="1205"/>
      <c r="AP24" s="1205"/>
      <c r="AQ24" s="1230">
        <v>1426</v>
      </c>
      <c r="AR24" s="1230">
        <v>1660</v>
      </c>
      <c r="AS24" s="1230">
        <v>1494</v>
      </c>
      <c r="AT24" s="1231">
        <v>1536</v>
      </c>
      <c r="AU24" s="1230">
        <v>1630</v>
      </c>
      <c r="AV24" s="1230">
        <v>1590</v>
      </c>
      <c r="AW24" s="1230">
        <v>1556</v>
      </c>
      <c r="AX24" s="1231">
        <v>1639</v>
      </c>
      <c r="AY24" s="1196">
        <v>1596</v>
      </c>
      <c r="AZ24" s="1270">
        <v>1544</v>
      </c>
      <c r="BA24" s="1270">
        <v>1573</v>
      </c>
      <c r="BB24" s="1270">
        <v>1670</v>
      </c>
      <c r="BC24" s="1237">
        <v>1639</v>
      </c>
      <c r="BD24" s="1231">
        <v>1526</v>
      </c>
      <c r="BE24" s="1231">
        <v>1571</v>
      </c>
      <c r="BF24" s="1231">
        <v>1602</v>
      </c>
      <c r="BG24" s="1034"/>
      <c r="BH24" s="1298">
        <v>15540</v>
      </c>
      <c r="BI24" s="1007">
        <v>10962</v>
      </c>
      <c r="BJ24" s="1006">
        <v>4578</v>
      </c>
      <c r="BK24" s="1035">
        <v>0.41762452107279696</v>
      </c>
      <c r="BL24" s="1201"/>
      <c r="BM24" s="2527">
        <v>15540</v>
      </c>
      <c r="BN24" s="2527">
        <v>10962</v>
      </c>
      <c r="BO24" s="1668">
        <v>7096</v>
      </c>
      <c r="BP24" s="2231">
        <v>8574</v>
      </c>
      <c r="BQ24" s="2527">
        <v>7240</v>
      </c>
      <c r="BR24" s="2527">
        <v>6682</v>
      </c>
      <c r="BS24" s="1367">
        <v>5769</v>
      </c>
      <c r="BT24" s="1367">
        <v>117</v>
      </c>
      <c r="BU24" s="2015"/>
      <c r="BV24" s="2015"/>
      <c r="BW24" s="2015"/>
      <c r="BX24" s="2015"/>
      <c r="BY24" s="1317">
        <v>6338</v>
      </c>
      <c r="BZ24" s="2166">
        <v>6066</v>
      </c>
      <c r="CA24" s="2166">
        <v>5819</v>
      </c>
      <c r="CB24" s="2166">
        <v>5491</v>
      </c>
      <c r="CC24" s="900"/>
      <c r="CD24" s="934"/>
      <c r="CE24" s="2728">
        <v>1364</v>
      </c>
      <c r="CF24" s="1180">
        <v>0.73491379310344829</v>
      </c>
      <c r="CG24" s="1180">
        <v>-1216</v>
      </c>
      <c r="CH24" s="1180">
        <v>-0.69618047721755449</v>
      </c>
      <c r="CJ24" s="1920">
        <v>7207</v>
      </c>
      <c r="CK24" s="1315">
        <v>8333</v>
      </c>
      <c r="CL24" s="1920"/>
      <c r="CM24" s="1315">
        <v>4578</v>
      </c>
      <c r="CN24" s="1315">
        <v>0.41762452107279696</v>
      </c>
      <c r="CO24" s="1315">
        <v>0</v>
      </c>
      <c r="CP24" s="1180">
        <v>0</v>
      </c>
    </row>
    <row r="25" spans="1:94" ht="12.75" customHeight="1" x14ac:dyDescent="0.2">
      <c r="A25" s="948"/>
      <c r="B25" s="954" t="s">
        <v>62</v>
      </c>
      <c r="C25" s="957">
        <v>324</v>
      </c>
      <c r="D25" s="1035">
        <v>0.43548387096774194</v>
      </c>
      <c r="E25" s="920"/>
      <c r="F25" s="2223">
        <v>1068</v>
      </c>
      <c r="G25" s="1155">
        <v>643</v>
      </c>
      <c r="H25" s="1205">
        <v>600</v>
      </c>
      <c r="I25" s="1205">
        <v>596</v>
      </c>
      <c r="J25" s="1409">
        <v>744</v>
      </c>
      <c r="K25" s="1230">
        <v>790</v>
      </c>
      <c r="L25" s="1205">
        <v>727</v>
      </c>
      <c r="M25" s="1205">
        <v>124</v>
      </c>
      <c r="N25" s="1409">
        <v>48</v>
      </c>
      <c r="O25" s="1230">
        <v>28</v>
      </c>
      <c r="P25" s="1205">
        <v>-63</v>
      </c>
      <c r="Q25" s="1230">
        <v>35</v>
      </c>
      <c r="R25" s="1231">
        <v>18</v>
      </c>
      <c r="S25" s="1930">
        <v>68</v>
      </c>
      <c r="T25" s="1230">
        <v>1</v>
      </c>
      <c r="U25" s="1230">
        <v>25</v>
      </c>
      <c r="V25" s="1231">
        <v>33</v>
      </c>
      <c r="W25" s="1230">
        <v>50</v>
      </c>
      <c r="X25" s="1230">
        <v>91</v>
      </c>
      <c r="Y25" s="1230">
        <v>143</v>
      </c>
      <c r="Z25" s="1231">
        <v>123</v>
      </c>
      <c r="AA25" s="1230">
        <v>88</v>
      </c>
      <c r="AB25" s="1230">
        <v>89</v>
      </c>
      <c r="AC25" s="1230">
        <v>78</v>
      </c>
      <c r="AD25" s="1231">
        <v>96</v>
      </c>
      <c r="AE25" s="1230">
        <v>12</v>
      </c>
      <c r="AF25" s="1230">
        <v>42</v>
      </c>
      <c r="AG25" s="1230">
        <v>9</v>
      </c>
      <c r="AH25" s="1231">
        <v>37</v>
      </c>
      <c r="AI25" s="1370">
        <v>1</v>
      </c>
      <c r="AJ25" s="1205"/>
      <c r="AK25" s="1205"/>
      <c r="AL25" s="1409"/>
      <c r="AM25" s="1205"/>
      <c r="AN25" s="1205"/>
      <c r="AO25" s="1205"/>
      <c r="AP25" s="1205"/>
      <c r="AQ25" s="1230">
        <v>44</v>
      </c>
      <c r="AR25" s="1230">
        <v>51</v>
      </c>
      <c r="AS25" s="1230">
        <v>104</v>
      </c>
      <c r="AT25" s="1231">
        <v>243</v>
      </c>
      <c r="AU25" s="1230">
        <v>671</v>
      </c>
      <c r="AV25" s="1230">
        <v>1758</v>
      </c>
      <c r="AW25" s="1230">
        <v>2459</v>
      </c>
      <c r="AX25" s="1231">
        <v>2915</v>
      </c>
      <c r="AY25" s="1196">
        <v>4124</v>
      </c>
      <c r="AZ25" s="1270">
        <v>5305</v>
      </c>
      <c r="BA25" s="1270">
        <v>5435</v>
      </c>
      <c r="BB25" s="1270">
        <v>5060</v>
      </c>
      <c r="BC25" s="1237">
        <v>4659</v>
      </c>
      <c r="BD25" s="1231">
        <v>4412</v>
      </c>
      <c r="BE25" s="1231">
        <v>4434</v>
      </c>
      <c r="BF25" s="1231">
        <v>4246</v>
      </c>
      <c r="BG25" s="1034"/>
      <c r="BH25" s="1298">
        <v>2583</v>
      </c>
      <c r="BI25" s="1007">
        <v>1689</v>
      </c>
      <c r="BJ25" s="1006">
        <v>894</v>
      </c>
      <c r="BK25" s="1035">
        <v>0.52930728241563052</v>
      </c>
      <c r="BL25" s="1201"/>
      <c r="BM25" s="2527">
        <v>2583</v>
      </c>
      <c r="BN25" s="2527">
        <v>1689</v>
      </c>
      <c r="BO25" s="1668">
        <v>18</v>
      </c>
      <c r="BP25" s="2231">
        <v>127</v>
      </c>
      <c r="BQ25" s="2527">
        <v>407</v>
      </c>
      <c r="BR25" s="2527">
        <v>351</v>
      </c>
      <c r="BS25" s="1367">
        <v>100</v>
      </c>
      <c r="BT25" s="1367">
        <v>1</v>
      </c>
      <c r="BU25" s="2015"/>
      <c r="BV25" s="2015"/>
      <c r="BW25" s="2015"/>
      <c r="BX25" s="2015"/>
      <c r="BY25" s="1317">
        <v>17751</v>
      </c>
      <c r="BZ25" s="2166">
        <v>7194</v>
      </c>
      <c r="CA25" s="2166">
        <v>3711</v>
      </c>
      <c r="CB25" s="2166">
        <v>0</v>
      </c>
      <c r="CC25" s="900"/>
      <c r="CD25" s="934"/>
      <c r="CE25" s="2728">
        <v>790</v>
      </c>
      <c r="CF25" s="1180">
        <v>-12.53968253968254</v>
      </c>
      <c r="CG25" s="1180">
        <v>-466</v>
      </c>
      <c r="CH25" s="1180">
        <v>12.975166410650282</v>
      </c>
      <c r="CJ25" s="1920">
        <v>899</v>
      </c>
      <c r="CK25" s="1315">
        <v>1684</v>
      </c>
      <c r="CL25" s="1920"/>
      <c r="CM25" s="1315">
        <v>894</v>
      </c>
      <c r="CN25" s="1315">
        <v>0.52930728241563052</v>
      </c>
      <c r="CO25" s="1315">
        <v>0</v>
      </c>
      <c r="CP25" s="1180">
        <v>0</v>
      </c>
    </row>
    <row r="26" spans="1:94" ht="12.75" customHeight="1" x14ac:dyDescent="0.2">
      <c r="A26" s="948"/>
      <c r="B26" s="954" t="s">
        <v>68</v>
      </c>
      <c r="C26" s="957">
        <v>1730</v>
      </c>
      <c r="D26" s="1035">
        <v>0.42885473475458602</v>
      </c>
      <c r="E26" s="920"/>
      <c r="F26" s="2223">
        <v>5764</v>
      </c>
      <c r="G26" s="1159">
        <v>4726</v>
      </c>
      <c r="H26" s="1230">
        <v>6156</v>
      </c>
      <c r="I26" s="1230">
        <v>4220</v>
      </c>
      <c r="J26" s="1258">
        <v>4034</v>
      </c>
      <c r="K26" s="1230">
        <v>5386</v>
      </c>
      <c r="L26" s="1230">
        <v>4784</v>
      </c>
      <c r="M26" s="1230">
        <v>3040</v>
      </c>
      <c r="N26" s="1258">
        <v>3979</v>
      </c>
      <c r="O26" s="1230">
        <v>2632</v>
      </c>
      <c r="P26" s="1230">
        <v>3629</v>
      </c>
      <c r="Q26" s="1230">
        <v>3095</v>
      </c>
      <c r="R26" s="1231">
        <v>2626</v>
      </c>
      <c r="S26" s="1930">
        <v>3591</v>
      </c>
      <c r="T26" s="1230">
        <v>3107</v>
      </c>
      <c r="U26" s="1230">
        <v>2830</v>
      </c>
      <c r="V26" s="1231">
        <v>2865</v>
      </c>
      <c r="W26" s="1230">
        <v>3522</v>
      </c>
      <c r="X26" s="1230">
        <v>3072</v>
      </c>
      <c r="Y26" s="1230">
        <v>3158</v>
      </c>
      <c r="Z26" s="1231">
        <v>2856</v>
      </c>
      <c r="AA26" s="1230">
        <v>2827</v>
      </c>
      <c r="AB26" s="1230">
        <v>3071</v>
      </c>
      <c r="AC26" s="1230">
        <v>2746</v>
      </c>
      <c r="AD26" s="1231">
        <v>2718</v>
      </c>
      <c r="AE26" s="1230">
        <v>2479</v>
      </c>
      <c r="AF26" s="1230">
        <v>2872</v>
      </c>
      <c r="AG26" s="1230">
        <v>2484</v>
      </c>
      <c r="AH26" s="1231">
        <v>2628</v>
      </c>
      <c r="AI26" s="1370">
        <v>244</v>
      </c>
      <c r="AJ26" s="1205"/>
      <c r="AK26" s="1205"/>
      <c r="AL26" s="1409"/>
      <c r="AM26" s="1205"/>
      <c r="AN26" s="1205"/>
      <c r="AO26" s="1205"/>
      <c r="AP26" s="1205"/>
      <c r="AQ26" s="1230">
        <v>6030</v>
      </c>
      <c r="AR26" s="1230">
        <v>4108</v>
      </c>
      <c r="AS26" s="1230">
        <v>2461</v>
      </c>
      <c r="AT26" s="1231">
        <v>3886</v>
      </c>
      <c r="AU26" s="1230">
        <v>2268</v>
      </c>
      <c r="AV26" s="1230">
        <v>7826</v>
      </c>
      <c r="AW26" s="1230">
        <v>3206</v>
      </c>
      <c r="AX26" s="1231">
        <v>3942</v>
      </c>
      <c r="AY26" s="1196">
        <v>3477</v>
      </c>
      <c r="AZ26" s="1270">
        <v>3587</v>
      </c>
      <c r="BA26" s="1270">
        <v>2594</v>
      </c>
      <c r="BB26" s="1270">
        <v>2953</v>
      </c>
      <c r="BC26" s="1237">
        <v>2341</v>
      </c>
      <c r="BD26" s="1231">
        <v>3444</v>
      </c>
      <c r="BE26" s="1231">
        <v>1855</v>
      </c>
      <c r="BF26" s="1231">
        <v>6038</v>
      </c>
      <c r="BG26" s="1034"/>
      <c r="BH26" s="1298">
        <v>19136</v>
      </c>
      <c r="BI26" s="1007">
        <v>17189</v>
      </c>
      <c r="BJ26" s="1006">
        <v>1947</v>
      </c>
      <c r="BK26" s="1035">
        <v>0.11327011460817965</v>
      </c>
      <c r="BL26" s="1201"/>
      <c r="BM26" s="2527">
        <v>19136</v>
      </c>
      <c r="BN26" s="2527">
        <v>17189</v>
      </c>
      <c r="BO26" s="1668">
        <v>11982</v>
      </c>
      <c r="BP26" s="2231">
        <v>12393</v>
      </c>
      <c r="BQ26" s="2527">
        <v>12608</v>
      </c>
      <c r="BR26" s="2527">
        <v>11362</v>
      </c>
      <c r="BS26" s="1367">
        <v>10463</v>
      </c>
      <c r="BT26" s="1367">
        <v>244</v>
      </c>
      <c r="BU26" s="2015"/>
      <c r="BV26" s="2015"/>
      <c r="BW26" s="2015"/>
      <c r="BX26" s="2015"/>
      <c r="BY26" s="1317">
        <v>13678</v>
      </c>
      <c r="BZ26" s="2166">
        <v>12162</v>
      </c>
      <c r="CA26" s="2166">
        <v>5080</v>
      </c>
      <c r="CB26" s="2166">
        <v>9626</v>
      </c>
      <c r="CC26" s="900"/>
      <c r="CD26" s="934"/>
      <c r="CE26" s="2728">
        <v>1155</v>
      </c>
      <c r="CF26" s="1180">
        <v>0.31826949572885094</v>
      </c>
      <c r="CG26" s="1180">
        <v>575</v>
      </c>
      <c r="CH26" s="1180">
        <v>0.11058523902573508</v>
      </c>
      <c r="CJ26" s="1920">
        <v>11803</v>
      </c>
      <c r="CK26" s="1315">
        <v>7333</v>
      </c>
      <c r="CL26" s="1920"/>
      <c r="CM26" s="1315">
        <v>1947</v>
      </c>
      <c r="CN26" s="1315">
        <v>0.11327011460817965</v>
      </c>
      <c r="CO26" s="1315">
        <v>0</v>
      </c>
      <c r="CP26" s="1180">
        <v>0</v>
      </c>
    </row>
    <row r="27" spans="1:94" ht="12.75" customHeight="1" x14ac:dyDescent="0.2">
      <c r="A27" s="948"/>
      <c r="B27" s="954" t="s">
        <v>69</v>
      </c>
      <c r="C27" s="957">
        <v>348</v>
      </c>
      <c r="D27" s="1035">
        <v>8.9899250839576339E-2</v>
      </c>
      <c r="E27" s="920"/>
      <c r="F27" s="2223">
        <v>4219</v>
      </c>
      <c r="G27" s="1155">
        <v>3836</v>
      </c>
      <c r="H27" s="1230">
        <v>3729</v>
      </c>
      <c r="I27" s="1230">
        <v>3732</v>
      </c>
      <c r="J27" s="1258">
        <v>3871</v>
      </c>
      <c r="K27" s="1230">
        <v>3867</v>
      </c>
      <c r="L27" s="1230">
        <v>3714</v>
      </c>
      <c r="M27" s="1230">
        <v>1976</v>
      </c>
      <c r="N27" s="1258">
        <v>2000</v>
      </c>
      <c r="O27" s="1230">
        <v>1929</v>
      </c>
      <c r="P27" s="1230">
        <v>1948</v>
      </c>
      <c r="Q27" s="1230">
        <v>2013</v>
      </c>
      <c r="R27" s="1231">
        <v>2143</v>
      </c>
      <c r="S27" s="1930">
        <v>2266</v>
      </c>
      <c r="T27" s="1230">
        <v>2394</v>
      </c>
      <c r="U27" s="1230">
        <v>2341</v>
      </c>
      <c r="V27" s="1231">
        <v>2165</v>
      </c>
      <c r="W27" s="1230">
        <v>2008</v>
      </c>
      <c r="X27" s="1230">
        <v>1864</v>
      </c>
      <c r="Y27" s="1230">
        <v>2420</v>
      </c>
      <c r="Z27" s="1231">
        <v>2404</v>
      </c>
      <c r="AA27" s="1230">
        <v>2447</v>
      </c>
      <c r="AB27" s="1230">
        <v>2117</v>
      </c>
      <c r="AC27" s="1230">
        <v>1907</v>
      </c>
      <c r="AD27" s="1231">
        <v>2036</v>
      </c>
      <c r="AE27" s="1230">
        <v>1742</v>
      </c>
      <c r="AF27" s="1230">
        <v>1812</v>
      </c>
      <c r="AG27" s="1230">
        <v>1688</v>
      </c>
      <c r="AH27" s="1231">
        <v>1477</v>
      </c>
      <c r="AI27" s="1370">
        <v>13</v>
      </c>
      <c r="AJ27" s="1205"/>
      <c r="AK27" s="1205"/>
      <c r="AL27" s="1409"/>
      <c r="AM27" s="1205"/>
      <c r="AN27" s="1205"/>
      <c r="AO27" s="1205"/>
      <c r="AP27" s="1205"/>
      <c r="AQ27" s="1230">
        <v>649</v>
      </c>
      <c r="AR27" s="1230">
        <v>637</v>
      </c>
      <c r="AS27" s="1230">
        <v>618</v>
      </c>
      <c r="AT27" s="1231">
        <v>602</v>
      </c>
      <c r="AU27" s="1230">
        <v>655</v>
      </c>
      <c r="AV27" s="1230">
        <v>463</v>
      </c>
      <c r="AW27" s="1230">
        <v>411</v>
      </c>
      <c r="AX27" s="1231">
        <v>409</v>
      </c>
      <c r="AY27" s="1196">
        <v>436</v>
      </c>
      <c r="AZ27" s="1270">
        <v>495</v>
      </c>
      <c r="BA27" s="1270">
        <v>472</v>
      </c>
      <c r="BB27" s="1270">
        <v>430</v>
      </c>
      <c r="BC27" s="1237">
        <v>438</v>
      </c>
      <c r="BD27" s="1231">
        <v>380</v>
      </c>
      <c r="BE27" s="1231">
        <v>420</v>
      </c>
      <c r="BF27" s="1231">
        <v>410</v>
      </c>
      <c r="BG27" s="1034"/>
      <c r="BH27" s="1298">
        <v>15168</v>
      </c>
      <c r="BI27" s="1007">
        <v>11557</v>
      </c>
      <c r="BJ27" s="1006">
        <v>3611</v>
      </c>
      <c r="BK27" s="1035">
        <v>0.31245132819935967</v>
      </c>
      <c r="BL27" s="1201"/>
      <c r="BM27" s="2527">
        <v>15168</v>
      </c>
      <c r="BN27" s="2527">
        <v>11557</v>
      </c>
      <c r="BO27" s="1668">
        <v>8033</v>
      </c>
      <c r="BP27" s="2231">
        <v>9166</v>
      </c>
      <c r="BQ27" s="2527">
        <v>8696</v>
      </c>
      <c r="BR27" s="2527">
        <v>8507</v>
      </c>
      <c r="BS27" s="1367">
        <v>6719</v>
      </c>
      <c r="BT27" s="1367">
        <v>13</v>
      </c>
      <c r="BU27" s="2015"/>
      <c r="BV27" s="2015"/>
      <c r="BW27" s="2015"/>
      <c r="BX27" s="2015"/>
      <c r="BY27" s="1317">
        <v>1648</v>
      </c>
      <c r="BZ27" s="2166">
        <v>1439</v>
      </c>
      <c r="CA27" s="2166">
        <v>1087</v>
      </c>
      <c r="CB27" s="2166">
        <v>1295</v>
      </c>
      <c r="CC27" s="900"/>
      <c r="CD27" s="934"/>
      <c r="CE27" s="2728">
        <v>1766</v>
      </c>
      <c r="CF27" s="1180">
        <v>0.90657084188911707</v>
      </c>
      <c r="CG27" s="1180">
        <v>-1418</v>
      </c>
      <c r="CH27" s="1180">
        <v>-0.81667159104954079</v>
      </c>
      <c r="CJ27" s="1920">
        <v>7690</v>
      </c>
      <c r="CK27" s="1315">
        <v>7478</v>
      </c>
      <c r="CL27" s="1920"/>
      <c r="CM27" s="1315">
        <v>3611</v>
      </c>
      <c r="CN27" s="1315">
        <v>0.31245132819935967</v>
      </c>
      <c r="CO27" s="1315">
        <v>0</v>
      </c>
      <c r="CP27" s="1180">
        <v>0</v>
      </c>
    </row>
    <row r="28" spans="1:94" ht="12.75" customHeight="1" x14ac:dyDescent="0.2">
      <c r="A28" s="948"/>
      <c r="B28" s="1528" t="s">
        <v>684</v>
      </c>
      <c r="C28" s="957">
        <v>834</v>
      </c>
      <c r="D28" s="1035" t="s">
        <v>41</v>
      </c>
      <c r="E28" s="920"/>
      <c r="F28" s="2223">
        <v>834</v>
      </c>
      <c r="G28" s="1961">
        <v>0</v>
      </c>
      <c r="H28" s="1065">
        <v>0</v>
      </c>
      <c r="I28" s="1065">
        <v>0</v>
      </c>
      <c r="J28" s="1066">
        <v>0</v>
      </c>
      <c r="K28" s="1961">
        <v>0</v>
      </c>
      <c r="L28" s="1065">
        <v>0</v>
      </c>
      <c r="M28" s="1065">
        <v>0</v>
      </c>
      <c r="N28" s="1066">
        <v>0</v>
      </c>
      <c r="O28" s="1230"/>
      <c r="P28" s="1230"/>
      <c r="Q28" s="1230"/>
      <c r="R28" s="1231"/>
      <c r="S28" s="1930"/>
      <c r="T28" s="1230"/>
      <c r="U28" s="1230"/>
      <c r="V28" s="1231"/>
      <c r="W28" s="1230"/>
      <c r="X28" s="1230"/>
      <c r="Y28" s="1230"/>
      <c r="Z28" s="1231"/>
      <c r="AA28" s="1230"/>
      <c r="AB28" s="1230"/>
      <c r="AC28" s="1230"/>
      <c r="AD28" s="1231"/>
      <c r="AE28" s="1230"/>
      <c r="AF28" s="1230"/>
      <c r="AG28" s="1230"/>
      <c r="AH28" s="1231"/>
      <c r="AI28" s="1230"/>
      <c r="AJ28" s="1205"/>
      <c r="AK28" s="1205"/>
      <c r="AL28" s="1409"/>
      <c r="AM28" s="1205"/>
      <c r="AN28" s="1205"/>
      <c r="AO28" s="1205"/>
      <c r="AP28" s="1205"/>
      <c r="AQ28" s="1230"/>
      <c r="AR28" s="1230"/>
      <c r="AS28" s="1230"/>
      <c r="AT28" s="1231"/>
      <c r="AU28" s="1230"/>
      <c r="AV28" s="1230"/>
      <c r="AW28" s="1230"/>
      <c r="AX28" s="1231"/>
      <c r="AY28" s="1196"/>
      <c r="AZ28" s="1270"/>
      <c r="BA28" s="1270"/>
      <c r="BB28" s="1270"/>
      <c r="BC28" s="1237"/>
      <c r="BD28" s="1231"/>
      <c r="BE28" s="1231"/>
      <c r="BF28" s="1231"/>
      <c r="BG28" s="1034"/>
      <c r="BH28" s="1298"/>
      <c r="BI28" s="1007"/>
      <c r="BJ28" s="1006"/>
      <c r="BK28" s="1035"/>
      <c r="BL28" s="1201"/>
      <c r="BM28" s="2527">
        <v>0</v>
      </c>
      <c r="BN28" s="2527">
        <v>0</v>
      </c>
      <c r="BO28" s="1668">
        <v>0</v>
      </c>
      <c r="BP28" s="2231">
        <v>0</v>
      </c>
      <c r="BQ28" s="2527">
        <v>0</v>
      </c>
      <c r="BR28" s="2527"/>
      <c r="BS28" s="1367"/>
      <c r="BT28" s="1367"/>
      <c r="BU28" s="2015"/>
      <c r="BV28" s="2015"/>
      <c r="BW28" s="2015"/>
      <c r="BX28" s="2015"/>
      <c r="BY28" s="1317"/>
      <c r="BZ28" s="2166"/>
      <c r="CA28" s="2166"/>
      <c r="CB28" s="2166"/>
      <c r="CC28" s="900"/>
      <c r="CD28" s="934"/>
      <c r="CE28" s="2728"/>
      <c r="CJ28" s="1920"/>
      <c r="CK28" s="1315"/>
      <c r="CL28" s="1920"/>
      <c r="CM28" s="1315"/>
      <c r="CN28" s="1315"/>
      <c r="CO28" s="1315"/>
    </row>
    <row r="29" spans="1:94" ht="12.75" customHeight="1" x14ac:dyDescent="0.2">
      <c r="A29" s="946"/>
      <c r="B29" s="954" t="s">
        <v>70</v>
      </c>
      <c r="C29" s="957">
        <v>664</v>
      </c>
      <c r="D29" s="1035">
        <v>0.34262125902992774</v>
      </c>
      <c r="E29" s="1166"/>
      <c r="F29" s="2223">
        <v>2602</v>
      </c>
      <c r="G29" s="1155">
        <v>694</v>
      </c>
      <c r="H29" s="1007">
        <v>2156</v>
      </c>
      <c r="I29" s="1007">
        <v>2022</v>
      </c>
      <c r="J29" s="1260">
        <v>1938</v>
      </c>
      <c r="K29" s="1007">
        <v>2097</v>
      </c>
      <c r="L29" s="1007">
        <v>297</v>
      </c>
      <c r="M29" s="1007">
        <v>90</v>
      </c>
      <c r="N29" s="1260">
        <v>141</v>
      </c>
      <c r="O29" s="1007">
        <v>1359</v>
      </c>
      <c r="P29" s="1007">
        <v>707</v>
      </c>
      <c r="Q29" s="1007">
        <v>415</v>
      </c>
      <c r="R29" s="1260">
        <v>569</v>
      </c>
      <c r="S29" s="1261">
        <v>899</v>
      </c>
      <c r="T29" s="1007">
        <v>853</v>
      </c>
      <c r="U29" s="1007">
        <v>1306</v>
      </c>
      <c r="V29" s="1260">
        <v>1248</v>
      </c>
      <c r="W29" s="1007">
        <v>775</v>
      </c>
      <c r="X29" s="1007">
        <v>1318</v>
      </c>
      <c r="Y29" s="1007">
        <v>1030</v>
      </c>
      <c r="Z29" s="1260">
        <v>1372</v>
      </c>
      <c r="AA29" s="1007">
        <v>1262</v>
      </c>
      <c r="AB29" s="1007">
        <v>1291</v>
      </c>
      <c r="AC29" s="1007">
        <v>1371</v>
      </c>
      <c r="AD29" s="1260">
        <v>969</v>
      </c>
      <c r="AE29" s="1007">
        <v>943</v>
      </c>
      <c r="AF29" s="1007">
        <v>2003</v>
      </c>
      <c r="AG29" s="1007">
        <v>0</v>
      </c>
      <c r="AH29" s="1260">
        <v>0</v>
      </c>
      <c r="AI29" s="1205">
        <v>0</v>
      </c>
      <c r="AJ29" s="1205"/>
      <c r="AK29" s="1205"/>
      <c r="AL29" s="1409"/>
      <c r="AM29" s="1205"/>
      <c r="AN29" s="1205"/>
      <c r="AO29" s="1205"/>
      <c r="AP29" s="1205"/>
      <c r="AQ29" s="1230">
        <v>2574</v>
      </c>
      <c r="AR29" s="1230">
        <v>3216</v>
      </c>
      <c r="AS29" s="1230">
        <v>2613</v>
      </c>
      <c r="AT29" s="1231">
        <v>1905</v>
      </c>
      <c r="AU29" s="1230">
        <v>2597</v>
      </c>
      <c r="AV29" s="1230">
        <v>2312</v>
      </c>
      <c r="AW29" s="1230">
        <v>1378</v>
      </c>
      <c r="AX29" s="1231">
        <v>1566</v>
      </c>
      <c r="AY29" s="1196">
        <v>1897</v>
      </c>
      <c r="AZ29" s="1270">
        <v>1550</v>
      </c>
      <c r="BA29" s="1270">
        <v>1341</v>
      </c>
      <c r="BB29" s="1270">
        <v>1372</v>
      </c>
      <c r="BC29" s="1237">
        <v>1370</v>
      </c>
      <c r="BD29" s="1231">
        <v>1663</v>
      </c>
      <c r="BE29" s="1231">
        <v>1517</v>
      </c>
      <c r="BF29" s="1231">
        <v>1521</v>
      </c>
      <c r="BG29" s="1034"/>
      <c r="BH29" s="1298">
        <v>6810</v>
      </c>
      <c r="BI29" s="1007">
        <v>2625</v>
      </c>
      <c r="BJ29" s="1006">
        <v>4185</v>
      </c>
      <c r="BK29" s="1035">
        <v>1.5942857142857143</v>
      </c>
      <c r="BL29" s="1201"/>
      <c r="BM29" s="2527">
        <v>6810</v>
      </c>
      <c r="BN29" s="2527">
        <v>2625</v>
      </c>
      <c r="BO29" s="1668">
        <v>3050</v>
      </c>
      <c r="BP29" s="2231">
        <v>4306</v>
      </c>
      <c r="BQ29" s="2527">
        <v>4495</v>
      </c>
      <c r="BR29" s="2527">
        <v>4893</v>
      </c>
      <c r="BS29" s="1038">
        <v>2946</v>
      </c>
      <c r="BT29" s="1845">
        <v>0</v>
      </c>
      <c r="BU29" s="2015"/>
      <c r="BV29" s="2015"/>
      <c r="BW29" s="2015"/>
      <c r="BX29" s="2015"/>
      <c r="BY29" s="1317">
        <v>6071</v>
      </c>
      <c r="BZ29" s="2166">
        <v>4302</v>
      </c>
      <c r="CA29" s="2166">
        <v>2798</v>
      </c>
      <c r="CB29" s="2166">
        <v>3261</v>
      </c>
      <c r="CC29" s="900"/>
      <c r="CD29" s="934"/>
      <c r="CE29" s="2728">
        <v>-410</v>
      </c>
      <c r="CF29" s="1180">
        <v>-0.57991513437057995</v>
      </c>
      <c r="CG29" s="1180">
        <v>1074</v>
      </c>
      <c r="CH29" s="1180">
        <v>0.92253639340050775</v>
      </c>
      <c r="CJ29" s="1920">
        <v>528</v>
      </c>
      <c r="CK29" s="1315">
        <v>6282</v>
      </c>
      <c r="CL29" s="1920"/>
      <c r="CM29" s="1315">
        <v>4185</v>
      </c>
      <c r="CN29" s="1315">
        <v>1.5942857142857143</v>
      </c>
      <c r="CO29" s="1315">
        <v>0</v>
      </c>
      <c r="CP29" s="1180">
        <v>0</v>
      </c>
    </row>
    <row r="30" spans="1:94" ht="12.75" customHeight="1" x14ac:dyDescent="0.2">
      <c r="A30" s="946"/>
      <c r="B30" s="946" t="s">
        <v>164</v>
      </c>
      <c r="C30" s="957">
        <v>0</v>
      </c>
      <c r="D30" s="1035">
        <v>0</v>
      </c>
      <c r="E30" s="920"/>
      <c r="F30" s="2965">
        <v>0</v>
      </c>
      <c r="G30" s="1961">
        <v>0</v>
      </c>
      <c r="H30" s="1007">
        <v>0</v>
      </c>
      <c r="I30" s="1007">
        <v>0</v>
      </c>
      <c r="J30" s="1260">
        <v>0</v>
      </c>
      <c r="K30" s="1007">
        <v>939</v>
      </c>
      <c r="L30" s="1007">
        <v>0</v>
      </c>
      <c r="M30" s="1007">
        <v>2000</v>
      </c>
      <c r="N30" s="1260">
        <v>0</v>
      </c>
      <c r="O30" s="1007">
        <v>0</v>
      </c>
      <c r="P30" s="1007">
        <v>0</v>
      </c>
      <c r="Q30" s="1007">
        <v>0</v>
      </c>
      <c r="R30" s="1260">
        <v>0</v>
      </c>
      <c r="S30" s="1261">
        <v>0</v>
      </c>
      <c r="T30" s="1007">
        <v>0</v>
      </c>
      <c r="U30" s="1007">
        <v>0</v>
      </c>
      <c r="V30" s="1260">
        <v>0</v>
      </c>
      <c r="W30" s="1007">
        <v>0</v>
      </c>
      <c r="X30" s="1007">
        <v>0</v>
      </c>
      <c r="Y30" s="1007">
        <v>0</v>
      </c>
      <c r="Z30" s="1260">
        <v>783</v>
      </c>
      <c r="AA30" s="1007">
        <v>0</v>
      </c>
      <c r="AB30" s="1007">
        <v>0</v>
      </c>
      <c r="AC30" s="1007">
        <v>0</v>
      </c>
      <c r="AD30" s="1260">
        <v>0</v>
      </c>
      <c r="AE30" s="1007">
        <v>884</v>
      </c>
      <c r="AF30" s="1007">
        <v>1034</v>
      </c>
      <c r="AG30" s="1007">
        <v>0</v>
      </c>
      <c r="AH30" s="1260">
        <v>0</v>
      </c>
      <c r="AI30" s="1205">
        <v>0</v>
      </c>
      <c r="AJ30" s="1205"/>
      <c r="AK30" s="1205"/>
      <c r="AL30" s="1409"/>
      <c r="AM30" s="1205"/>
      <c r="AN30" s="1205"/>
      <c r="AO30" s="1205"/>
      <c r="AP30" s="1205"/>
      <c r="AQ30" s="1007">
        <v>0</v>
      </c>
      <c r="AR30" s="1007">
        <v>0</v>
      </c>
      <c r="AS30" s="1007">
        <v>0</v>
      </c>
      <c r="AT30" s="1260">
        <v>0</v>
      </c>
      <c r="AU30" s="1007">
        <v>0</v>
      </c>
      <c r="AV30" s="1007">
        <v>5347</v>
      </c>
      <c r="AW30" s="1007">
        <v>0</v>
      </c>
      <c r="AX30" s="1035">
        <v>0</v>
      </c>
      <c r="AY30" s="1209">
        <v>54200</v>
      </c>
      <c r="AZ30" s="1007">
        <v>0</v>
      </c>
      <c r="BA30" s="1007">
        <v>0</v>
      </c>
      <c r="BB30" s="1260">
        <v>0</v>
      </c>
      <c r="BC30" s="1261">
        <v>0</v>
      </c>
      <c r="BD30" s="1260">
        <v>0</v>
      </c>
      <c r="BE30" s="1260">
        <v>0</v>
      </c>
      <c r="BF30" s="1260">
        <v>0</v>
      </c>
      <c r="BG30" s="1034"/>
      <c r="BH30" s="1914">
        <v>0</v>
      </c>
      <c r="BI30" s="1007">
        <v>2939</v>
      </c>
      <c r="BJ30" s="1006">
        <v>-2939</v>
      </c>
      <c r="BK30" s="1035">
        <v>-1</v>
      </c>
      <c r="BL30" s="1201"/>
      <c r="BM30" s="2527">
        <v>0</v>
      </c>
      <c r="BN30" s="2527">
        <v>2939</v>
      </c>
      <c r="BO30" s="1668">
        <v>0</v>
      </c>
      <c r="BP30" s="2231">
        <v>0</v>
      </c>
      <c r="BQ30" s="2527">
        <v>783</v>
      </c>
      <c r="BR30" s="2527">
        <v>0</v>
      </c>
      <c r="BS30" s="1905">
        <v>1918</v>
      </c>
      <c r="BT30" s="1905">
        <v>0</v>
      </c>
      <c r="BU30" s="2532"/>
      <c r="BV30" s="2532"/>
      <c r="BW30" s="2015"/>
      <c r="BX30" s="2532"/>
      <c r="BY30" s="2535">
        <v>0</v>
      </c>
      <c r="BZ30" s="2166">
        <v>0</v>
      </c>
      <c r="CA30" s="2166">
        <v>0</v>
      </c>
      <c r="CB30" s="2166">
        <v>0</v>
      </c>
      <c r="CC30" s="900"/>
      <c r="CD30" s="934"/>
      <c r="CE30" s="2728">
        <v>0</v>
      </c>
      <c r="CF30" s="1180" t="e">
        <v>#DIV/0!</v>
      </c>
      <c r="CG30" s="1180">
        <v>0</v>
      </c>
      <c r="CH30" s="1180" t="e">
        <v>#DIV/0!</v>
      </c>
      <c r="CJ30" s="1920">
        <v>2000</v>
      </c>
      <c r="CK30" s="1315">
        <v>-2000</v>
      </c>
      <c r="CL30" s="1920"/>
      <c r="CM30" s="1315">
        <v>-2939</v>
      </c>
      <c r="CN30" s="1315">
        <v>-1</v>
      </c>
      <c r="CO30" s="1315">
        <v>0</v>
      </c>
      <c r="CP30" s="1180">
        <v>0</v>
      </c>
    </row>
    <row r="31" spans="1:94" ht="12.75" customHeight="1" x14ac:dyDescent="0.2">
      <c r="A31" s="946"/>
      <c r="B31" s="954" t="s">
        <v>185</v>
      </c>
      <c r="C31" s="957">
        <v>335</v>
      </c>
      <c r="D31" s="1035">
        <v>0</v>
      </c>
      <c r="E31" s="920"/>
      <c r="F31" s="2223">
        <v>335</v>
      </c>
      <c r="G31" s="1155">
        <v>918</v>
      </c>
      <c r="H31" s="1007">
        <v>170</v>
      </c>
      <c r="I31" s="1007">
        <v>0</v>
      </c>
      <c r="J31" s="1260">
        <v>0</v>
      </c>
      <c r="K31" s="1007">
        <v>184</v>
      </c>
      <c r="L31" s="1007">
        <v>0</v>
      </c>
      <c r="M31" s="1007">
        <v>4364</v>
      </c>
      <c r="N31" s="1260">
        <v>2184</v>
      </c>
      <c r="O31" s="1007">
        <v>0</v>
      </c>
      <c r="P31" s="1007">
        <v>0</v>
      </c>
      <c r="Q31" s="1007">
        <v>0</v>
      </c>
      <c r="R31" s="1260">
        <v>0</v>
      </c>
      <c r="S31" s="1261">
        <v>0</v>
      </c>
      <c r="T31" s="1007">
        <v>0</v>
      </c>
      <c r="U31" s="1007">
        <v>0</v>
      </c>
      <c r="V31" s="1260">
        <v>0</v>
      </c>
      <c r="W31" s="1007">
        <v>0</v>
      </c>
      <c r="X31" s="1007">
        <v>0</v>
      </c>
      <c r="Y31" s="1007">
        <v>0</v>
      </c>
      <c r="Z31" s="1260">
        <v>0</v>
      </c>
      <c r="AA31" s="1007">
        <v>0</v>
      </c>
      <c r="AB31" s="1007">
        <v>0</v>
      </c>
      <c r="AC31" s="1007">
        <v>0</v>
      </c>
      <c r="AD31" s="1260">
        <v>0</v>
      </c>
      <c r="AE31" s="1007">
        <v>0</v>
      </c>
      <c r="AF31" s="1007">
        <v>431</v>
      </c>
      <c r="AG31" s="1007">
        <v>900</v>
      </c>
      <c r="AH31" s="1260">
        <v>0</v>
      </c>
      <c r="AI31" s="1370">
        <v>4077</v>
      </c>
      <c r="AJ31" s="1205"/>
      <c r="AK31" s="1205"/>
      <c r="AL31" s="1409"/>
      <c r="AM31" s="1205"/>
      <c r="AN31" s="1205"/>
      <c r="AO31" s="1205"/>
      <c r="AP31" s="1205"/>
      <c r="AQ31" s="1230"/>
      <c r="AR31" s="1230"/>
      <c r="AS31" s="1230"/>
      <c r="AT31" s="1231"/>
      <c r="AU31" s="1230"/>
      <c r="AV31" s="1230"/>
      <c r="AW31" s="1230"/>
      <c r="AX31" s="1231"/>
      <c r="AY31" s="1196"/>
      <c r="AZ31" s="1270"/>
      <c r="BA31" s="1270"/>
      <c r="BB31" s="1270"/>
      <c r="BC31" s="1237"/>
      <c r="BD31" s="1231"/>
      <c r="BE31" s="1231"/>
      <c r="BF31" s="1231"/>
      <c r="BG31" s="1034"/>
      <c r="BH31" s="1298">
        <v>1088</v>
      </c>
      <c r="BI31" s="1007">
        <v>6732</v>
      </c>
      <c r="BJ31" s="1006">
        <v>-5644</v>
      </c>
      <c r="BK31" s="1035">
        <v>-0.83838383838383834</v>
      </c>
      <c r="BL31" s="1201"/>
      <c r="BM31" s="2527">
        <v>1088</v>
      </c>
      <c r="BN31" s="2527">
        <v>6732</v>
      </c>
      <c r="BO31" s="1668">
        <v>0</v>
      </c>
      <c r="BP31" s="2231">
        <v>0</v>
      </c>
      <c r="BQ31" s="2527">
        <v>0</v>
      </c>
      <c r="BR31" s="2527">
        <v>0</v>
      </c>
      <c r="BS31" s="1367">
        <v>1331</v>
      </c>
      <c r="BT31" s="1367">
        <v>4077</v>
      </c>
      <c r="BU31" s="2015"/>
      <c r="BV31" s="2015"/>
      <c r="BW31" s="2015"/>
      <c r="BX31" s="2015"/>
      <c r="BY31" s="1317"/>
      <c r="BZ31" s="2166"/>
      <c r="CA31" s="2166"/>
      <c r="CB31" s="2166"/>
      <c r="CC31" s="900"/>
      <c r="CD31" s="934"/>
      <c r="CE31" s="2728">
        <v>0</v>
      </c>
      <c r="CF31" s="1180" t="e">
        <v>#DIV/0!</v>
      </c>
      <c r="CG31" s="1180">
        <v>335</v>
      </c>
      <c r="CH31" s="1180" t="e">
        <v>#DIV/0!</v>
      </c>
      <c r="CJ31" s="1920">
        <v>6548</v>
      </c>
      <c r="CK31" s="1315">
        <v>-5460</v>
      </c>
      <c r="CL31" s="1920"/>
      <c r="CM31" s="1315">
        <v>-5644</v>
      </c>
      <c r="CN31" s="1315">
        <v>-0.83838383838383834</v>
      </c>
      <c r="CO31" s="1315">
        <v>0</v>
      </c>
      <c r="CP31" s="1180">
        <v>0</v>
      </c>
    </row>
    <row r="32" spans="1:94" ht="12.75" hidden="1" customHeight="1" x14ac:dyDescent="0.2">
      <c r="A32" s="946"/>
      <c r="B32" s="946"/>
      <c r="C32" s="957">
        <v>0</v>
      </c>
      <c r="D32" s="1035">
        <v>0</v>
      </c>
      <c r="E32" s="920"/>
      <c r="F32" s="2965">
        <v>0</v>
      </c>
      <c r="G32" s="1961"/>
      <c r="H32" s="1007"/>
      <c r="I32" s="1007"/>
      <c r="J32" s="1260"/>
      <c r="K32" s="1007"/>
      <c r="L32" s="1007"/>
      <c r="M32" s="1007"/>
      <c r="N32" s="1260"/>
      <c r="O32" s="1007">
        <v>0</v>
      </c>
      <c r="P32" s="1007">
        <v>0</v>
      </c>
      <c r="Q32" s="1007">
        <v>0</v>
      </c>
      <c r="R32" s="1260">
        <v>0</v>
      </c>
      <c r="S32" s="1261"/>
      <c r="T32" s="1007"/>
      <c r="U32" s="1007"/>
      <c r="V32" s="1260"/>
      <c r="W32" s="1007"/>
      <c r="X32" s="1007"/>
      <c r="Y32" s="1007"/>
      <c r="Z32" s="1260"/>
      <c r="AA32" s="1007"/>
      <c r="AB32" s="1007"/>
      <c r="AC32" s="1007"/>
      <c r="AD32" s="1260"/>
      <c r="AE32" s="1007"/>
      <c r="AF32" s="1007"/>
      <c r="AG32" s="1007"/>
      <c r="AH32" s="1260"/>
      <c r="AI32" s="1205"/>
      <c r="AJ32" s="1205"/>
      <c r="AK32" s="1205"/>
      <c r="AL32" s="1409"/>
      <c r="AM32" s="1205"/>
      <c r="AN32" s="1205"/>
      <c r="AO32" s="1205"/>
      <c r="AP32" s="1205"/>
      <c r="AQ32" s="1007"/>
      <c r="AR32" s="1007"/>
      <c r="AS32" s="1007"/>
      <c r="AT32" s="1260"/>
      <c r="AU32" s="1007"/>
      <c r="AV32" s="1007"/>
      <c r="AW32" s="1007"/>
      <c r="AX32" s="1035"/>
      <c r="AY32" s="1209"/>
      <c r="AZ32" s="1007"/>
      <c r="BA32" s="1007"/>
      <c r="BB32" s="1260"/>
      <c r="BC32" s="1261"/>
      <c r="BD32" s="1260"/>
      <c r="BE32" s="1260"/>
      <c r="BF32" s="1260"/>
      <c r="BG32" s="1034"/>
      <c r="BH32" s="1298">
        <v>0</v>
      </c>
      <c r="BI32" s="1007">
        <v>0</v>
      </c>
      <c r="BJ32" s="1006"/>
      <c r="BK32" s="1035"/>
      <c r="BL32" s="1201"/>
      <c r="BM32" s="2527">
        <v>0</v>
      </c>
      <c r="BN32" s="2527">
        <v>0</v>
      </c>
      <c r="BO32" s="2233">
        <v>0</v>
      </c>
      <c r="BP32" s="2527"/>
      <c r="BQ32" s="2527"/>
      <c r="BR32" s="2527"/>
      <c r="BS32" s="1905"/>
      <c r="BT32" s="1905"/>
      <c r="BU32" s="2532"/>
      <c r="BV32" s="2532"/>
      <c r="BW32" s="2015"/>
      <c r="BX32" s="2532"/>
      <c r="BY32" s="2535"/>
      <c r="BZ32" s="2166"/>
      <c r="CA32" s="2166"/>
      <c r="CB32" s="2166"/>
      <c r="CC32" s="900"/>
      <c r="CD32" s="934"/>
      <c r="CE32" s="2728">
        <v>0</v>
      </c>
      <c r="CF32" s="1180" t="e">
        <v>#DIV/0!</v>
      </c>
      <c r="CG32" s="1180">
        <v>0</v>
      </c>
      <c r="CH32" s="1180" t="e">
        <v>#DIV/0!</v>
      </c>
      <c r="CJ32" s="1920">
        <v>0</v>
      </c>
      <c r="CK32" s="1315">
        <v>0</v>
      </c>
      <c r="CL32" s="1920"/>
      <c r="CM32" s="1315">
        <v>0</v>
      </c>
      <c r="CN32" s="1315" t="e">
        <v>#DIV/0!</v>
      </c>
      <c r="CO32" s="1315">
        <v>0</v>
      </c>
      <c r="CP32" s="1180" t="e">
        <v>#DIV/0!</v>
      </c>
    </row>
    <row r="33" spans="1:94" ht="12.75" customHeight="1" x14ac:dyDescent="0.2">
      <c r="A33" s="946"/>
      <c r="B33" s="1201" t="s">
        <v>621</v>
      </c>
      <c r="C33" s="957">
        <v>0</v>
      </c>
      <c r="D33" s="1035">
        <v>0</v>
      </c>
      <c r="E33" s="920"/>
      <c r="F33" s="2965">
        <v>0</v>
      </c>
      <c r="G33" s="1961">
        <v>0</v>
      </c>
      <c r="H33" s="1007">
        <v>0</v>
      </c>
      <c r="I33" s="1007">
        <v>0</v>
      </c>
      <c r="J33" s="1260">
        <v>0</v>
      </c>
      <c r="K33" s="1007">
        <v>3390</v>
      </c>
      <c r="L33" s="1007">
        <v>0</v>
      </c>
      <c r="M33" s="1007">
        <v>0</v>
      </c>
      <c r="N33" s="1260">
        <v>0</v>
      </c>
      <c r="O33" s="1007">
        <v>0</v>
      </c>
      <c r="P33" s="1007">
        <v>0</v>
      </c>
      <c r="Q33" s="1007">
        <v>0</v>
      </c>
      <c r="R33" s="1260">
        <v>0</v>
      </c>
      <c r="S33" s="1261"/>
      <c r="T33" s="1007"/>
      <c r="U33" s="1007"/>
      <c r="V33" s="1260"/>
      <c r="W33" s="1007"/>
      <c r="X33" s="1007"/>
      <c r="Y33" s="1007"/>
      <c r="Z33" s="1260"/>
      <c r="AA33" s="1007"/>
      <c r="AB33" s="1007"/>
      <c r="AC33" s="1007"/>
      <c r="AD33" s="1260"/>
      <c r="AE33" s="1007"/>
      <c r="AF33" s="1007"/>
      <c r="AG33" s="1007"/>
      <c r="AH33" s="1260"/>
      <c r="AI33" s="1205"/>
      <c r="AJ33" s="1205"/>
      <c r="AK33" s="1205"/>
      <c r="AL33" s="1409"/>
      <c r="AM33" s="1205"/>
      <c r="AN33" s="1205"/>
      <c r="AO33" s="1205"/>
      <c r="AP33" s="1205"/>
      <c r="AQ33" s="1007"/>
      <c r="AR33" s="1007"/>
      <c r="AS33" s="1007"/>
      <c r="AT33" s="1260"/>
      <c r="AU33" s="1007"/>
      <c r="AV33" s="1007"/>
      <c r="AW33" s="1007"/>
      <c r="AX33" s="1035"/>
      <c r="AY33" s="1209"/>
      <c r="AZ33" s="1007"/>
      <c r="BA33" s="1007"/>
      <c r="BB33" s="1007"/>
      <c r="BC33" s="1261"/>
      <c r="BD33" s="1260"/>
      <c r="BE33" s="1260"/>
      <c r="BF33" s="1260"/>
      <c r="BG33" s="1034"/>
      <c r="BH33" s="1914">
        <v>0</v>
      </c>
      <c r="BI33" s="1007">
        <v>3390</v>
      </c>
      <c r="BJ33" s="1006">
        <v>-3390</v>
      </c>
      <c r="BK33" s="1035">
        <v>0</v>
      </c>
      <c r="BL33" s="1201"/>
      <c r="BM33" s="2527">
        <v>0</v>
      </c>
      <c r="BN33" s="2527">
        <v>3390</v>
      </c>
      <c r="BO33" s="1668">
        <v>0</v>
      </c>
      <c r="BP33" s="2231">
        <v>0</v>
      </c>
      <c r="BQ33" s="2524">
        <v>783</v>
      </c>
      <c r="BR33" s="2527">
        <v>0</v>
      </c>
      <c r="BS33" s="1905"/>
      <c r="BT33" s="1905"/>
      <c r="BU33" s="2532"/>
      <c r="BV33" s="2532"/>
      <c r="BW33" s="2015"/>
      <c r="BX33" s="2532"/>
      <c r="BY33" s="2535"/>
      <c r="BZ33" s="2166"/>
      <c r="CA33" s="2166"/>
      <c r="CB33" s="2166"/>
      <c r="CC33" s="900"/>
      <c r="CD33" s="934"/>
      <c r="CE33" s="2728"/>
      <c r="CJ33" s="1920"/>
      <c r="CK33" s="1315"/>
      <c r="CL33" s="1920"/>
      <c r="CM33" s="1315"/>
      <c r="CN33" s="1315"/>
      <c r="CO33" s="1315"/>
    </row>
    <row r="34" spans="1:94" ht="12.75" customHeight="1" x14ac:dyDescent="0.2">
      <c r="A34" s="948"/>
      <c r="B34" s="940"/>
      <c r="C34" s="1189">
        <v>5788</v>
      </c>
      <c r="D34" s="1190">
        <v>0.10274252241057957</v>
      </c>
      <c r="E34" s="920"/>
      <c r="F34" s="2959">
        <v>62123</v>
      </c>
      <c r="G34" s="1238">
        <v>55153</v>
      </c>
      <c r="H34" s="1238">
        <v>55520</v>
      </c>
      <c r="I34" s="1238">
        <v>54905</v>
      </c>
      <c r="J34" s="1239">
        <v>56335</v>
      </c>
      <c r="K34" s="1238">
        <v>63691</v>
      </c>
      <c r="L34" s="1238">
        <v>51799</v>
      </c>
      <c r="M34" s="1238">
        <v>37322</v>
      </c>
      <c r="N34" s="1239">
        <v>32765</v>
      </c>
      <c r="O34" s="1238">
        <v>28498</v>
      </c>
      <c r="P34" s="1238">
        <v>27376</v>
      </c>
      <c r="Q34" s="1238">
        <v>27372</v>
      </c>
      <c r="R34" s="1240">
        <v>27978</v>
      </c>
      <c r="S34" s="1944">
        <v>31066</v>
      </c>
      <c r="T34" s="1238">
        <v>29462</v>
      </c>
      <c r="U34" s="1238">
        <v>28988</v>
      </c>
      <c r="V34" s="1240">
        <v>28827</v>
      </c>
      <c r="W34" s="1238">
        <v>28996</v>
      </c>
      <c r="X34" s="1238">
        <v>25952</v>
      </c>
      <c r="Y34" s="1238">
        <v>26258</v>
      </c>
      <c r="Z34" s="1240">
        <v>26946</v>
      </c>
      <c r="AA34" s="1238">
        <v>26718</v>
      </c>
      <c r="AB34" s="1238">
        <v>23286</v>
      </c>
      <c r="AC34" s="1238">
        <v>22142</v>
      </c>
      <c r="AD34" s="1240">
        <v>22126</v>
      </c>
      <c r="AE34" s="1238">
        <v>21170</v>
      </c>
      <c r="AF34" s="1238">
        <v>23737</v>
      </c>
      <c r="AG34" s="1238">
        <v>18389</v>
      </c>
      <c r="AH34" s="1240">
        <v>17560</v>
      </c>
      <c r="AI34" s="1825">
        <v>5726</v>
      </c>
      <c r="AJ34" s="1847"/>
      <c r="AK34" s="1847"/>
      <c r="AL34" s="1277"/>
      <c r="AM34" s="1847"/>
      <c r="AN34" s="1847"/>
      <c r="AO34" s="1847"/>
      <c r="AP34" s="1277"/>
      <c r="AQ34" s="1238">
        <v>46835</v>
      </c>
      <c r="AR34" s="1238">
        <v>42047</v>
      </c>
      <c r="AS34" s="1238">
        <v>35213</v>
      </c>
      <c r="AT34" s="1240">
        <v>35168</v>
      </c>
      <c r="AU34" s="1238">
        <v>28967</v>
      </c>
      <c r="AV34" s="1238">
        <v>40216</v>
      </c>
      <c r="AW34" s="1238">
        <v>35911</v>
      </c>
      <c r="AX34" s="1240">
        <v>44683</v>
      </c>
      <c r="AY34" s="1384">
        <v>98603</v>
      </c>
      <c r="AZ34" s="1266">
        <v>48132</v>
      </c>
      <c r="BA34" s="1266">
        <v>44039</v>
      </c>
      <c r="BB34" s="1266">
        <v>57148</v>
      </c>
      <c r="BC34" s="1243">
        <v>55349</v>
      </c>
      <c r="BD34" s="1240">
        <v>50178</v>
      </c>
      <c r="BE34" s="1240">
        <v>41346</v>
      </c>
      <c r="BF34" s="1240">
        <v>55217</v>
      </c>
      <c r="BG34" s="1034"/>
      <c r="BH34" s="1238">
        <v>221913</v>
      </c>
      <c r="BI34" s="1238">
        <v>185577</v>
      </c>
      <c r="BJ34" s="1385">
        <v>36336</v>
      </c>
      <c r="BK34" s="1190">
        <v>0.19580012609321198</v>
      </c>
      <c r="BL34" s="1059"/>
      <c r="BM34" s="2538">
        <v>221913</v>
      </c>
      <c r="BN34" s="1944">
        <v>185577</v>
      </c>
      <c r="BO34" s="1238">
        <v>111224</v>
      </c>
      <c r="BP34" s="1944">
        <v>118343</v>
      </c>
      <c r="BQ34" s="1243">
        <v>108152</v>
      </c>
      <c r="BR34" s="1243">
        <v>94272</v>
      </c>
      <c r="BS34" s="1240">
        <v>80856</v>
      </c>
      <c r="BT34" s="1240">
        <v>5726</v>
      </c>
      <c r="BU34" s="2536"/>
      <c r="BV34" s="2537"/>
      <c r="BW34" s="2036"/>
      <c r="BX34" s="2036"/>
      <c r="BY34" s="2032">
        <v>202090</v>
      </c>
      <c r="BZ34" s="2167">
        <v>163976</v>
      </c>
      <c r="CA34" s="2167">
        <v>127504</v>
      </c>
      <c r="CB34" s="2167">
        <v>118638</v>
      </c>
      <c r="CC34" s="900"/>
      <c r="CD34" s="934"/>
      <c r="CE34" s="2728">
        <v>24423</v>
      </c>
      <c r="CF34" s="1180">
        <v>0.89213179427235534</v>
      </c>
      <c r="CG34" s="1180">
        <v>-18635</v>
      </c>
      <c r="CH34" s="1180">
        <v>-0.78938927186177577</v>
      </c>
      <c r="CJ34" s="1920">
        <v>121886</v>
      </c>
      <c r="CK34" s="1315">
        <v>100027</v>
      </c>
      <c r="CL34" s="1920"/>
      <c r="CM34" s="1315">
        <v>36336</v>
      </c>
      <c r="CN34" s="1315">
        <v>0.19580012609321198</v>
      </c>
      <c r="CO34" s="1315">
        <v>0</v>
      </c>
      <c r="CP34" s="1180">
        <v>0</v>
      </c>
    </row>
    <row r="35" spans="1:94" s="2304" customFormat="1" ht="13.5" thickBot="1" x14ac:dyDescent="0.25">
      <c r="A35" s="3199" t="s">
        <v>214</v>
      </c>
      <c r="B35" s="3200"/>
      <c r="C35" s="957">
        <v>348</v>
      </c>
      <c r="D35" s="1035">
        <v>3.6817604739737622E-2</v>
      </c>
      <c r="E35" s="920"/>
      <c r="F35" s="2002">
        <v>9800</v>
      </c>
      <c r="G35" s="1170">
        <v>8341</v>
      </c>
      <c r="H35" s="1270">
        <v>6257</v>
      </c>
      <c r="I35" s="1270">
        <v>9022</v>
      </c>
      <c r="J35" s="1231">
        <v>9452</v>
      </c>
      <c r="K35" s="1270">
        <v>1232</v>
      </c>
      <c r="L35" s="1270">
        <v>9146</v>
      </c>
      <c r="M35" s="1270">
        <v>160</v>
      </c>
      <c r="N35" s="1231">
        <v>5268</v>
      </c>
      <c r="O35" s="1270">
        <v>4567</v>
      </c>
      <c r="P35" s="1270">
        <v>7173</v>
      </c>
      <c r="Q35" s="1270">
        <v>6586</v>
      </c>
      <c r="R35" s="1382">
        <v>5269</v>
      </c>
      <c r="S35" s="1237">
        <v>3847</v>
      </c>
      <c r="T35" s="1270">
        <v>5578</v>
      </c>
      <c r="U35" s="1270">
        <v>5051</v>
      </c>
      <c r="V35" s="1382">
        <v>5540</v>
      </c>
      <c r="W35" s="1270">
        <v>6676</v>
      </c>
      <c r="X35" s="1270">
        <v>4013</v>
      </c>
      <c r="Y35" s="1270">
        <v>3528</v>
      </c>
      <c r="Z35" s="1382">
        <v>3182</v>
      </c>
      <c r="AA35" s="1270">
        <v>6502</v>
      </c>
      <c r="AB35" s="1270">
        <v>3732</v>
      </c>
      <c r="AC35" s="1270">
        <v>3688</v>
      </c>
      <c r="AD35" s="1382">
        <v>4852</v>
      </c>
      <c r="AE35" s="1270">
        <v>5536</v>
      </c>
      <c r="AF35" s="1269">
        <v>1055</v>
      </c>
      <c r="AG35" s="1269">
        <v>2283</v>
      </c>
      <c r="AH35" s="1780">
        <v>2027</v>
      </c>
      <c r="AI35" s="1195">
        <v>-3739</v>
      </c>
      <c r="AJ35" s="1276"/>
      <c r="AK35" s="1276"/>
      <c r="AL35" s="1277"/>
      <c r="AM35" s="1276"/>
      <c r="AN35" s="1276"/>
      <c r="AO35" s="1276"/>
      <c r="AP35" s="1277"/>
      <c r="AQ35" s="1270">
        <v>8155</v>
      </c>
      <c r="AR35" s="1381">
        <v>9686</v>
      </c>
      <c r="AS35" s="1270">
        <v>4925</v>
      </c>
      <c r="AT35" s="1382">
        <v>5017</v>
      </c>
      <c r="AU35" s="1381">
        <v>8288</v>
      </c>
      <c r="AV35" s="1381">
        <v>-6684</v>
      </c>
      <c r="AW35" s="1381">
        <v>7933</v>
      </c>
      <c r="AX35" s="1382">
        <v>13170</v>
      </c>
      <c r="AY35" s="1456">
        <v>-44140</v>
      </c>
      <c r="AZ35" s="1240">
        <v>13034</v>
      </c>
      <c r="BA35" s="1240">
        <v>13376</v>
      </c>
      <c r="BB35" s="1266">
        <v>18935</v>
      </c>
      <c r="BC35" s="1266">
        <v>20527</v>
      </c>
      <c r="BD35" s="1266">
        <v>18653</v>
      </c>
      <c r="BE35" s="1266">
        <v>14280</v>
      </c>
      <c r="BF35" s="1266">
        <v>17069</v>
      </c>
      <c r="BG35" s="1034"/>
      <c r="BH35" s="1266">
        <v>33072</v>
      </c>
      <c r="BI35" s="1006">
        <v>15806</v>
      </c>
      <c r="BJ35" s="1743">
        <v>17266</v>
      </c>
      <c r="BK35" s="1190">
        <v>1.092369986081235</v>
      </c>
      <c r="BL35" s="1059"/>
      <c r="BM35" s="2538">
        <v>33072</v>
      </c>
      <c r="BN35" s="2538">
        <v>15806</v>
      </c>
      <c r="BO35" s="2539">
        <v>23595</v>
      </c>
      <c r="BP35" s="2538">
        <v>20016</v>
      </c>
      <c r="BQ35" s="1243">
        <v>17399</v>
      </c>
      <c r="BR35" s="1243">
        <v>18774</v>
      </c>
      <c r="BS35" s="1243">
        <v>10901</v>
      </c>
      <c r="BT35" s="1268">
        <v>-3739</v>
      </c>
      <c r="BU35" s="2012"/>
      <c r="BV35" s="2036"/>
      <c r="BW35" s="1319"/>
      <c r="BX35" s="2540"/>
      <c r="BY35" s="1958">
        <v>70529</v>
      </c>
      <c r="BZ35" s="2024">
        <v>61218</v>
      </c>
      <c r="CA35" s="2024">
        <v>50672</v>
      </c>
      <c r="CB35" s="2168">
        <v>57345</v>
      </c>
      <c r="CC35" s="900"/>
      <c r="CD35" s="2757"/>
      <c r="CE35" s="2728">
        <v>1973</v>
      </c>
      <c r="CF35" s="1180">
        <v>0.27505924996514708</v>
      </c>
      <c r="CG35" s="1180">
        <v>-1625</v>
      </c>
      <c r="CH35" s="1180">
        <v>-0.23824164522540947</v>
      </c>
      <c r="CI35" s="1180"/>
      <c r="CJ35" s="1920">
        <v>14574</v>
      </c>
      <c r="CK35" s="1315">
        <v>18498</v>
      </c>
      <c r="CL35" s="1920"/>
      <c r="CM35" s="1315">
        <v>17266</v>
      </c>
      <c r="CN35" s="1315">
        <v>1.092369986081235</v>
      </c>
      <c r="CO35" s="1315">
        <v>0</v>
      </c>
      <c r="CP35" s="1180">
        <v>0</v>
      </c>
    </row>
    <row r="36" spans="1:94" s="2304" customFormat="1" ht="15" customHeight="1" thickTop="1" x14ac:dyDescent="0.2">
      <c r="A36" s="2551"/>
      <c r="B36" s="2526" t="s">
        <v>332</v>
      </c>
      <c r="C36" s="1189">
        <v>-3</v>
      </c>
      <c r="D36" s="1190">
        <v>-9.8684210526315784E-3</v>
      </c>
      <c r="E36" s="920"/>
      <c r="F36" s="1329">
        <v>301</v>
      </c>
      <c r="G36" s="1326">
        <v>398</v>
      </c>
      <c r="H36" s="1406">
        <v>305</v>
      </c>
      <c r="I36" s="1406">
        <v>308</v>
      </c>
      <c r="J36" s="1399">
        <v>304</v>
      </c>
      <c r="K36" s="1406">
        <v>376</v>
      </c>
      <c r="L36" s="1406">
        <v>322</v>
      </c>
      <c r="M36" s="1406">
        <v>315</v>
      </c>
      <c r="N36" s="1399">
        <v>316</v>
      </c>
      <c r="O36" s="1406">
        <v>302</v>
      </c>
      <c r="P36" s="1406">
        <v>346</v>
      </c>
      <c r="Q36" s="1406">
        <v>324</v>
      </c>
      <c r="R36" s="1400">
        <v>320</v>
      </c>
      <c r="S36" s="1426">
        <v>337</v>
      </c>
      <c r="T36" s="1406">
        <v>622</v>
      </c>
      <c r="U36" s="1406">
        <v>634</v>
      </c>
      <c r="V36" s="1400">
        <v>597</v>
      </c>
      <c r="W36" s="1406">
        <v>1044</v>
      </c>
      <c r="X36" s="1406">
        <v>936</v>
      </c>
      <c r="Y36" s="1406">
        <v>1105</v>
      </c>
      <c r="Z36" s="1400">
        <v>1115</v>
      </c>
      <c r="AA36" s="1406">
        <v>2359</v>
      </c>
      <c r="AB36" s="1406">
        <v>2175</v>
      </c>
      <c r="AC36" s="1406">
        <v>1880</v>
      </c>
      <c r="AD36" s="1400">
        <v>1633</v>
      </c>
      <c r="AE36" s="1743">
        <v>1769</v>
      </c>
      <c r="AF36" s="1395">
        <v>1743</v>
      </c>
      <c r="AG36" s="1395">
        <v>2014</v>
      </c>
      <c r="AH36" s="1400">
        <v>1210</v>
      </c>
      <c r="AI36" s="1395">
        <v>0</v>
      </c>
      <c r="AJ36" s="1848"/>
      <c r="AK36" s="1848"/>
      <c r="AL36" s="1849"/>
      <c r="AM36" s="1417"/>
      <c r="AN36" s="1398"/>
      <c r="AO36" s="1398"/>
      <c r="AP36" s="1398"/>
      <c r="AQ36" s="1406"/>
      <c r="AR36" s="1406"/>
      <c r="AS36" s="1406"/>
      <c r="AT36" s="1399"/>
      <c r="AU36" s="1425"/>
      <c r="AV36" s="1425"/>
      <c r="AW36" s="1425"/>
      <c r="AX36" s="1414"/>
      <c r="AY36" s="1831"/>
      <c r="AZ36" s="1411"/>
      <c r="BA36" s="1411"/>
      <c r="BB36" s="1410"/>
      <c r="BC36" s="1410"/>
      <c r="BD36" s="1410"/>
      <c r="BE36" s="1410"/>
      <c r="BF36" s="1410"/>
      <c r="BG36" s="1830"/>
      <c r="BH36" s="1262">
        <v>1315</v>
      </c>
      <c r="BI36" s="1406">
        <v>1329</v>
      </c>
      <c r="BJ36" s="1743">
        <v>-14</v>
      </c>
      <c r="BK36" s="1190">
        <v>-1.0534236267870579E-2</v>
      </c>
      <c r="BL36" s="2917"/>
      <c r="BM36" s="2538">
        <v>1315</v>
      </c>
      <c r="BN36" s="2527">
        <v>1329</v>
      </c>
      <c r="BO36" s="1668">
        <v>1292</v>
      </c>
      <c r="BP36" s="2527">
        <v>2190</v>
      </c>
      <c r="BQ36" s="1850">
        <v>4200</v>
      </c>
      <c r="BR36" s="1850">
        <v>8047</v>
      </c>
      <c r="BS36" s="1849">
        <v>6736</v>
      </c>
      <c r="BT36" s="1400">
        <v>0</v>
      </c>
      <c r="BU36" s="2537"/>
      <c r="BV36" s="2036"/>
      <c r="BW36" s="2544"/>
      <c r="BX36" s="2543"/>
      <c r="BY36" s="2040"/>
      <c r="BZ36" s="2041"/>
      <c r="CA36" s="2041"/>
      <c r="CB36" s="2009"/>
      <c r="CC36" s="900"/>
      <c r="CD36" s="2757"/>
      <c r="CE36" s="2728">
        <v>-24</v>
      </c>
      <c r="CF36" s="1180">
        <v>-6.9364161849710976E-2</v>
      </c>
      <c r="CG36" s="1180">
        <v>21</v>
      </c>
      <c r="CH36" s="1180">
        <v>5.9495740797079394E-2</v>
      </c>
      <c r="CI36" s="1180"/>
      <c r="CJ36" s="1920">
        <v>953</v>
      </c>
      <c r="CK36" s="1315">
        <v>362</v>
      </c>
      <c r="CL36" s="1920"/>
      <c r="CM36" s="1315">
        <v>-14</v>
      </c>
      <c r="CN36" s="1315">
        <v>-1.0534236267870579E-2</v>
      </c>
      <c r="CO36" s="1315">
        <v>0</v>
      </c>
      <c r="CP36" s="1180">
        <v>0</v>
      </c>
    </row>
    <row r="37" spans="1:94" s="2304" customFormat="1" ht="13.5" thickBot="1" x14ac:dyDescent="0.25">
      <c r="A37" s="2528" t="s">
        <v>72</v>
      </c>
      <c r="B37" s="947"/>
      <c r="C37" s="1189">
        <v>351</v>
      </c>
      <c r="D37" s="1190">
        <v>3.8369042413642328E-2</v>
      </c>
      <c r="E37" s="920"/>
      <c r="F37" s="2049">
        <v>9499</v>
      </c>
      <c r="G37" s="1333">
        <v>7943</v>
      </c>
      <c r="H37" s="1435">
        <v>5952</v>
      </c>
      <c r="I37" s="1435">
        <v>8714</v>
      </c>
      <c r="J37" s="1438">
        <v>9148</v>
      </c>
      <c r="K37" s="1437">
        <v>856</v>
      </c>
      <c r="L37" s="1437">
        <v>8824</v>
      </c>
      <c r="M37" s="1435">
        <v>-155</v>
      </c>
      <c r="N37" s="1438">
        <v>4952</v>
      </c>
      <c r="O37" s="1437">
        <v>4265</v>
      </c>
      <c r="P37" s="1437">
        <v>6827</v>
      </c>
      <c r="Q37" s="1437">
        <v>6262</v>
      </c>
      <c r="R37" s="1851">
        <v>4949</v>
      </c>
      <c r="S37" s="1444">
        <v>3510</v>
      </c>
      <c r="T37" s="1437">
        <v>4956</v>
      </c>
      <c r="U37" s="1437">
        <v>4417</v>
      </c>
      <c r="V37" s="1851">
        <v>4943</v>
      </c>
      <c r="W37" s="1437">
        <v>5632</v>
      </c>
      <c r="X37" s="1437">
        <v>3077</v>
      </c>
      <c r="Y37" s="1437">
        <v>2423</v>
      </c>
      <c r="Z37" s="1851">
        <v>2067</v>
      </c>
      <c r="AA37" s="1437">
        <v>4143</v>
      </c>
      <c r="AB37" s="1437">
        <v>1557</v>
      </c>
      <c r="AC37" s="1437">
        <v>1808</v>
      </c>
      <c r="AD37" s="1851">
        <v>3219</v>
      </c>
      <c r="AE37" s="1852">
        <v>3767</v>
      </c>
      <c r="AF37" s="1853">
        <v>-688</v>
      </c>
      <c r="AG37" s="1853">
        <v>269</v>
      </c>
      <c r="AH37" s="1854">
        <v>817</v>
      </c>
      <c r="AI37" s="1855">
        <v>-3739</v>
      </c>
      <c r="AJ37" s="1853"/>
      <c r="AK37" s="1853"/>
      <c r="AL37" s="1854"/>
      <c r="AM37" s="1435"/>
      <c r="AN37" s="1435"/>
      <c r="AO37" s="1435"/>
      <c r="AP37" s="1439"/>
      <c r="AQ37" s="1437">
        <v>-1070</v>
      </c>
      <c r="AR37" s="1437">
        <v>-87</v>
      </c>
      <c r="AS37" s="1437">
        <v>-3294</v>
      </c>
      <c r="AT37" s="1438">
        <v>-3548</v>
      </c>
      <c r="AU37" s="1440" t="s">
        <v>181</v>
      </c>
      <c r="AV37" s="1440" t="s">
        <v>181</v>
      </c>
      <c r="AW37" s="1440" t="s">
        <v>181</v>
      </c>
      <c r="AX37" s="1441" t="s">
        <v>181</v>
      </c>
      <c r="AY37" s="1832" t="s">
        <v>181</v>
      </c>
      <c r="AZ37" s="1411"/>
      <c r="BA37" s="1411"/>
      <c r="BB37" s="1410"/>
      <c r="BC37" s="1410"/>
      <c r="BD37" s="1410"/>
      <c r="BE37" s="1410"/>
      <c r="BF37" s="1410"/>
      <c r="BG37" s="1830"/>
      <c r="BH37" s="1437">
        <v>31757</v>
      </c>
      <c r="BI37" s="1437">
        <v>14477</v>
      </c>
      <c r="BJ37" s="1404">
        <v>17280</v>
      </c>
      <c r="BK37" s="1838">
        <v>1.1936174621813911</v>
      </c>
      <c r="BL37" s="2917"/>
      <c r="BM37" s="2836">
        <v>31757</v>
      </c>
      <c r="BN37" s="1444">
        <v>14477</v>
      </c>
      <c r="BO37" s="1437">
        <v>22303</v>
      </c>
      <c r="BP37" s="1444">
        <v>17826</v>
      </c>
      <c r="BQ37" s="1856">
        <v>13199</v>
      </c>
      <c r="BR37" s="1856">
        <v>10727</v>
      </c>
      <c r="BS37" s="1851">
        <v>4165</v>
      </c>
      <c r="BT37" s="1854">
        <v>-3739</v>
      </c>
      <c r="BU37" s="2545"/>
      <c r="BV37" s="2546"/>
      <c r="BW37" s="2547"/>
      <c r="BX37" s="2548"/>
      <c r="BY37" s="2047" t="s">
        <v>181</v>
      </c>
      <c r="BZ37" s="2050" t="s">
        <v>181</v>
      </c>
      <c r="CA37" s="2050" t="s">
        <v>181</v>
      </c>
      <c r="CB37" s="2009"/>
      <c r="CC37" s="900"/>
      <c r="CD37" s="2757"/>
      <c r="CE37" s="2728">
        <v>1997</v>
      </c>
      <c r="CF37" s="1180">
        <v>0.29251501391533619</v>
      </c>
      <c r="CG37" s="1180">
        <v>-1646</v>
      </c>
      <c r="CH37" s="1180">
        <v>-0.25414597150169388</v>
      </c>
      <c r="CI37" s="1180"/>
      <c r="CJ37" s="1920">
        <v>13621</v>
      </c>
      <c r="CK37" s="1315">
        <v>18136</v>
      </c>
      <c r="CL37" s="1920"/>
      <c r="CM37" s="1315">
        <v>17280</v>
      </c>
      <c r="CN37" s="1315">
        <v>1.1936174621813911</v>
      </c>
      <c r="CO37" s="1315">
        <v>0</v>
      </c>
      <c r="CP37" s="1180">
        <v>0</v>
      </c>
    </row>
    <row r="38" spans="1:94" ht="12.75" customHeight="1" thickTop="1" x14ac:dyDescent="0.2">
      <c r="A38" s="1201"/>
      <c r="B38" s="1201"/>
      <c r="C38" s="1006"/>
      <c r="D38" s="952"/>
      <c r="E38" s="900"/>
      <c r="F38" s="900"/>
      <c r="G38" s="900"/>
      <c r="H38" s="946"/>
      <c r="I38" s="946"/>
      <c r="J38" s="946"/>
      <c r="K38" s="946"/>
      <c r="L38" s="946"/>
      <c r="M38" s="946"/>
      <c r="N38" s="946"/>
      <c r="O38" s="946"/>
      <c r="P38" s="946"/>
      <c r="Q38" s="946"/>
      <c r="R38" s="946"/>
      <c r="S38" s="946"/>
      <c r="T38" s="946"/>
      <c r="U38" s="946"/>
      <c r="V38" s="946"/>
      <c r="W38" s="946"/>
      <c r="X38" s="946"/>
      <c r="Y38" s="946"/>
      <c r="Z38" s="946"/>
      <c r="AA38" s="952"/>
      <c r="AB38" s="952"/>
      <c r="AC38" s="952"/>
      <c r="AD38" s="946"/>
      <c r="AE38" s="952"/>
      <c r="AF38" s="952"/>
      <c r="AG38" s="952"/>
      <c r="AH38" s="946"/>
      <c r="AI38" s="952"/>
      <c r="AJ38" s="952"/>
      <c r="AK38" s="952"/>
      <c r="AL38" s="946"/>
      <c r="AM38" s="952"/>
      <c r="AN38" s="952"/>
      <c r="AO38" s="952"/>
      <c r="AP38" s="946"/>
      <c r="AQ38" s="952"/>
      <c r="AR38" s="952"/>
      <c r="AS38" s="952"/>
      <c r="AT38" s="946"/>
      <c r="AU38" s="952"/>
      <c r="AV38" s="952"/>
      <c r="AW38" s="952"/>
      <c r="AX38" s="946"/>
      <c r="AY38" s="1201"/>
      <c r="AZ38" s="1201"/>
      <c r="BA38" s="1201"/>
      <c r="BB38" s="1270"/>
      <c r="BC38" s="1270"/>
      <c r="BD38" s="1270"/>
      <c r="BE38" s="1270"/>
      <c r="BF38" s="1270"/>
      <c r="BG38" s="946"/>
      <c r="BH38" s="946"/>
      <c r="BI38" s="946"/>
      <c r="BJ38" s="1006"/>
      <c r="BK38" s="952"/>
      <c r="BL38" s="946"/>
      <c r="BM38" s="946"/>
      <c r="BN38" s="946"/>
      <c r="BO38" s="946"/>
      <c r="BP38" s="946"/>
      <c r="BQ38" s="946"/>
      <c r="BR38" s="946"/>
      <c r="BS38" s="946"/>
      <c r="BT38" s="946"/>
      <c r="BU38" s="900"/>
      <c r="BV38" s="900"/>
      <c r="BW38" s="900"/>
      <c r="BX38" s="914"/>
      <c r="BY38" s="914"/>
      <c r="BZ38" s="2009"/>
      <c r="CA38" s="2009"/>
      <c r="CB38" s="2009"/>
      <c r="CC38" s="900"/>
      <c r="CD38" s="934"/>
      <c r="CE38" s="2568"/>
      <c r="CG38" s="1315"/>
    </row>
    <row r="39" spans="1:94" ht="13.5" customHeight="1" x14ac:dyDescent="0.2">
      <c r="A39" s="1204" t="s">
        <v>641</v>
      </c>
      <c r="B39" s="1201"/>
      <c r="C39" s="1805">
        <v>3.1000000000000028</v>
      </c>
      <c r="D39" s="952"/>
      <c r="E39" s="923"/>
      <c r="F39" s="923">
        <v>0.73299999999999998</v>
      </c>
      <c r="G39" s="923">
        <v>0.73399999999999999</v>
      </c>
      <c r="H39" s="1036">
        <v>0.73699999999999999</v>
      </c>
      <c r="I39" s="1036">
        <v>0.73299999999999998</v>
      </c>
      <c r="J39" s="1036">
        <v>0.70199999999999996</v>
      </c>
      <c r="K39" s="1036">
        <v>0.67300000000000004</v>
      </c>
      <c r="L39" s="1036">
        <v>0.68799999999999994</v>
      </c>
      <c r="M39" s="1036">
        <v>0.72499999999999998</v>
      </c>
      <c r="N39" s="1036">
        <v>0.66300000000000003</v>
      </c>
      <c r="O39" s="1036">
        <v>0.70499999999999996</v>
      </c>
      <c r="P39" s="1036">
        <v>0.68100000000000005</v>
      </c>
      <c r="Q39" s="1036">
        <v>0.70899999999999996</v>
      </c>
      <c r="R39" s="1036">
        <v>0.68500000000000005</v>
      </c>
      <c r="S39" s="1036">
        <v>0.70799999999999996</v>
      </c>
      <c r="T39" s="1036">
        <v>0.71</v>
      </c>
      <c r="U39" s="1036">
        <v>0.7</v>
      </c>
      <c r="V39" s="1036">
        <v>0.68700000000000006</v>
      </c>
      <c r="W39" s="1036">
        <v>0.64600000000000002</v>
      </c>
      <c r="X39" s="1036">
        <v>0.69099999999999995</v>
      </c>
      <c r="Y39" s="1036">
        <v>0.68500000000000005</v>
      </c>
      <c r="Z39" s="1036">
        <v>0.66600000000000004</v>
      </c>
      <c r="AA39" s="1036">
        <v>0.60699999999999998</v>
      </c>
      <c r="AB39" s="1036">
        <v>0.63600000000000001</v>
      </c>
      <c r="AC39" s="1036">
        <v>0.625</v>
      </c>
      <c r="AD39" s="1036">
        <v>0.56200000000000006</v>
      </c>
      <c r="AE39" s="1036">
        <v>0.57899999999999996</v>
      </c>
      <c r="AF39" s="1036">
        <v>0.628</v>
      </c>
      <c r="AG39" s="1036">
        <v>0.61899999999999999</v>
      </c>
      <c r="AH39" s="1036">
        <v>0.623</v>
      </c>
      <c r="AI39" s="1036">
        <v>0.55500000000000005</v>
      </c>
      <c r="AJ39" s="1205"/>
      <c r="AK39" s="1205"/>
      <c r="AL39" s="1205"/>
      <c r="AM39" s="1205"/>
      <c r="AN39" s="1205"/>
      <c r="AO39" s="1205"/>
      <c r="AP39" s="1205"/>
      <c r="AQ39" s="1036">
        <v>0.11445717403164211</v>
      </c>
      <c r="AR39" s="1036">
        <v>0.11710126998240968</v>
      </c>
      <c r="AS39" s="1036">
        <v>0.15167671533210425</v>
      </c>
      <c r="AT39" s="1036">
        <v>0.1384596242378997</v>
      </c>
      <c r="AU39" s="1036">
        <v>0.14532277546638034</v>
      </c>
      <c r="AV39" s="1036">
        <v>0.18445067398306095</v>
      </c>
      <c r="AW39" s="1036">
        <v>0.19284280631329259</v>
      </c>
      <c r="AX39" s="1036">
        <v>0.157</v>
      </c>
      <c r="AY39" s="1036">
        <v>0.16300000000000001</v>
      </c>
      <c r="AZ39" s="1036">
        <v>0.153</v>
      </c>
      <c r="BA39" s="1036">
        <v>0.16</v>
      </c>
      <c r="BB39" s="1036">
        <v>0.12</v>
      </c>
      <c r="BC39" s="1036">
        <v>0.11600000000000001</v>
      </c>
      <c r="BD39" s="1036">
        <v>0.121</v>
      </c>
      <c r="BE39" s="1036">
        <v>0.14299999999999999</v>
      </c>
      <c r="BF39" s="1036">
        <v>0.104</v>
      </c>
      <c r="BG39" s="946"/>
      <c r="BH39" s="1036">
        <v>0.72599999999999998</v>
      </c>
      <c r="BI39" s="1036">
        <v>0.68500000000000005</v>
      </c>
      <c r="BJ39" s="1805">
        <v>4.0999999999999925</v>
      </c>
      <c r="BK39" s="952"/>
      <c r="BL39" s="946"/>
      <c r="BM39" s="1036">
        <v>0.72599999999999998</v>
      </c>
      <c r="BN39" s="1036">
        <v>0.68500000000000005</v>
      </c>
      <c r="BO39" s="1036">
        <v>0.69199999999999995</v>
      </c>
      <c r="BP39" s="1036">
        <v>0.70099999999999996</v>
      </c>
      <c r="BQ39" s="1036">
        <v>0.67100000000000004</v>
      </c>
      <c r="BR39" s="1036">
        <v>0.60599999999999998</v>
      </c>
      <c r="BS39" s="1036">
        <v>0.61099999999999999</v>
      </c>
      <c r="BT39" s="1036">
        <v>0.55500000000000005</v>
      </c>
      <c r="BU39" s="2173"/>
      <c r="BV39" s="2173"/>
      <c r="BW39" s="2173"/>
      <c r="BX39" s="2173"/>
      <c r="BY39" s="923">
        <v>0.11899999999999999</v>
      </c>
      <c r="BZ39" s="2170">
        <v>9.9000000000000005E-2</v>
      </c>
      <c r="CA39" s="2170">
        <v>7.6999999999999999E-2</v>
      </c>
      <c r="CB39" s="2170">
        <v>7.9000000000000001E-2</v>
      </c>
      <c r="CC39" s="1153"/>
      <c r="CE39" s="1315"/>
      <c r="CG39" s="1315"/>
    </row>
    <row r="40" spans="1:94" ht="13.5" customHeight="1" x14ac:dyDescent="0.2">
      <c r="A40" s="1203" t="s">
        <v>623</v>
      </c>
      <c r="B40" s="1201"/>
      <c r="C40" s="1805">
        <v>-3.1559823202332749</v>
      </c>
      <c r="D40" s="952"/>
      <c r="E40" s="923"/>
      <c r="F40" s="923">
        <v>0.54518026222487936</v>
      </c>
      <c r="G40" s="923">
        <v>0.56504551611175857</v>
      </c>
      <c r="H40" s="1036">
        <v>0.56092073101639772</v>
      </c>
      <c r="I40" s="1036">
        <v>0.56871118619675565</v>
      </c>
      <c r="J40" s="1036">
        <v>0.57674008542721211</v>
      </c>
      <c r="K40" s="1036">
        <v>0.59792369422238656</v>
      </c>
      <c r="L40" s="1036">
        <v>0.5737468209040939</v>
      </c>
      <c r="M40" s="1036">
        <v>0.55375913771943863</v>
      </c>
      <c r="N40" s="1036">
        <v>0.49890884232114219</v>
      </c>
      <c r="O40" s="1036">
        <v>0.52668985331921969</v>
      </c>
      <c r="P40" s="1036">
        <v>0.48551332889519233</v>
      </c>
      <c r="Q40" s="1036">
        <v>0.50376936215324808</v>
      </c>
      <c r="R40" s="1036">
        <v>0.54302643847565191</v>
      </c>
      <c r="S40" s="1036">
        <v>0.55343281872082029</v>
      </c>
      <c r="T40" s="1036">
        <v>0.52545662100456625</v>
      </c>
      <c r="U40" s="1036">
        <v>0.52757131525602985</v>
      </c>
      <c r="V40" s="1036">
        <v>0.52108126982279512</v>
      </c>
      <c r="W40" s="1036">
        <v>0.50008409957389555</v>
      </c>
      <c r="X40" s="1036">
        <v>0.51683630902719835</v>
      </c>
      <c r="Y40" s="1036">
        <v>0.51158262270865507</v>
      </c>
      <c r="Z40" s="1036">
        <v>0.51168348380244288</v>
      </c>
      <c r="AA40" s="1036">
        <v>0.48211920529801322</v>
      </c>
      <c r="AB40" s="1036">
        <v>0.48467688207861426</v>
      </c>
      <c r="AC40" s="1036">
        <v>0.49132791327913278</v>
      </c>
      <c r="AD40" s="1036">
        <v>0.48161464897323747</v>
      </c>
      <c r="AE40" s="1036">
        <v>0.43346064554781699</v>
      </c>
      <c r="AF40" s="1036">
        <v>0.49511939335269439</v>
      </c>
      <c r="AG40" s="1036">
        <v>0.50174148606811142</v>
      </c>
      <c r="AH40" s="1036">
        <v>0.525450553938837</v>
      </c>
      <c r="AI40" s="1036">
        <v>0.5762455963764469</v>
      </c>
      <c r="AJ40" s="1205"/>
      <c r="AK40" s="1205"/>
      <c r="AL40" s="1205"/>
      <c r="AM40" s="1205"/>
      <c r="AN40" s="1205"/>
      <c r="AO40" s="1205"/>
      <c r="AP40" s="1205"/>
      <c r="AQ40" s="1036">
        <v>0.57785051827605016</v>
      </c>
      <c r="AR40" s="1036">
        <v>0.54879863916648952</v>
      </c>
      <c r="AS40" s="1036">
        <v>0.59116049628780709</v>
      </c>
      <c r="AT40" s="1036">
        <v>0.56959064327485376</v>
      </c>
      <c r="AU40" s="1036">
        <v>0.47314454435646219</v>
      </c>
      <c r="AV40" s="1036">
        <v>0.5144936180365024</v>
      </c>
      <c r="AW40" s="1036">
        <v>0.53811239850378612</v>
      </c>
      <c r="AX40" s="1036">
        <v>0.53119112232727772</v>
      </c>
      <c r="AY40" s="1036">
        <v>0.53</v>
      </c>
      <c r="AZ40" s="1036">
        <v>0.51900000000000002</v>
      </c>
      <c r="BA40" s="1036">
        <v>0.503</v>
      </c>
      <c r="BB40" s="1036">
        <v>0.54800000000000004</v>
      </c>
      <c r="BC40" s="1036">
        <v>0.53900000000000003</v>
      </c>
      <c r="BD40" s="1036">
        <v>0.50700000000000001</v>
      </c>
      <c r="BE40" s="1036">
        <v>0.499</v>
      </c>
      <c r="BF40" s="1036">
        <v>0.50900000000000001</v>
      </c>
      <c r="BG40" s="946"/>
      <c r="BH40" s="1036">
        <v>0.5679824303390395</v>
      </c>
      <c r="BI40" s="1036">
        <v>0.56368710367806618</v>
      </c>
      <c r="BJ40" s="1805">
        <v>0.42953266609733198</v>
      </c>
      <c r="BK40" s="952"/>
      <c r="BL40" s="1208"/>
      <c r="BM40" s="1036">
        <v>0.5679824303390395</v>
      </c>
      <c r="BN40" s="1036">
        <v>0.56368710367806618</v>
      </c>
      <c r="BO40" s="1036">
        <v>0.51439337185411549</v>
      </c>
      <c r="BP40" s="1036">
        <v>0.53194949370839628</v>
      </c>
      <c r="BQ40" s="1036">
        <v>0.50959371092225469</v>
      </c>
      <c r="BR40" s="1036">
        <v>0.48471418714505599</v>
      </c>
      <c r="BS40" s="1036">
        <v>0.48514009830312671</v>
      </c>
      <c r="BT40" s="1036">
        <v>0.5762455963764469</v>
      </c>
      <c r="BU40" s="2173"/>
      <c r="BV40" s="2173"/>
      <c r="BW40" s="2173"/>
      <c r="BX40" s="2173"/>
      <c r="BY40" s="923">
        <v>0.51500000000000001</v>
      </c>
      <c r="BZ40" s="2022">
        <v>0.52500000000000002</v>
      </c>
      <c r="CA40" s="2022">
        <v>0.53600000000000003</v>
      </c>
      <c r="CB40" s="2022">
        <v>0.52800000000000002</v>
      </c>
      <c r="CC40" s="1153"/>
      <c r="CE40" s="1315"/>
      <c r="CG40" s="1315"/>
    </row>
    <row r="41" spans="1:94" ht="12.75" customHeight="1" x14ac:dyDescent="0.2">
      <c r="A41" s="1201" t="s">
        <v>75</v>
      </c>
      <c r="B41" s="1201"/>
      <c r="C41" s="1805">
        <v>2.7383060864298425</v>
      </c>
      <c r="D41" s="952"/>
      <c r="E41" s="923"/>
      <c r="F41" s="923">
        <v>0.30696717322692324</v>
      </c>
      <c r="G41" s="923">
        <v>0.30358774057391247</v>
      </c>
      <c r="H41" s="1036">
        <v>0.33779561972902539</v>
      </c>
      <c r="I41" s="1036">
        <v>0.29015908770941856</v>
      </c>
      <c r="J41" s="1036">
        <v>0.27958411236262481</v>
      </c>
      <c r="K41" s="1036">
        <v>0.38309997997627959</v>
      </c>
      <c r="L41" s="1036">
        <v>0.27618344408893264</v>
      </c>
      <c r="M41" s="1036">
        <v>0.44197214663038259</v>
      </c>
      <c r="N41" s="1036">
        <v>0.36257986485420557</v>
      </c>
      <c r="O41" s="1036">
        <v>0.33518826553757752</v>
      </c>
      <c r="P41" s="1036">
        <v>0.30686850560074097</v>
      </c>
      <c r="Q41" s="1036">
        <v>0.3022851758054067</v>
      </c>
      <c r="R41" s="1036">
        <v>0.29849309712154481</v>
      </c>
      <c r="S41" s="1036">
        <v>0.3363789992266491</v>
      </c>
      <c r="T41" s="1036">
        <v>0.31535388127853881</v>
      </c>
      <c r="U41" s="1036">
        <v>0.32404007168248183</v>
      </c>
      <c r="V41" s="1036">
        <v>0.31771757790904065</v>
      </c>
      <c r="W41" s="1036">
        <v>0.31276631531733573</v>
      </c>
      <c r="X41" s="1036">
        <v>0.34924078091106292</v>
      </c>
      <c r="Y41" s="1036">
        <v>0.3699724702880548</v>
      </c>
      <c r="Z41" s="1036">
        <v>0.3567113648433351</v>
      </c>
      <c r="AA41" s="1036">
        <v>0.322155328115593</v>
      </c>
      <c r="AB41" s="1036">
        <v>0.37719298245614036</v>
      </c>
      <c r="AC41" s="1036">
        <v>0.3658923732094464</v>
      </c>
      <c r="AD41" s="1036">
        <v>0.33853510267625475</v>
      </c>
      <c r="AE41" s="1036">
        <v>0.32614393769190442</v>
      </c>
      <c r="AF41" s="1036">
        <v>0.4206195546950629</v>
      </c>
      <c r="AG41" s="1036">
        <v>0.38781927244582043</v>
      </c>
      <c r="AH41" s="1036">
        <v>0.37106243937305355</v>
      </c>
      <c r="AI41" s="1036">
        <v>2.3054856567689983</v>
      </c>
      <c r="AJ41" s="1205"/>
      <c r="AK41" s="1205"/>
      <c r="AL41" s="1205"/>
      <c r="AM41" s="1205"/>
      <c r="AN41" s="1205"/>
      <c r="AO41" s="1205"/>
      <c r="AP41" s="1205"/>
      <c r="AQ41" s="1036">
        <v>0.27384979087106748</v>
      </c>
      <c r="AR41" s="1036">
        <v>0.26397077300755806</v>
      </c>
      <c r="AS41" s="1036">
        <v>0.28613782450545616</v>
      </c>
      <c r="AT41" s="1036">
        <v>0.3045617767823815</v>
      </c>
      <c r="AU41" s="1036">
        <v>0.30438867266138775</v>
      </c>
      <c r="AV41" s="1036">
        <v>0.68483836335440773</v>
      </c>
      <c r="AW41" s="1036">
        <v>0.28095064318949003</v>
      </c>
      <c r="AX41" s="1036">
        <v>0.24116294747031269</v>
      </c>
      <c r="AY41" s="1036">
        <v>1.28</v>
      </c>
      <c r="AZ41" s="1036">
        <v>0.26800000000000002</v>
      </c>
      <c r="BA41" s="1036">
        <v>0.26400000000000001</v>
      </c>
      <c r="BB41" s="1036">
        <v>0.20299999999999996</v>
      </c>
      <c r="BC41" s="1036">
        <v>0.19</v>
      </c>
      <c r="BD41" s="1036">
        <v>0.22199999999999998</v>
      </c>
      <c r="BE41" s="1036">
        <v>0.24399999999999999</v>
      </c>
      <c r="BF41" s="1036">
        <v>0.255</v>
      </c>
      <c r="BG41" s="946"/>
      <c r="BH41" s="1036">
        <v>0.30231582249936273</v>
      </c>
      <c r="BI41" s="1036">
        <v>0.35782563572893444</v>
      </c>
      <c r="BJ41" s="1805">
        <v>-5.5509813229571714</v>
      </c>
      <c r="BK41" s="952"/>
      <c r="BL41" s="1208"/>
      <c r="BM41" s="1036">
        <v>0.30231582249936273</v>
      </c>
      <c r="BN41" s="1036">
        <v>0.35782563572893444</v>
      </c>
      <c r="BO41" s="1036">
        <v>0.31059420408102717</v>
      </c>
      <c r="BP41" s="1036">
        <v>0.32338337224177682</v>
      </c>
      <c r="BQ41" s="1036">
        <v>0.34558864525173039</v>
      </c>
      <c r="BR41" s="1036">
        <v>0.34921182527466693</v>
      </c>
      <c r="BS41" s="1036">
        <v>0.3751539392089977</v>
      </c>
      <c r="BT41" s="1036">
        <v>2.3054856567689983</v>
      </c>
      <c r="BU41" s="2173"/>
      <c r="BV41" s="2173"/>
      <c r="BW41" s="2173"/>
      <c r="BX41" s="2173"/>
      <c r="BY41" s="923">
        <v>0.22599999999999998</v>
      </c>
      <c r="BZ41" s="2022">
        <v>0.20299999999999996</v>
      </c>
      <c r="CA41" s="2022">
        <v>0.18</v>
      </c>
      <c r="CB41" s="2022">
        <v>0.14600000000000002</v>
      </c>
      <c r="CC41" s="1153"/>
      <c r="CE41" s="1315"/>
      <c r="CG41" s="1315"/>
    </row>
    <row r="42" spans="1:94" ht="12.75" customHeight="1" x14ac:dyDescent="0.2">
      <c r="A42" s="1201" t="s">
        <v>76</v>
      </c>
      <c r="B42" s="1201"/>
      <c r="C42" s="1805">
        <v>0.74189719889542483</v>
      </c>
      <c r="D42" s="952"/>
      <c r="E42" s="923"/>
      <c r="F42" s="923">
        <v>0.86374316977879118</v>
      </c>
      <c r="G42" s="923">
        <v>0.86863325668567104</v>
      </c>
      <c r="H42" s="1036">
        <v>0.89871635074542311</v>
      </c>
      <c r="I42" s="1036">
        <v>0.85887027390617421</v>
      </c>
      <c r="J42" s="1036">
        <v>0.85632419778983693</v>
      </c>
      <c r="K42" s="1036">
        <v>0.9810236741986661</v>
      </c>
      <c r="L42" s="1036">
        <v>0.84993026499302649</v>
      </c>
      <c r="M42" s="1036">
        <v>0.99573128434982128</v>
      </c>
      <c r="N42" s="1036">
        <v>0.86148870717534776</v>
      </c>
      <c r="O42" s="1036">
        <v>0.86187811885679722</v>
      </c>
      <c r="P42" s="1036">
        <v>0.79238183449593336</v>
      </c>
      <c r="Q42" s="1036">
        <v>0.80605453795865478</v>
      </c>
      <c r="R42" s="1036">
        <v>0.84151953559719672</v>
      </c>
      <c r="S42" s="1036">
        <v>0.88981181794746944</v>
      </c>
      <c r="T42" s="1036">
        <v>0.84081050228310505</v>
      </c>
      <c r="U42" s="1036">
        <v>0.85161138693851168</v>
      </c>
      <c r="V42" s="1036">
        <v>0.83879884773183577</v>
      </c>
      <c r="W42" s="1036">
        <v>0.81285041489123122</v>
      </c>
      <c r="X42" s="1036">
        <v>0.86607708993826127</v>
      </c>
      <c r="Y42" s="1036">
        <v>0.88155509299670987</v>
      </c>
      <c r="Z42" s="1036">
        <v>0.89438396176314394</v>
      </c>
      <c r="AA42" s="1036">
        <v>0.80427453341360622</v>
      </c>
      <c r="AB42" s="1036">
        <v>0.86186986453475456</v>
      </c>
      <c r="AC42" s="1036">
        <v>0.85722028648857918</v>
      </c>
      <c r="AD42" s="1036">
        <v>0.82014975164949222</v>
      </c>
      <c r="AE42" s="1036">
        <v>0.79270575900546691</v>
      </c>
      <c r="AF42" s="1036">
        <v>0.95744595030655055</v>
      </c>
      <c r="AG42" s="1036">
        <v>0.8895607585139319</v>
      </c>
      <c r="AH42" s="1036">
        <v>0.89651299331189049</v>
      </c>
      <c r="AI42" s="1036">
        <v>2.8817312531454453</v>
      </c>
      <c r="AJ42" s="1205"/>
      <c r="AK42" s="1205"/>
      <c r="AL42" s="1205"/>
      <c r="AM42" s="1205"/>
      <c r="AN42" s="1205"/>
      <c r="AO42" s="1205"/>
      <c r="AP42" s="1205"/>
      <c r="AQ42" s="1036">
        <v>0.8517003091471177</v>
      </c>
      <c r="AR42" s="1036">
        <v>0.81276941217404752</v>
      </c>
      <c r="AS42" s="1036">
        <v>0.8772983207932632</v>
      </c>
      <c r="AT42" s="1036">
        <v>0.87515242005723526</v>
      </c>
      <c r="AU42" s="1036">
        <v>0.77753321701784994</v>
      </c>
      <c r="AV42" s="1036">
        <v>1.1993319813909102</v>
      </c>
      <c r="AW42" s="1036">
        <v>0.81906304169327615</v>
      </c>
      <c r="AX42" s="1036">
        <v>0.77235406979759047</v>
      </c>
      <c r="AY42" s="1036">
        <v>1.81</v>
      </c>
      <c r="AZ42" s="1036">
        <v>0.78700000000000003</v>
      </c>
      <c r="BA42" s="1036">
        <v>0.76700000000000002</v>
      </c>
      <c r="BB42" s="1036">
        <v>0.751</v>
      </c>
      <c r="BC42" s="1036">
        <v>0.72899999999999998</v>
      </c>
      <c r="BD42" s="1036">
        <v>0.72899999999999998</v>
      </c>
      <c r="BE42" s="1036">
        <v>0.74299999999999999</v>
      </c>
      <c r="BF42" s="1036">
        <v>0.76400000000000001</v>
      </c>
      <c r="BG42" s="946"/>
      <c r="BH42" s="1036">
        <v>0.87029825283840223</v>
      </c>
      <c r="BI42" s="1036">
        <v>0.92151273940700063</v>
      </c>
      <c r="BJ42" s="1805">
        <v>-5.1214486568598394</v>
      </c>
      <c r="BK42" s="952"/>
      <c r="BL42" s="1208"/>
      <c r="BM42" s="1036">
        <v>0.87029825283840223</v>
      </c>
      <c r="BN42" s="1036">
        <v>0.92151273940700063</v>
      </c>
      <c r="BO42" s="1036">
        <v>0.82498757593514271</v>
      </c>
      <c r="BP42" s="1036">
        <v>0.8553328659501731</v>
      </c>
      <c r="BQ42" s="1036">
        <v>0.86141886564025771</v>
      </c>
      <c r="BR42" s="1036">
        <v>0.83392601241972297</v>
      </c>
      <c r="BS42" s="1036">
        <v>0.88119707488257026</v>
      </c>
      <c r="BT42" s="1036">
        <v>2.8817312531454453</v>
      </c>
      <c r="BU42" s="2173"/>
      <c r="BV42" s="2173"/>
      <c r="BW42" s="2173"/>
      <c r="BX42" s="2173"/>
      <c r="BY42" s="923">
        <v>0.74099999999999999</v>
      </c>
      <c r="BZ42" s="2022">
        <v>0.72799999999999998</v>
      </c>
      <c r="CA42" s="2022">
        <v>0.71599999999999997</v>
      </c>
      <c r="CB42" s="2022">
        <v>0.67400000000000004</v>
      </c>
      <c r="CC42" s="1153"/>
      <c r="CE42" s="1315"/>
      <c r="CG42" s="1315"/>
    </row>
    <row r="43" spans="1:94" ht="14.25" customHeight="1" x14ac:dyDescent="0.2">
      <c r="A43" s="1203" t="s">
        <v>182</v>
      </c>
      <c r="B43" s="1201"/>
      <c r="C43" s="1805">
        <v>-0.74189719889543038</v>
      </c>
      <c r="D43" s="952"/>
      <c r="E43" s="923"/>
      <c r="F43" s="923">
        <v>0.1362568302212088</v>
      </c>
      <c r="G43" s="923">
        <v>0.1313667433143289</v>
      </c>
      <c r="H43" s="1036">
        <v>0.10128364925457695</v>
      </c>
      <c r="I43" s="1036">
        <v>0.14112972609382576</v>
      </c>
      <c r="J43" s="1036">
        <v>0.1436758022101631</v>
      </c>
      <c r="K43" s="1036">
        <v>1.8976325801333887E-2</v>
      </c>
      <c r="L43" s="1036">
        <v>0.15006973500697349</v>
      </c>
      <c r="M43" s="1036">
        <v>4.2687156501787522E-3</v>
      </c>
      <c r="N43" s="1036">
        <v>0.13851129282465227</v>
      </c>
      <c r="O43" s="1036">
        <v>0.13812188114320278</v>
      </c>
      <c r="P43" s="1036">
        <v>0.2076181655040667</v>
      </c>
      <c r="Q43" s="1036">
        <v>0.19394546204134519</v>
      </c>
      <c r="R43" s="1036">
        <v>0.15848046440280325</v>
      </c>
      <c r="S43" s="1036">
        <v>0.11018818205253057</v>
      </c>
      <c r="T43" s="1036">
        <v>0.15918949771689497</v>
      </c>
      <c r="U43" s="1036">
        <v>0.14838861306148829</v>
      </c>
      <c r="V43" s="1036">
        <v>0.16120115226816423</v>
      </c>
      <c r="W43" s="1036">
        <v>0.18714958510876878</v>
      </c>
      <c r="X43" s="1036">
        <v>0.1339229100617387</v>
      </c>
      <c r="Y43" s="1036">
        <v>0.11844490700329013</v>
      </c>
      <c r="Z43" s="1036">
        <v>0.10561603823685609</v>
      </c>
      <c r="AA43" s="1036">
        <v>0.19572546658639373</v>
      </c>
      <c r="AB43" s="1036">
        <v>0.13813013546524538</v>
      </c>
      <c r="AC43" s="1036">
        <v>0.14277971351142082</v>
      </c>
      <c r="AD43" s="1036">
        <v>0.17985024835050781</v>
      </c>
      <c r="AE43" s="1036">
        <v>0.20729424099453306</v>
      </c>
      <c r="AF43" s="1036">
        <v>4.2554049693449503E-2</v>
      </c>
      <c r="AG43" s="1036">
        <v>0.11043924148606811</v>
      </c>
      <c r="AH43" s="1036">
        <v>0.10348700668810946</v>
      </c>
      <c r="AI43" s="1036">
        <v>-1.8817312531454453</v>
      </c>
      <c r="AJ43" s="1205"/>
      <c r="AK43" s="1205"/>
      <c r="AL43" s="1205"/>
      <c r="AM43" s="1205"/>
      <c r="AN43" s="1205"/>
      <c r="AO43" s="1205"/>
      <c r="AP43" s="1205"/>
      <c r="AQ43" s="1036">
        <v>0.14829969085288233</v>
      </c>
      <c r="AR43" s="1036">
        <v>0.18723058782595248</v>
      </c>
      <c r="AS43" s="1036">
        <v>0.12270167920673676</v>
      </c>
      <c r="AT43" s="1036">
        <v>0.12484757994276471</v>
      </c>
      <c r="AU43" s="1036">
        <v>0.22246678298215006</v>
      </c>
      <c r="AV43" s="1036">
        <v>-0.19933198139091018</v>
      </c>
      <c r="AW43" s="1036">
        <v>0.18093695830672385</v>
      </c>
      <c r="AX43" s="1036">
        <v>0.22764593020240956</v>
      </c>
      <c r="AY43" s="1036">
        <v>-0.81</v>
      </c>
      <c r="AZ43" s="1036">
        <v>0.21299999999999997</v>
      </c>
      <c r="BA43" s="1036">
        <v>0.23299999999999998</v>
      </c>
      <c r="BB43" s="1036">
        <v>0.249</v>
      </c>
      <c r="BC43" s="1036">
        <v>0.27100000000000002</v>
      </c>
      <c r="BD43" s="1036">
        <v>0.27100000000000002</v>
      </c>
      <c r="BE43" s="1036">
        <v>0.25700000000000001</v>
      </c>
      <c r="BF43" s="1036">
        <v>0.23599999999999999</v>
      </c>
      <c r="BG43" s="946"/>
      <c r="BH43" s="1036">
        <v>0.12970174716159774</v>
      </c>
      <c r="BI43" s="1036">
        <v>7.8487260592999403E-2</v>
      </c>
      <c r="BJ43" s="1805">
        <v>5.1214486568598341</v>
      </c>
      <c r="BK43" s="952"/>
      <c r="BL43" s="1208"/>
      <c r="BM43" s="1036">
        <v>0.12970174716159774</v>
      </c>
      <c r="BN43" s="1036">
        <v>7.8487260592999403E-2</v>
      </c>
      <c r="BO43" s="1036">
        <v>0.17501242406485731</v>
      </c>
      <c r="BP43" s="1036">
        <v>0.1446671340498269</v>
      </c>
      <c r="BQ43" s="1036">
        <v>0.13858113435974226</v>
      </c>
      <c r="BR43" s="1036">
        <v>0.16607398758027705</v>
      </c>
      <c r="BS43" s="1036">
        <v>0.11880292511742974</v>
      </c>
      <c r="BT43" s="1036">
        <v>-1.8817312531454453</v>
      </c>
      <c r="BU43" s="2173"/>
      <c r="BV43" s="2173"/>
      <c r="BW43" s="2173"/>
      <c r="BX43" s="2173"/>
      <c r="BY43" s="923">
        <v>0.25900000000000001</v>
      </c>
      <c r="BZ43" s="2022">
        <v>0.27200000000000002</v>
      </c>
      <c r="CA43" s="2022">
        <v>0.28400000000000003</v>
      </c>
      <c r="CB43" s="2022">
        <v>0.32599999999999996</v>
      </c>
      <c r="CC43" s="1153"/>
      <c r="CE43" s="1315"/>
      <c r="CG43" s="1315"/>
    </row>
    <row r="44" spans="1:94" ht="12.75" customHeight="1" x14ac:dyDescent="0.2">
      <c r="A44" s="1203" t="s">
        <v>77</v>
      </c>
      <c r="B44" s="1201"/>
      <c r="C44" s="1805">
        <v>-0.69830294542784777</v>
      </c>
      <c r="D44" s="952"/>
      <c r="E44" s="923"/>
      <c r="F44" s="923">
        <v>0.13207179900727167</v>
      </c>
      <c r="G44" s="923">
        <v>0.12509843449774782</v>
      </c>
      <c r="H44" s="1036">
        <v>9.6346536736973312E-2</v>
      </c>
      <c r="I44" s="1036">
        <v>0.13631173056767876</v>
      </c>
      <c r="J44" s="1036">
        <v>0.13905482846155015</v>
      </c>
      <c r="K44" s="1036">
        <v>1.3184849745082636E-2</v>
      </c>
      <c r="L44" s="1036">
        <v>0.14478628271392238</v>
      </c>
      <c r="M44" s="1036">
        <v>-4.1353182861106662E-3</v>
      </c>
      <c r="N44" s="1036">
        <v>0.1302027186916625</v>
      </c>
      <c r="O44" s="1036">
        <v>0.12898835626795704</v>
      </c>
      <c r="P44" s="1036">
        <v>0.19760340386118266</v>
      </c>
      <c r="Q44" s="1036">
        <v>0.18440426409093585</v>
      </c>
      <c r="R44" s="1036">
        <v>0.14885553583781996</v>
      </c>
      <c r="S44" s="1036">
        <v>0.10053561710537622</v>
      </c>
      <c r="T44" s="1036">
        <v>0.14143835616438355</v>
      </c>
      <c r="U44" s="1036">
        <v>0.1297629190046711</v>
      </c>
      <c r="V44" s="1036">
        <v>0.14382983676201005</v>
      </c>
      <c r="W44" s="1036">
        <v>0.15788293339313747</v>
      </c>
      <c r="X44" s="1036">
        <v>0.10268646754546971</v>
      </c>
      <c r="Y44" s="1036">
        <v>8.1346941516148533E-2</v>
      </c>
      <c r="Z44" s="1036">
        <v>6.8607275624004246E-2</v>
      </c>
      <c r="AA44" s="1036">
        <v>0.12471402769416015</v>
      </c>
      <c r="AB44" s="1036">
        <v>5.7628247834776818E-2</v>
      </c>
      <c r="AC44" s="1036">
        <v>6.9996128532713905E-2</v>
      </c>
      <c r="AD44" s="1036">
        <v>0.11931944547409</v>
      </c>
      <c r="AE44" s="1036">
        <v>0.14105444469407624</v>
      </c>
      <c r="AF44" s="1036">
        <v>-2.7750887383026782E-2</v>
      </c>
      <c r="AG44" s="1036">
        <v>1.3012770897832817E-2</v>
      </c>
      <c r="AH44" s="1036">
        <v>4.171133915352019E-2</v>
      </c>
      <c r="AI44" s="1036">
        <v>-1.8817312531454453</v>
      </c>
      <c r="AJ44" s="1205"/>
      <c r="AK44" s="1205"/>
      <c r="AL44" s="1205"/>
      <c r="AM44" s="1205"/>
      <c r="AN44" s="1205"/>
      <c r="AO44" s="1205"/>
      <c r="AP44" s="1205"/>
      <c r="AQ44" s="1036">
        <v>-1.9458083287870524E-2</v>
      </c>
      <c r="AR44" s="1036">
        <v>-1.6817118667001719E-3</v>
      </c>
      <c r="AS44" s="1036">
        <v>-8.2066869300911852E-2</v>
      </c>
      <c r="AT44" s="952" t="s">
        <v>181</v>
      </c>
      <c r="AU44" s="952" t="s">
        <v>181</v>
      </c>
      <c r="AV44" s="952" t="s">
        <v>181</v>
      </c>
      <c r="AW44" s="952" t="s">
        <v>181</v>
      </c>
      <c r="AX44" s="952" t="s">
        <v>181</v>
      </c>
      <c r="AY44" s="952" t="s">
        <v>181</v>
      </c>
      <c r="AZ44" s="952" t="s">
        <v>181</v>
      </c>
      <c r="BA44" s="952" t="s">
        <v>181</v>
      </c>
      <c r="BB44" s="952"/>
      <c r="BC44" s="952"/>
      <c r="BD44" s="952"/>
      <c r="BE44" s="952"/>
      <c r="BF44" s="952"/>
      <c r="BG44" s="1807"/>
      <c r="BH44" s="1036">
        <v>0.12454458105378748</v>
      </c>
      <c r="BI44" s="1036">
        <v>7.1887895204659782E-2</v>
      </c>
      <c r="BJ44" s="1805">
        <v>5.2656685849127696</v>
      </c>
      <c r="BK44" s="952"/>
      <c r="BL44" s="1442"/>
      <c r="BM44" s="1036">
        <v>0.12454458105378748</v>
      </c>
      <c r="BN44" s="1036">
        <v>7.1887895204659782E-2</v>
      </c>
      <c r="BO44" s="1036">
        <v>0.16542920508236969</v>
      </c>
      <c r="BP44" s="1036">
        <v>0.128838745582145</v>
      </c>
      <c r="BQ44" s="1036">
        <v>0.10512859316134479</v>
      </c>
      <c r="BR44" s="1036">
        <v>9.4890575517930759E-2</v>
      </c>
      <c r="BS44" s="1036">
        <v>4.5391632246041175E-2</v>
      </c>
      <c r="BT44" s="1036">
        <v>-1.8817312531454453</v>
      </c>
      <c r="BU44" s="2173"/>
      <c r="BV44" s="2174"/>
      <c r="BW44" s="2174"/>
      <c r="BX44" s="2174"/>
      <c r="BY44" s="908" t="s">
        <v>181</v>
      </c>
      <c r="BZ44" s="908" t="s">
        <v>181</v>
      </c>
      <c r="CA44" s="1964" t="s">
        <v>181</v>
      </c>
      <c r="CB44" s="2022"/>
      <c r="CC44" s="1153"/>
      <c r="CE44" s="1315"/>
      <c r="CG44" s="1315"/>
    </row>
    <row r="45" spans="1:94" ht="12.75" customHeight="1" x14ac:dyDescent="0.2">
      <c r="A45" s="1201"/>
      <c r="B45" s="1201"/>
      <c r="C45" s="1006"/>
      <c r="D45" s="952"/>
      <c r="E45" s="908"/>
      <c r="F45" s="908"/>
      <c r="G45" s="908"/>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1858"/>
      <c r="AK45" s="1858"/>
      <c r="AL45" s="1858"/>
      <c r="AM45" s="1858"/>
      <c r="AN45" s="1858"/>
      <c r="AO45" s="1858"/>
      <c r="AP45" s="1858"/>
      <c r="AQ45" s="952"/>
      <c r="AR45" s="952"/>
      <c r="AS45" s="952"/>
      <c r="AT45" s="952"/>
      <c r="AU45" s="952"/>
      <c r="AV45" s="952"/>
      <c r="AW45" s="952"/>
      <c r="AX45" s="946"/>
      <c r="AY45" s="1201"/>
      <c r="AZ45" s="1201"/>
      <c r="BA45" s="1201"/>
      <c r="BB45" s="1201"/>
      <c r="BC45" s="1020"/>
      <c r="BD45" s="1020"/>
      <c r="BE45" s="1020"/>
      <c r="BF45" s="1020"/>
      <c r="BG45" s="946"/>
      <c r="BH45" s="946"/>
      <c r="BI45" s="1208"/>
      <c r="BJ45" s="1006"/>
      <c r="BK45" s="952"/>
      <c r="BL45" s="1208"/>
      <c r="BM45" s="1269"/>
      <c r="BN45" s="1036"/>
      <c r="BO45" s="1036"/>
      <c r="BP45" s="1036"/>
      <c r="BQ45" s="1036"/>
      <c r="BR45" s="1036"/>
      <c r="BS45" s="1036"/>
      <c r="BT45" s="1036"/>
      <c r="BU45" s="2173"/>
      <c r="BV45" s="2173"/>
      <c r="BW45" s="2175"/>
      <c r="BX45" s="2176"/>
      <c r="BY45" s="914"/>
      <c r="BZ45" s="2023"/>
      <c r="CA45" s="2023"/>
      <c r="CB45" s="2023"/>
      <c r="CC45" s="1153"/>
      <c r="CE45" s="1315"/>
      <c r="CG45" s="1315"/>
    </row>
    <row r="46" spans="1:94" ht="13.5" customHeight="1" x14ac:dyDescent="0.2">
      <c r="A46" s="954" t="s">
        <v>265</v>
      </c>
      <c r="B46" s="1839"/>
      <c r="C46" s="1006">
        <v>-860</v>
      </c>
      <c r="D46" s="952">
        <v>-1.8520911401128482E-2</v>
      </c>
      <c r="E46" s="914"/>
      <c r="F46" s="914">
        <v>45574</v>
      </c>
      <c r="G46" s="914">
        <v>44195</v>
      </c>
      <c r="H46" s="1006">
        <v>41153</v>
      </c>
      <c r="I46" s="1006">
        <v>45230</v>
      </c>
      <c r="J46" s="1006">
        <v>46434</v>
      </c>
      <c r="K46" s="1006">
        <v>44877</v>
      </c>
      <c r="L46" s="1006">
        <v>43791</v>
      </c>
      <c r="M46" s="1006">
        <v>40797</v>
      </c>
      <c r="N46" s="1006">
        <v>25755</v>
      </c>
      <c r="O46" s="1006">
        <v>24526</v>
      </c>
      <c r="P46" s="1006">
        <v>23383</v>
      </c>
      <c r="Q46" s="1006">
        <v>23208</v>
      </c>
      <c r="R46" s="1006">
        <v>22410</v>
      </c>
      <c r="S46" s="1006">
        <v>22791</v>
      </c>
      <c r="T46" s="1006">
        <v>24530</v>
      </c>
      <c r="U46" s="1006">
        <v>22948</v>
      </c>
      <c r="V46" s="1006">
        <v>22813</v>
      </c>
      <c r="W46" s="1006">
        <v>21763</v>
      </c>
      <c r="X46" s="1006">
        <v>20307</v>
      </c>
      <c r="Y46" s="1006">
        <v>20420</v>
      </c>
      <c r="Z46" s="1006">
        <v>20486</v>
      </c>
      <c r="AA46" s="1006">
        <v>20156</v>
      </c>
      <c r="AB46" s="1006">
        <v>18984</v>
      </c>
      <c r="AC46" s="1006">
        <v>17655</v>
      </c>
      <c r="AD46" s="1006">
        <v>16125</v>
      </c>
      <c r="AE46" s="1006">
        <v>15936</v>
      </c>
      <c r="AF46" s="1006">
        <v>15228</v>
      </c>
      <c r="AG46" s="1006">
        <v>13122</v>
      </c>
      <c r="AH46" s="1006">
        <v>12583</v>
      </c>
      <c r="AI46" s="1006">
        <v>13087.2</v>
      </c>
      <c r="AJ46" s="1269"/>
      <c r="AK46" s="1269"/>
      <c r="AL46" s="1269"/>
      <c r="AM46" s="1269"/>
      <c r="AN46" s="1269"/>
      <c r="AO46" s="1269"/>
      <c r="AP46" s="1269"/>
      <c r="AQ46" s="1006">
        <v>0</v>
      </c>
      <c r="AR46" s="1006">
        <v>423</v>
      </c>
      <c r="AS46" s="1006">
        <v>453</v>
      </c>
      <c r="AT46" s="1006">
        <v>443</v>
      </c>
      <c r="AU46" s="1006">
        <v>393</v>
      </c>
      <c r="AV46" s="1006">
        <v>454</v>
      </c>
      <c r="AW46" s="1006">
        <v>609</v>
      </c>
      <c r="AX46" s="1006">
        <v>747</v>
      </c>
      <c r="AY46" s="1006">
        <v>730</v>
      </c>
      <c r="AZ46" s="1006">
        <v>760</v>
      </c>
      <c r="BA46" s="1006">
        <v>777</v>
      </c>
      <c r="BB46" s="1006">
        <v>815</v>
      </c>
      <c r="BC46" s="1006">
        <v>807</v>
      </c>
      <c r="BD46" s="1006">
        <v>814</v>
      </c>
      <c r="BE46" s="1006">
        <v>745</v>
      </c>
      <c r="BF46" s="1006">
        <v>712</v>
      </c>
      <c r="BG46" s="946"/>
      <c r="BH46" s="1007">
        <v>44195</v>
      </c>
      <c r="BI46" s="1236">
        <v>44877</v>
      </c>
      <c r="BJ46" s="1006">
        <v>-682</v>
      </c>
      <c r="BK46" s="952">
        <v>-1.5197094279920671E-2</v>
      </c>
      <c r="BL46" s="1208"/>
      <c r="BM46" s="1269">
        <v>44195</v>
      </c>
      <c r="BN46" s="1006">
        <v>44877</v>
      </c>
      <c r="BO46" s="1006">
        <v>24526</v>
      </c>
      <c r="BP46" s="1006">
        <v>22791</v>
      </c>
      <c r="BQ46" s="1006">
        <v>21763</v>
      </c>
      <c r="BR46" s="1006">
        <v>20156</v>
      </c>
      <c r="BS46" s="1006">
        <v>15936</v>
      </c>
      <c r="BT46" s="1006">
        <v>13087.2</v>
      </c>
      <c r="BU46" s="2176"/>
      <c r="BV46" s="2176"/>
      <c r="BW46" s="2176"/>
      <c r="BX46" s="2176"/>
      <c r="BY46" s="914">
        <v>807</v>
      </c>
      <c r="BZ46" s="2171">
        <v>613</v>
      </c>
      <c r="CA46" s="2171">
        <v>380</v>
      </c>
      <c r="CB46" s="2171">
        <v>237</v>
      </c>
      <c r="CC46" s="1153"/>
      <c r="CE46" s="1315"/>
      <c r="CG46" s="1315"/>
    </row>
    <row r="47" spans="1:94" ht="12.75" customHeight="1" x14ac:dyDescent="0.2">
      <c r="A47" s="1203"/>
      <c r="B47" s="1204"/>
      <c r="C47" s="1006"/>
      <c r="D47" s="952"/>
      <c r="E47" s="914"/>
      <c r="F47" s="914"/>
      <c r="G47" s="914"/>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860"/>
      <c r="AK47" s="1860"/>
      <c r="AL47" s="1860"/>
      <c r="AM47" s="1860"/>
      <c r="AN47" s="1860"/>
      <c r="AO47" s="1860"/>
      <c r="AP47" s="1860"/>
      <c r="AQ47" s="1006"/>
      <c r="AR47" s="1006"/>
      <c r="AS47" s="1006"/>
      <c r="AT47" s="1006"/>
      <c r="AU47" s="1006"/>
      <c r="AV47" s="1006"/>
      <c r="AW47" s="1006"/>
      <c r="AX47" s="1006"/>
      <c r="AY47" s="1006"/>
      <c r="AZ47" s="1006"/>
      <c r="BA47" s="1006"/>
      <c r="BB47" s="1006"/>
      <c r="BC47" s="1006"/>
      <c r="BD47" s="1006"/>
      <c r="BE47" s="1006"/>
      <c r="BF47" s="1006"/>
      <c r="BG47" s="1208"/>
      <c r="BH47" s="1208"/>
      <c r="BI47" s="1208"/>
      <c r="BJ47" s="1006"/>
      <c r="BK47" s="952"/>
      <c r="BL47" s="1208"/>
      <c r="BM47" s="1269"/>
      <c r="BN47" s="1006"/>
      <c r="BO47" s="1006"/>
      <c r="BP47" s="1006"/>
      <c r="BQ47" s="1006"/>
      <c r="BR47" s="1006"/>
      <c r="BS47" s="1006"/>
      <c r="BT47" s="1006"/>
      <c r="BU47" s="2176"/>
      <c r="BV47" s="2176"/>
      <c r="BW47" s="2176"/>
      <c r="BX47" s="2176"/>
      <c r="BY47" s="914"/>
      <c r="BZ47" s="1165"/>
      <c r="CA47" s="1165"/>
      <c r="CB47" s="1165"/>
      <c r="CC47" s="1153"/>
      <c r="CE47" s="1315"/>
      <c r="CG47" s="1315"/>
    </row>
    <row r="48" spans="1:94" ht="12.75" customHeight="1" x14ac:dyDescent="0.2">
      <c r="A48" s="1203" t="s">
        <v>723</v>
      </c>
      <c r="B48" s="1204"/>
      <c r="C48" s="1006">
        <v>34</v>
      </c>
      <c r="D48" s="952">
        <v>6.0822898032200361E-2</v>
      </c>
      <c r="E48" s="914"/>
      <c r="F48" s="914">
        <v>593</v>
      </c>
      <c r="G48" s="914">
        <v>565</v>
      </c>
      <c r="H48" s="1006">
        <v>548</v>
      </c>
      <c r="I48" s="1006">
        <v>559</v>
      </c>
      <c r="J48" s="1006">
        <v>559</v>
      </c>
      <c r="K48" s="1006">
        <v>559</v>
      </c>
      <c r="L48" s="1006">
        <v>574</v>
      </c>
      <c r="M48" s="1006">
        <v>586</v>
      </c>
      <c r="N48" s="1006">
        <v>314</v>
      </c>
      <c r="O48" s="1006">
        <v>313</v>
      </c>
      <c r="P48" s="1006">
        <v>309</v>
      </c>
      <c r="Q48" s="1006">
        <v>312</v>
      </c>
      <c r="R48" s="1006">
        <v>310</v>
      </c>
      <c r="S48" s="1006">
        <v>312</v>
      </c>
      <c r="T48" s="1006">
        <v>317</v>
      </c>
      <c r="U48" s="1006">
        <v>313</v>
      </c>
      <c r="V48" s="1006">
        <v>305</v>
      </c>
      <c r="W48" s="1006">
        <v>303</v>
      </c>
      <c r="X48" s="1006">
        <v>308</v>
      </c>
      <c r="Y48" s="1006">
        <v>305</v>
      </c>
      <c r="Z48" s="1006">
        <v>305</v>
      </c>
      <c r="AA48" s="1006">
        <v>294</v>
      </c>
      <c r="AB48" s="1006">
        <v>294</v>
      </c>
      <c r="AC48" s="1006">
        <v>287</v>
      </c>
      <c r="AD48" s="1006">
        <v>289</v>
      </c>
      <c r="AE48" s="1006">
        <v>294</v>
      </c>
      <c r="AF48" s="1006">
        <v>298</v>
      </c>
      <c r="AG48" s="1006">
        <v>262</v>
      </c>
      <c r="AH48" s="1006">
        <v>267</v>
      </c>
      <c r="AI48" s="1006">
        <v>276</v>
      </c>
      <c r="AJ48" s="1860"/>
      <c r="AK48" s="1860"/>
      <c r="AL48" s="1860"/>
      <c r="AM48" s="1860"/>
      <c r="AN48" s="1860"/>
      <c r="AO48" s="1860"/>
      <c r="AP48" s="1860"/>
      <c r="AQ48" s="1006">
        <v>680</v>
      </c>
      <c r="AR48" s="1006">
        <v>707</v>
      </c>
      <c r="AS48" s="1006">
        <v>698</v>
      </c>
      <c r="AT48" s="1006">
        <v>688</v>
      </c>
      <c r="AU48" s="1006">
        <v>700</v>
      </c>
      <c r="AV48" s="1006">
        <v>725</v>
      </c>
      <c r="AW48" s="1006">
        <v>744</v>
      </c>
      <c r="AX48" s="1006">
        <v>760</v>
      </c>
      <c r="AY48" s="1006">
        <v>762</v>
      </c>
      <c r="AZ48" s="1006">
        <v>772</v>
      </c>
      <c r="BA48" s="1006">
        <v>784</v>
      </c>
      <c r="BB48" s="1006">
        <v>757</v>
      </c>
      <c r="BC48" s="1006">
        <v>728</v>
      </c>
      <c r="BD48" s="1006">
        <v>725</v>
      </c>
      <c r="BE48" s="1006">
        <v>719</v>
      </c>
      <c r="BF48" s="1006">
        <v>710</v>
      </c>
      <c r="BG48" s="1208"/>
      <c r="BH48" s="1007">
        <v>565</v>
      </c>
      <c r="BI48" s="1236">
        <v>559</v>
      </c>
      <c r="BJ48" s="1006">
        <v>6</v>
      </c>
      <c r="BK48" s="952">
        <v>1.0733452593917709E-2</v>
      </c>
      <c r="BL48" s="1208"/>
      <c r="BM48" s="1269">
        <v>565</v>
      </c>
      <c r="BN48" s="1006">
        <v>559</v>
      </c>
      <c r="BO48" s="1006">
        <v>313</v>
      </c>
      <c r="BP48" s="1006">
        <v>312</v>
      </c>
      <c r="BQ48" s="1006">
        <v>303</v>
      </c>
      <c r="BR48" s="1006">
        <v>294</v>
      </c>
      <c r="BS48" s="1006">
        <v>294</v>
      </c>
      <c r="BT48" s="1006">
        <v>276</v>
      </c>
      <c r="BU48" s="2176"/>
      <c r="BV48" s="2176"/>
      <c r="BW48" s="2176"/>
      <c r="BX48" s="2176"/>
      <c r="BY48" s="914">
        <v>728</v>
      </c>
      <c r="BZ48" s="2171">
        <v>689</v>
      </c>
      <c r="CA48" s="2171">
        <v>657</v>
      </c>
      <c r="CB48" s="2171">
        <v>623</v>
      </c>
      <c r="CC48" s="1153"/>
      <c r="CE48" s="1315"/>
      <c r="CG48" s="1315"/>
    </row>
    <row r="49" spans="1:94" ht="13.5" customHeight="1" x14ac:dyDescent="0.2">
      <c r="A49" s="1378" t="s">
        <v>640</v>
      </c>
      <c r="B49" s="1203"/>
      <c r="C49" s="1006">
        <v>28</v>
      </c>
      <c r="D49" s="952">
        <v>0.14736842105263157</v>
      </c>
      <c r="E49" s="914"/>
      <c r="F49" s="914">
        <v>218</v>
      </c>
      <c r="G49" s="914">
        <v>200</v>
      </c>
      <c r="H49" s="1006">
        <v>188</v>
      </c>
      <c r="I49" s="1006">
        <v>193</v>
      </c>
      <c r="J49" s="1006">
        <v>190</v>
      </c>
      <c r="K49" s="1006">
        <v>188</v>
      </c>
      <c r="L49" s="1006">
        <v>197</v>
      </c>
      <c r="M49" s="1006">
        <v>200</v>
      </c>
      <c r="N49" s="1006">
        <v>119</v>
      </c>
      <c r="O49" s="1006">
        <v>118</v>
      </c>
      <c r="P49" s="1006">
        <v>115</v>
      </c>
      <c r="Q49" s="1006">
        <v>118</v>
      </c>
      <c r="R49" s="1006">
        <v>117</v>
      </c>
      <c r="S49" s="1006">
        <v>118</v>
      </c>
      <c r="T49" s="1006">
        <v>117</v>
      </c>
      <c r="U49" s="1006">
        <v>114</v>
      </c>
      <c r="V49" s="1006">
        <v>111</v>
      </c>
      <c r="W49" s="1006">
        <v>114</v>
      </c>
      <c r="X49" s="1006">
        <v>113</v>
      </c>
      <c r="Y49" s="1006">
        <v>113</v>
      </c>
      <c r="Z49" s="1006">
        <v>116</v>
      </c>
      <c r="AA49" s="1006">
        <v>118</v>
      </c>
      <c r="AB49" s="1006">
        <v>119</v>
      </c>
      <c r="AC49" s="1006">
        <v>115</v>
      </c>
      <c r="AD49" s="1006">
        <v>119</v>
      </c>
      <c r="AE49" s="1006">
        <v>122</v>
      </c>
      <c r="AF49" s="1006">
        <v>119</v>
      </c>
      <c r="AG49" s="1006">
        <v>96</v>
      </c>
      <c r="AH49" s="1006">
        <v>98</v>
      </c>
      <c r="AI49" s="1006">
        <v>106</v>
      </c>
      <c r="AJ49" s="1860"/>
      <c r="AK49" s="1860"/>
      <c r="AL49" s="1860"/>
      <c r="AM49" s="1860"/>
      <c r="AN49" s="1860"/>
      <c r="AO49" s="1860"/>
      <c r="AP49" s="1860"/>
      <c r="AQ49" s="1006">
        <v>0</v>
      </c>
      <c r="AR49" s="1006">
        <v>0</v>
      </c>
      <c r="AS49" s="1006">
        <v>0</v>
      </c>
      <c r="AT49" s="1006">
        <v>0</v>
      </c>
      <c r="AU49" s="1006">
        <v>0</v>
      </c>
      <c r="AV49" s="1006">
        <v>0</v>
      </c>
      <c r="AW49" s="1006">
        <v>0</v>
      </c>
      <c r="AX49" s="1006">
        <v>0</v>
      </c>
      <c r="AY49" s="1006">
        <v>0</v>
      </c>
      <c r="AZ49" s="1006">
        <v>0</v>
      </c>
      <c r="BA49" s="1006">
        <v>0</v>
      </c>
      <c r="BB49" s="1006">
        <v>0</v>
      </c>
      <c r="BC49" s="1006">
        <v>0</v>
      </c>
      <c r="BD49" s="1006">
        <v>0</v>
      </c>
      <c r="BE49" s="1006">
        <v>0</v>
      </c>
      <c r="BF49" s="1006">
        <v>0</v>
      </c>
      <c r="BG49" s="1208"/>
      <c r="BH49" s="1007">
        <v>200</v>
      </c>
      <c r="BI49" s="1236">
        <v>188</v>
      </c>
      <c r="BJ49" s="1006">
        <v>12</v>
      </c>
      <c r="BK49" s="952">
        <v>6.3829787234042548E-2</v>
      </c>
      <c r="BL49" s="1208"/>
      <c r="BM49" s="1269">
        <v>200</v>
      </c>
      <c r="BN49" s="1006">
        <v>188</v>
      </c>
      <c r="BO49" s="1006">
        <v>118</v>
      </c>
      <c r="BP49" s="1006">
        <v>118</v>
      </c>
      <c r="BQ49" s="1006">
        <v>114</v>
      </c>
      <c r="BR49" s="1006">
        <v>118</v>
      </c>
      <c r="BS49" s="1006">
        <v>122</v>
      </c>
      <c r="BT49" s="1006">
        <v>106</v>
      </c>
      <c r="BU49" s="2176"/>
      <c r="BV49" s="2176"/>
      <c r="BW49" s="2176"/>
      <c r="BX49" s="2176"/>
      <c r="BY49" s="914"/>
      <c r="BZ49" s="2171"/>
      <c r="CA49" s="2171"/>
      <c r="CB49" s="2171"/>
      <c r="CC49" s="1153"/>
      <c r="CE49" s="1315"/>
      <c r="CG49" s="1315"/>
    </row>
    <row r="50" spans="1:94" ht="12.75" customHeight="1" x14ac:dyDescent="0.2">
      <c r="A50" s="946"/>
      <c r="B50" s="946"/>
      <c r="C50" s="1208"/>
      <c r="D50" s="1208"/>
      <c r="E50" s="1153"/>
      <c r="F50" s="1153"/>
      <c r="G50" s="1153"/>
      <c r="H50" s="1208"/>
      <c r="I50" s="1208"/>
      <c r="J50" s="1208"/>
      <c r="K50" s="1208"/>
      <c r="L50" s="946"/>
      <c r="M50" s="1208"/>
      <c r="N50" s="1208"/>
      <c r="O50" s="1208"/>
      <c r="P50" s="1208"/>
      <c r="Q50" s="1208"/>
      <c r="R50" s="946"/>
      <c r="S50" s="1208"/>
      <c r="T50" s="1208"/>
      <c r="U50" s="1208"/>
      <c r="V50" s="946"/>
      <c r="W50" s="1208"/>
      <c r="X50" s="1208"/>
      <c r="Y50" s="1208"/>
      <c r="Z50" s="946"/>
      <c r="AA50" s="1208"/>
      <c r="AB50" s="1208"/>
      <c r="AC50" s="1208"/>
      <c r="AD50" s="946"/>
      <c r="AE50" s="1208"/>
      <c r="AF50" s="1208"/>
      <c r="AG50" s="1208"/>
      <c r="AH50" s="946"/>
      <c r="AI50" s="1208"/>
      <c r="AJ50" s="1208"/>
      <c r="AK50" s="1208"/>
      <c r="AL50" s="946"/>
      <c r="AM50" s="1208"/>
      <c r="AN50" s="1208"/>
      <c r="AO50" s="1208"/>
      <c r="AP50" s="946"/>
      <c r="AQ50" s="1208"/>
      <c r="AR50" s="1208"/>
      <c r="AS50" s="1208"/>
      <c r="AT50" s="946"/>
      <c r="AU50" s="1208"/>
      <c r="AV50" s="1208"/>
      <c r="AW50" s="1208"/>
      <c r="AX50" s="946"/>
      <c r="AY50" s="1208"/>
      <c r="AZ50" s="1208"/>
      <c r="BA50" s="1208"/>
      <c r="BB50" s="1208"/>
      <c r="BC50" s="1208"/>
      <c r="BD50" s="1208"/>
      <c r="BE50" s="1208"/>
      <c r="BF50" s="1208"/>
      <c r="BG50" s="1208"/>
      <c r="BH50" s="1208"/>
      <c r="BI50" s="1208"/>
      <c r="BJ50" s="1208"/>
      <c r="BK50" s="1208"/>
      <c r="BL50" s="1208"/>
      <c r="BM50" s="1246"/>
      <c r="BN50" s="1208"/>
      <c r="BO50" s="1208"/>
      <c r="BP50" s="1208"/>
      <c r="BQ50" s="1208"/>
      <c r="BR50" s="1208"/>
      <c r="BS50" s="1208"/>
      <c r="BT50" s="1208"/>
      <c r="BU50" s="1153"/>
      <c r="BV50" s="1153"/>
      <c r="BW50" s="1153"/>
      <c r="BX50" s="1153"/>
      <c r="BY50" s="1153"/>
      <c r="BZ50" s="1165"/>
      <c r="CA50" s="1154"/>
      <c r="CB50" s="1154"/>
      <c r="CC50" s="1153"/>
      <c r="CE50" s="1315"/>
      <c r="CG50" s="1315"/>
    </row>
    <row r="51" spans="1:94" ht="18" customHeight="1" x14ac:dyDescent="0.2">
      <c r="A51" s="1349" t="s">
        <v>619</v>
      </c>
      <c r="B51" s="946"/>
      <c r="C51" s="1193"/>
      <c r="D51" s="1193"/>
      <c r="E51" s="1153"/>
      <c r="F51" s="1153"/>
      <c r="G51" s="1153"/>
      <c r="H51" s="1208"/>
      <c r="I51" s="1208"/>
      <c r="J51" s="1208"/>
      <c r="K51" s="1208"/>
      <c r="L51" s="946"/>
      <c r="M51" s="1208"/>
      <c r="N51" s="1208"/>
      <c r="O51" s="1208"/>
      <c r="P51" s="1208"/>
      <c r="Q51" s="1208"/>
      <c r="R51" s="946"/>
      <c r="S51" s="1208"/>
      <c r="T51" s="1208"/>
      <c r="U51" s="1208"/>
      <c r="V51" s="1208"/>
      <c r="W51" s="1208"/>
      <c r="X51" s="1208"/>
      <c r="Y51" s="1208"/>
      <c r="Z51" s="1208"/>
      <c r="AA51" s="1208"/>
      <c r="AB51" s="1208"/>
      <c r="AC51" s="1861"/>
      <c r="AD51" s="1208"/>
      <c r="AE51" s="1208"/>
      <c r="AF51" s="1208"/>
      <c r="AG51" s="1208"/>
      <c r="AH51" s="1208"/>
      <c r="AI51" s="1208"/>
      <c r="AJ51" s="1208"/>
      <c r="AK51" s="1208"/>
      <c r="AL51" s="1208"/>
      <c r="AM51" s="1208"/>
      <c r="AN51" s="1208"/>
      <c r="AO51" s="1208"/>
      <c r="AP51" s="1208"/>
      <c r="AQ51" s="1208"/>
      <c r="AR51" s="1208"/>
      <c r="AS51" s="1208"/>
      <c r="AT51" s="1208"/>
      <c r="AU51" s="1208"/>
      <c r="AV51" s="1208"/>
      <c r="AW51" s="1208"/>
      <c r="AX51" s="1208"/>
      <c r="AY51" s="1208"/>
      <c r="AZ51" s="1208"/>
      <c r="BA51" s="1193"/>
      <c r="BB51" s="1193"/>
      <c r="BC51" s="1193"/>
      <c r="BD51" s="1193"/>
      <c r="BE51" s="1193"/>
      <c r="BF51" s="1193"/>
      <c r="BG51" s="1208"/>
      <c r="BH51" s="1450"/>
      <c r="BI51" s="1193"/>
      <c r="BJ51" s="1208"/>
      <c r="BK51" s="1208"/>
      <c r="BL51" s="1193"/>
      <c r="BM51" s="1193"/>
      <c r="BN51" s="1193"/>
      <c r="BO51" s="1193"/>
      <c r="BP51" s="1193"/>
      <c r="BQ51" s="1193"/>
      <c r="BR51" s="1193"/>
      <c r="BS51" s="1193"/>
      <c r="BT51" s="1193"/>
      <c r="BU51" s="1154"/>
      <c r="BV51" s="1154"/>
      <c r="BW51" s="1154"/>
      <c r="BX51" s="1154"/>
      <c r="BY51" s="1154"/>
      <c r="BZ51" s="1165"/>
      <c r="CA51" s="1154"/>
      <c r="CB51" s="1154"/>
      <c r="CC51" s="1153"/>
      <c r="CE51" s="1315"/>
      <c r="CG51" s="1315"/>
    </row>
    <row r="52" spans="1:94" ht="12.75" customHeight="1" x14ac:dyDescent="0.2">
      <c r="A52" s="1350"/>
      <c r="B52" s="946"/>
      <c r="C52" s="1193"/>
      <c r="D52" s="1193"/>
      <c r="E52" s="1153"/>
      <c r="F52" s="1335"/>
      <c r="G52" s="1335"/>
      <c r="H52" s="1451"/>
      <c r="I52" s="1451"/>
      <c r="J52" s="1451"/>
      <c r="K52" s="1451"/>
      <c r="L52" s="1290"/>
      <c r="M52" s="1451"/>
      <c r="N52" s="1451"/>
      <c r="O52" s="1451"/>
      <c r="P52" s="1451"/>
      <c r="Q52" s="1451"/>
      <c r="R52" s="1208"/>
      <c r="S52" s="1451"/>
      <c r="T52" s="1451"/>
      <c r="U52" s="1451"/>
      <c r="V52" s="1208"/>
      <c r="W52" s="1451"/>
      <c r="X52" s="1451"/>
      <c r="Y52" s="1451"/>
      <c r="Z52" s="1208"/>
      <c r="AA52" s="1451"/>
      <c r="AB52" s="1451"/>
      <c r="AC52" s="1451"/>
      <c r="AD52" s="1208"/>
      <c r="AE52" s="1451"/>
      <c r="AF52" s="1451"/>
      <c r="AG52" s="1451"/>
      <c r="AH52" s="1208"/>
      <c r="AI52" s="1451"/>
      <c r="AJ52" s="1208"/>
      <c r="AK52" s="1451"/>
      <c r="AL52" s="1208"/>
      <c r="AM52" s="1451"/>
      <c r="AN52" s="1208"/>
      <c r="AO52" s="1451"/>
      <c r="AP52" s="1208"/>
      <c r="AQ52" s="1451"/>
      <c r="AR52" s="1208"/>
      <c r="AS52" s="1451"/>
      <c r="AT52" s="1208"/>
      <c r="AU52" s="1451"/>
      <c r="AV52" s="1208"/>
      <c r="AW52" s="1208"/>
      <c r="AX52" s="1208"/>
      <c r="AY52" s="1208"/>
      <c r="AZ52" s="1208"/>
      <c r="BA52" s="1193"/>
      <c r="BB52" s="1193"/>
      <c r="BC52" s="1193"/>
      <c r="BD52" s="1193"/>
      <c r="BE52" s="1193"/>
      <c r="BF52" s="1193"/>
      <c r="BG52" s="1208"/>
      <c r="BH52" s="1193"/>
      <c r="BI52" s="1193"/>
      <c r="BJ52" s="1208"/>
      <c r="BK52" s="1208"/>
      <c r="BL52" s="1193"/>
      <c r="BM52" s="1193"/>
      <c r="BN52" s="1193"/>
      <c r="BO52" s="1193"/>
      <c r="BP52" s="1193"/>
      <c r="BQ52" s="1193"/>
      <c r="BR52" s="1193"/>
      <c r="BS52" s="1193"/>
      <c r="BT52" s="1193"/>
      <c r="BU52" s="1154"/>
      <c r="BV52" s="1154"/>
      <c r="BW52" s="1154"/>
      <c r="BX52" s="1154"/>
      <c r="BY52" s="1154"/>
      <c r="BZ52" s="2020"/>
      <c r="CA52" s="2020"/>
      <c r="CB52" s="2020"/>
      <c r="CC52" s="1153"/>
      <c r="CE52" s="1315"/>
      <c r="CG52" s="1315"/>
    </row>
    <row r="53" spans="1:94" ht="12.75" customHeight="1" x14ac:dyDescent="0.2">
      <c r="A53" s="945"/>
      <c r="B53" s="946"/>
      <c r="C53" s="3073" t="s">
        <v>671</v>
      </c>
      <c r="D53" s="3074"/>
      <c r="E53" s="901"/>
      <c r="F53" s="2958"/>
      <c r="G53" s="902"/>
      <c r="H53" s="982"/>
      <c r="I53" s="982"/>
      <c r="J53" s="983"/>
      <c r="K53" s="982"/>
      <c r="L53" s="982"/>
      <c r="M53" s="982"/>
      <c r="N53" s="983"/>
      <c r="O53" s="982"/>
      <c r="P53" s="982"/>
      <c r="Q53" s="982"/>
      <c r="R53" s="1218"/>
      <c r="S53" s="982"/>
      <c r="T53" s="982"/>
      <c r="U53" s="982"/>
      <c r="V53" s="1218"/>
      <c r="W53" s="982"/>
      <c r="X53" s="982"/>
      <c r="Y53" s="982"/>
      <c r="Z53" s="1218"/>
      <c r="AA53" s="982"/>
      <c r="AB53" s="982"/>
      <c r="AC53" s="982"/>
      <c r="AD53" s="1218"/>
      <c r="AE53" s="982"/>
      <c r="AF53" s="982"/>
      <c r="AG53" s="982"/>
      <c r="AH53" s="1218"/>
      <c r="AI53" s="1219"/>
      <c r="AJ53" s="1220"/>
      <c r="AK53" s="982"/>
      <c r="AL53" s="1218"/>
      <c r="AM53" s="1219"/>
      <c r="AN53" s="1220"/>
      <c r="AO53" s="982"/>
      <c r="AP53" s="1218"/>
      <c r="AR53" s="1220"/>
      <c r="AS53" s="941"/>
      <c r="AT53" s="1218"/>
      <c r="AU53" s="1220"/>
      <c r="AW53" s="982"/>
      <c r="AX53" s="1218"/>
      <c r="AY53" s="1220"/>
      <c r="AZ53" s="1220"/>
      <c r="BA53" s="1220"/>
      <c r="BB53" s="1220"/>
      <c r="BC53" s="1221"/>
      <c r="BD53" s="1218"/>
      <c r="BE53" s="1218"/>
      <c r="BF53" s="1218"/>
      <c r="BG53" s="1222"/>
      <c r="BH53" s="988" t="s">
        <v>660</v>
      </c>
      <c r="BI53" s="988"/>
      <c r="BJ53" s="988" t="s">
        <v>563</v>
      </c>
      <c r="BK53" s="989"/>
      <c r="BL53" s="990"/>
      <c r="BM53" s="991"/>
      <c r="BN53" s="991"/>
      <c r="BO53" s="991"/>
      <c r="BP53" s="991"/>
      <c r="BQ53" s="991"/>
      <c r="BR53" s="991"/>
      <c r="BS53" s="991"/>
      <c r="BT53" s="991"/>
      <c r="BU53" s="1992"/>
      <c r="BV53" s="1992"/>
      <c r="BW53" s="1992"/>
      <c r="BX53" s="2052"/>
      <c r="BY53" s="2053"/>
      <c r="BZ53" s="1992"/>
      <c r="CA53" s="1992"/>
      <c r="CB53" s="1992"/>
      <c r="CC53" s="1999"/>
      <c r="CE53" s="1315"/>
      <c r="CG53" s="1315"/>
    </row>
    <row r="54" spans="1:94" ht="12.75" customHeight="1" x14ac:dyDescent="0.2">
      <c r="A54" s="945" t="s">
        <v>2</v>
      </c>
      <c r="B54" s="946"/>
      <c r="C54" s="3184" t="s">
        <v>38</v>
      </c>
      <c r="D54" s="3185"/>
      <c r="E54" s="906"/>
      <c r="F54" s="1993" t="s">
        <v>670</v>
      </c>
      <c r="G54" s="907" t="s">
        <v>558</v>
      </c>
      <c r="H54" s="992" t="s">
        <v>559</v>
      </c>
      <c r="I54" s="992" t="s">
        <v>560</v>
      </c>
      <c r="J54" s="993" t="s">
        <v>561</v>
      </c>
      <c r="K54" s="992" t="s">
        <v>508</v>
      </c>
      <c r="L54" s="992" t="s">
        <v>507</v>
      </c>
      <c r="M54" s="992" t="s">
        <v>506</v>
      </c>
      <c r="N54" s="993" t="s">
        <v>505</v>
      </c>
      <c r="O54" s="992" t="s">
        <v>382</v>
      </c>
      <c r="P54" s="992" t="s">
        <v>383</v>
      </c>
      <c r="Q54" s="992" t="s">
        <v>384</v>
      </c>
      <c r="R54" s="993" t="s">
        <v>385</v>
      </c>
      <c r="S54" s="992" t="s">
        <v>368</v>
      </c>
      <c r="T54" s="992" t="s">
        <v>367</v>
      </c>
      <c r="U54" s="992" t="s">
        <v>366</v>
      </c>
      <c r="V54" s="993" t="s">
        <v>364</v>
      </c>
      <c r="W54" s="992" t="s">
        <v>348</v>
      </c>
      <c r="X54" s="992" t="s">
        <v>349</v>
      </c>
      <c r="Y54" s="992" t="s">
        <v>350</v>
      </c>
      <c r="Z54" s="993" t="s">
        <v>351</v>
      </c>
      <c r="AA54" s="992" t="s">
        <v>315</v>
      </c>
      <c r="AB54" s="992" t="s">
        <v>314</v>
      </c>
      <c r="AC54" s="992" t="s">
        <v>313</v>
      </c>
      <c r="AD54" s="993" t="s">
        <v>311</v>
      </c>
      <c r="AE54" s="992" t="s">
        <v>270</v>
      </c>
      <c r="AF54" s="992" t="s">
        <v>271</v>
      </c>
      <c r="AG54" s="992" t="s">
        <v>272</v>
      </c>
      <c r="AH54" s="993" t="s">
        <v>273</v>
      </c>
      <c r="AI54" s="994" t="s">
        <v>223</v>
      </c>
      <c r="AJ54" s="992" t="s">
        <v>224</v>
      </c>
      <c r="AK54" s="992" t="s">
        <v>225</v>
      </c>
      <c r="AL54" s="993" t="s">
        <v>222</v>
      </c>
      <c r="AM54" s="994" t="s">
        <v>189</v>
      </c>
      <c r="AN54" s="992" t="s">
        <v>190</v>
      </c>
      <c r="AO54" s="992" t="s">
        <v>191</v>
      </c>
      <c r="AP54" s="993" t="s">
        <v>192</v>
      </c>
      <c r="AQ54" s="992" t="s">
        <v>121</v>
      </c>
      <c r="AR54" s="992" t="s">
        <v>120</v>
      </c>
      <c r="AS54" s="992" t="s">
        <v>119</v>
      </c>
      <c r="AT54" s="993" t="s">
        <v>118</v>
      </c>
      <c r="AU54" s="992" t="s">
        <v>81</v>
      </c>
      <c r="AV54" s="992" t="s">
        <v>82</v>
      </c>
      <c r="AW54" s="992" t="s">
        <v>83</v>
      </c>
      <c r="AX54" s="993" t="s">
        <v>29</v>
      </c>
      <c r="AY54" s="992" t="s">
        <v>30</v>
      </c>
      <c r="AZ54" s="992" t="s">
        <v>31</v>
      </c>
      <c r="BA54" s="992" t="s">
        <v>32</v>
      </c>
      <c r="BB54" s="992" t="s">
        <v>33</v>
      </c>
      <c r="BC54" s="995" t="s">
        <v>34</v>
      </c>
      <c r="BD54" s="993" t="s">
        <v>35</v>
      </c>
      <c r="BE54" s="993" t="s">
        <v>36</v>
      </c>
      <c r="BF54" s="993" t="s">
        <v>37</v>
      </c>
      <c r="BG54" s="996"/>
      <c r="BH54" s="990" t="s">
        <v>558</v>
      </c>
      <c r="BI54" s="990" t="s">
        <v>508</v>
      </c>
      <c r="BJ54" s="3071" t="s">
        <v>38</v>
      </c>
      <c r="BK54" s="3072"/>
      <c r="BL54" s="1293"/>
      <c r="BM54" s="994" t="s">
        <v>562</v>
      </c>
      <c r="BN54" s="994" t="s">
        <v>509</v>
      </c>
      <c r="BO54" s="994" t="s">
        <v>502</v>
      </c>
      <c r="BP54" s="994" t="s">
        <v>379</v>
      </c>
      <c r="BQ54" s="994" t="s">
        <v>360</v>
      </c>
      <c r="BR54" s="994" t="s">
        <v>317</v>
      </c>
      <c r="BS54" s="994" t="s">
        <v>275</v>
      </c>
      <c r="BT54" s="994" t="s">
        <v>227</v>
      </c>
      <c r="BU54" s="1948" t="s">
        <v>123</v>
      </c>
      <c r="BV54" s="1948" t="s">
        <v>122</v>
      </c>
      <c r="BW54" s="1948" t="s">
        <v>42</v>
      </c>
      <c r="BX54" s="1948" t="s">
        <v>39</v>
      </c>
      <c r="BY54" s="1993" t="s">
        <v>40</v>
      </c>
      <c r="BZ54" s="1993" t="s">
        <v>142</v>
      </c>
      <c r="CA54" s="1993" t="s">
        <v>143</v>
      </c>
      <c r="CB54" s="1993" t="s">
        <v>144</v>
      </c>
      <c r="CC54" s="1999"/>
      <c r="CE54" s="1315"/>
      <c r="CG54" s="1315"/>
    </row>
    <row r="55" spans="1:94" ht="12.75" customHeight="1" x14ac:dyDescent="0.2">
      <c r="A55" s="1207"/>
      <c r="B55" s="1208" t="s">
        <v>4</v>
      </c>
      <c r="C55" s="1353">
        <v>6136</v>
      </c>
      <c r="D55" s="1210">
        <v>9.3270706978582391E-2</v>
      </c>
      <c r="E55" s="1147"/>
      <c r="F55" s="2016">
        <v>71923</v>
      </c>
      <c r="G55" s="1156">
        <v>63494</v>
      </c>
      <c r="H55" s="1246">
        <v>61777</v>
      </c>
      <c r="I55" s="1246">
        <v>63927</v>
      </c>
      <c r="J55" s="1248">
        <v>65787</v>
      </c>
      <c r="K55" s="1235">
        <v>64923</v>
      </c>
      <c r="L55" s="1269">
        <v>60945</v>
      </c>
      <c r="M55" s="1246">
        <v>37482</v>
      </c>
      <c r="N55" s="1248">
        <v>38033</v>
      </c>
      <c r="O55" s="1235">
        <v>33065</v>
      </c>
      <c r="P55" s="1246">
        <v>34549</v>
      </c>
      <c r="Q55" s="1235">
        <v>33958</v>
      </c>
      <c r="R55" s="1454">
        <v>33247</v>
      </c>
      <c r="S55" s="1235">
        <v>34913</v>
      </c>
      <c r="T55" s="1235">
        <v>35040</v>
      </c>
      <c r="U55" s="1235">
        <v>34039</v>
      </c>
      <c r="V55" s="1454">
        <v>34367</v>
      </c>
      <c r="W55" s="1235">
        <v>35672</v>
      </c>
      <c r="X55" s="1235">
        <v>29965</v>
      </c>
      <c r="Y55" s="1235">
        <v>29786</v>
      </c>
      <c r="Z55" s="1454">
        <v>30128</v>
      </c>
      <c r="AA55" s="1235">
        <v>33220</v>
      </c>
      <c r="AB55" s="1235">
        <v>27018</v>
      </c>
      <c r="AC55" s="1235">
        <v>25830</v>
      </c>
      <c r="AD55" s="1454">
        <v>26978</v>
      </c>
      <c r="AE55" s="1235">
        <v>26706</v>
      </c>
      <c r="AF55" s="1235">
        <v>24792</v>
      </c>
      <c r="AG55" s="1235">
        <v>20672</v>
      </c>
      <c r="AH55" s="1454">
        <v>19587</v>
      </c>
      <c r="AI55" s="1235">
        <v>1987</v>
      </c>
      <c r="AJ55" s="1859"/>
      <c r="AK55" s="1859"/>
      <c r="AL55" s="1862"/>
      <c r="AM55" s="1859"/>
      <c r="AN55" s="1859"/>
      <c r="AO55" s="1859"/>
      <c r="AP55" s="1862"/>
      <c r="AQ55" s="1235">
        <v>54990</v>
      </c>
      <c r="AR55" s="1235">
        <v>51733</v>
      </c>
      <c r="AS55" s="1235">
        <v>40138</v>
      </c>
      <c r="AT55" s="1454">
        <v>40185</v>
      </c>
      <c r="AU55" s="1471">
        <v>37255</v>
      </c>
      <c r="AV55" s="1235">
        <v>33532</v>
      </c>
      <c r="AW55" s="1235">
        <v>43844</v>
      </c>
      <c r="AX55" s="1454">
        <v>57853</v>
      </c>
      <c r="AY55" s="1196">
        <v>54463</v>
      </c>
      <c r="AZ55" s="1270">
        <v>61166</v>
      </c>
      <c r="BA55" s="1270">
        <v>57415</v>
      </c>
      <c r="BB55" s="1231">
        <v>76083</v>
      </c>
      <c r="BC55" s="1456">
        <v>75876</v>
      </c>
      <c r="BD55" s="1231">
        <v>68831</v>
      </c>
      <c r="BE55" s="1231">
        <v>55626</v>
      </c>
      <c r="BF55" s="1382">
        <v>72286</v>
      </c>
      <c r="BG55" s="1188"/>
      <c r="BH55" s="1473">
        <v>254985</v>
      </c>
      <c r="BI55" s="2785">
        <v>201383</v>
      </c>
      <c r="BJ55" s="1341">
        <v>53602</v>
      </c>
      <c r="BK55" s="1210">
        <v>0.26616943833392093</v>
      </c>
      <c r="BL55" s="1193"/>
      <c r="BM55" s="2900">
        <v>254985</v>
      </c>
      <c r="BN55" s="1751">
        <v>201383</v>
      </c>
      <c r="BO55" s="1751">
        <v>134819</v>
      </c>
      <c r="BP55" s="1751">
        <v>138359</v>
      </c>
      <c r="BQ55" s="1751">
        <v>125551</v>
      </c>
      <c r="BR55" s="1751">
        <v>113046</v>
      </c>
      <c r="BS55" s="1273">
        <v>91757</v>
      </c>
      <c r="BT55" s="1273">
        <v>1987</v>
      </c>
      <c r="BU55" s="2177"/>
      <c r="BV55" s="2177"/>
      <c r="BW55" s="2177"/>
      <c r="BX55" s="2177"/>
      <c r="BY55" s="2054">
        <v>272619</v>
      </c>
      <c r="BZ55" s="2054">
        <v>225194</v>
      </c>
      <c r="CA55" s="2054">
        <v>178176</v>
      </c>
      <c r="CB55" s="2054">
        <v>175983</v>
      </c>
      <c r="CC55" s="1999"/>
      <c r="CE55" s="1920">
        <v>26396</v>
      </c>
      <c r="CF55" s="1180">
        <v>0.76401632464036584</v>
      </c>
      <c r="CG55" s="1180">
        <v>-20260</v>
      </c>
      <c r="CH55" s="1180">
        <v>-0.67074561766178342</v>
      </c>
      <c r="CJ55" s="1920">
        <v>136460</v>
      </c>
      <c r="CK55" s="1315">
        <v>118525</v>
      </c>
      <c r="CL55" s="1920"/>
      <c r="CM55" s="1315">
        <v>53602</v>
      </c>
      <c r="CN55" s="1315">
        <v>0.26616943833392093</v>
      </c>
      <c r="CO55" s="1315">
        <v>0</v>
      </c>
      <c r="CP55" s="1180">
        <v>0</v>
      </c>
    </row>
    <row r="56" spans="1:94" ht="12.75" customHeight="1" x14ac:dyDescent="0.2">
      <c r="A56" s="1193"/>
      <c r="B56" s="1208" t="s">
        <v>80</v>
      </c>
      <c r="C56" s="1209">
        <v>5657</v>
      </c>
      <c r="D56" s="1035">
        <v>0.10892252002464571</v>
      </c>
      <c r="E56" s="2564"/>
      <c r="F56" s="2961">
        <v>57593</v>
      </c>
      <c r="G56" s="1167">
        <v>51671</v>
      </c>
      <c r="H56" s="1270">
        <v>50870</v>
      </c>
      <c r="I56" s="1269">
        <v>50656</v>
      </c>
      <c r="J56" s="1245">
        <v>51936</v>
      </c>
      <c r="K56" s="2851">
        <v>54770</v>
      </c>
      <c r="L56" s="1269">
        <v>48979</v>
      </c>
      <c r="M56" s="1269">
        <v>29696</v>
      </c>
      <c r="N56" s="1245">
        <v>29257</v>
      </c>
      <c r="O56" s="1262">
        <v>27238</v>
      </c>
      <c r="P56" s="1269">
        <v>26102</v>
      </c>
      <c r="Q56" s="1262">
        <v>26049</v>
      </c>
      <c r="R56" s="1454">
        <v>26573</v>
      </c>
      <c r="S56" s="1262">
        <v>29595</v>
      </c>
      <c r="T56" s="1262">
        <v>27902</v>
      </c>
      <c r="U56" s="1262">
        <v>27431</v>
      </c>
      <c r="V56" s="1454">
        <v>27360</v>
      </c>
      <c r="W56" s="1262">
        <v>27529</v>
      </c>
      <c r="X56" s="1262">
        <v>24292</v>
      </c>
      <c r="Y56" s="1262">
        <v>24034</v>
      </c>
      <c r="Z56" s="1454">
        <v>23923</v>
      </c>
      <c r="AA56" s="1262">
        <v>24462</v>
      </c>
      <c r="AB56" s="1262">
        <v>21341</v>
      </c>
      <c r="AC56" s="1262">
        <v>20391</v>
      </c>
      <c r="AD56" s="1454">
        <v>20237</v>
      </c>
      <c r="AE56" s="1262">
        <v>18686</v>
      </c>
      <c r="AF56" s="1262">
        <v>20629</v>
      </c>
      <c r="AG56" s="1262">
        <v>15875</v>
      </c>
      <c r="AH56" s="1454">
        <v>16562</v>
      </c>
      <c r="AI56" s="1262">
        <v>1649</v>
      </c>
      <c r="AJ56" s="1859"/>
      <c r="AK56" s="1859"/>
      <c r="AL56" s="1862"/>
      <c r="AM56" s="1859"/>
      <c r="AN56" s="1859"/>
      <c r="AO56" s="1859"/>
      <c r="AP56" s="1859"/>
      <c r="AQ56" s="1262">
        <v>46835</v>
      </c>
      <c r="AR56" s="1262">
        <v>42047</v>
      </c>
      <c r="AS56" s="1262">
        <v>35213</v>
      </c>
      <c r="AT56" s="1454">
        <v>35168</v>
      </c>
      <c r="AU56" s="1262">
        <v>28967</v>
      </c>
      <c r="AV56" s="1262">
        <v>34689</v>
      </c>
      <c r="AW56" s="1262">
        <v>35911</v>
      </c>
      <c r="AX56" s="1454">
        <v>44683</v>
      </c>
      <c r="AY56" s="1196">
        <v>43703</v>
      </c>
      <c r="AZ56" s="1270">
        <v>48132</v>
      </c>
      <c r="BA56" s="1270">
        <v>44039</v>
      </c>
      <c r="BB56" s="1231">
        <v>57148</v>
      </c>
      <c r="BC56" s="1237">
        <v>55349</v>
      </c>
      <c r="BD56" s="1231">
        <v>50178</v>
      </c>
      <c r="BE56" s="1231">
        <v>41346</v>
      </c>
      <c r="BF56" s="1231">
        <v>55217</v>
      </c>
      <c r="BG56" s="1188"/>
      <c r="BH56" s="1462">
        <v>205133</v>
      </c>
      <c r="BI56" s="1236">
        <v>162702</v>
      </c>
      <c r="BJ56" s="957">
        <v>42431</v>
      </c>
      <c r="BK56" s="1035">
        <v>0.2607896645400794</v>
      </c>
      <c r="BL56" s="1193"/>
      <c r="BM56" s="1846">
        <v>205133</v>
      </c>
      <c r="BN56" s="1751">
        <v>162702</v>
      </c>
      <c r="BO56" s="1751">
        <v>105962</v>
      </c>
      <c r="BP56" s="1751">
        <v>112288</v>
      </c>
      <c r="BQ56" s="1751">
        <v>99778</v>
      </c>
      <c r="BR56" s="1751">
        <v>86431</v>
      </c>
      <c r="BS56" s="1273">
        <v>71752</v>
      </c>
      <c r="BT56" s="1273">
        <v>1649</v>
      </c>
      <c r="BU56" s="2177"/>
      <c r="BV56" s="2177"/>
      <c r="BW56" s="2177"/>
      <c r="BX56" s="2177"/>
      <c r="BY56" s="2002">
        <v>202090</v>
      </c>
      <c r="BZ56" s="2002">
        <v>163976</v>
      </c>
      <c r="CA56" s="2002">
        <v>127504</v>
      </c>
      <c r="CB56" s="2002">
        <v>118638</v>
      </c>
      <c r="CC56" s="1999"/>
      <c r="CE56" s="1920">
        <v>22877</v>
      </c>
      <c r="CF56" s="1180">
        <v>0.87644624932955328</v>
      </c>
      <c r="CG56" s="1180">
        <v>-17220</v>
      </c>
      <c r="CH56" s="1180">
        <v>-0.76752372930490753</v>
      </c>
      <c r="CJ56" s="1920">
        <v>107932</v>
      </c>
      <c r="CK56" s="1315">
        <v>97201</v>
      </c>
      <c r="CL56" s="1920"/>
      <c r="CM56" s="1315">
        <v>42431</v>
      </c>
      <c r="CN56" s="1315">
        <v>0.2607896645400794</v>
      </c>
      <c r="CO56" s="1315">
        <v>0</v>
      </c>
      <c r="CP56" s="1180">
        <v>0</v>
      </c>
    </row>
    <row r="57" spans="1:94" ht="12.75" customHeight="1" x14ac:dyDescent="0.2">
      <c r="A57" s="1193"/>
      <c r="B57" s="1343" t="s">
        <v>332</v>
      </c>
      <c r="C57" s="1209">
        <v>-3</v>
      </c>
      <c r="D57" s="1035">
        <v>-9.8684210526315784E-3</v>
      </c>
      <c r="E57" s="2564"/>
      <c r="F57" s="2010">
        <v>301</v>
      </c>
      <c r="G57" s="1169">
        <v>398</v>
      </c>
      <c r="H57" s="1269">
        <v>305</v>
      </c>
      <c r="I57" s="1269">
        <v>308</v>
      </c>
      <c r="J57" s="1245">
        <v>304</v>
      </c>
      <c r="K57" s="1269">
        <v>376</v>
      </c>
      <c r="L57" s="1269">
        <v>322</v>
      </c>
      <c r="M57" s="1269">
        <v>315</v>
      </c>
      <c r="N57" s="1245">
        <v>316</v>
      </c>
      <c r="O57" s="1269">
        <v>302</v>
      </c>
      <c r="P57" s="1269">
        <v>346</v>
      </c>
      <c r="Q57" s="1262">
        <v>324</v>
      </c>
      <c r="R57" s="1454">
        <v>320</v>
      </c>
      <c r="S57" s="1262">
        <v>337</v>
      </c>
      <c r="T57" s="1262">
        <v>622</v>
      </c>
      <c r="U57" s="1262">
        <v>634</v>
      </c>
      <c r="V57" s="1454">
        <v>597</v>
      </c>
      <c r="W57" s="1262">
        <v>1044</v>
      </c>
      <c r="X57" s="1262">
        <v>936</v>
      </c>
      <c r="Y57" s="1262"/>
      <c r="Z57" s="1454"/>
      <c r="AA57" s="1262"/>
      <c r="AB57" s="1262"/>
      <c r="AC57" s="1262"/>
      <c r="AD57" s="1454"/>
      <c r="AE57" s="1262"/>
      <c r="AF57" s="1262"/>
      <c r="AG57" s="1262"/>
      <c r="AH57" s="1454"/>
      <c r="AI57" s="1262"/>
      <c r="AJ57" s="1859"/>
      <c r="AK57" s="1859"/>
      <c r="AL57" s="1862"/>
      <c r="AM57" s="1859"/>
      <c r="AN57" s="1859"/>
      <c r="AO57" s="1859"/>
      <c r="AP57" s="1859"/>
      <c r="AQ57" s="1262"/>
      <c r="AR57" s="1262"/>
      <c r="AS57" s="1262"/>
      <c r="AT57" s="1454"/>
      <c r="AU57" s="1262"/>
      <c r="AV57" s="1262"/>
      <c r="AW57" s="1262"/>
      <c r="AX57" s="1454"/>
      <c r="AY57" s="1196"/>
      <c r="AZ57" s="1270"/>
      <c r="BA57" s="1270"/>
      <c r="BB57" s="1231"/>
      <c r="BC57" s="1237"/>
      <c r="BD57" s="1231"/>
      <c r="BE57" s="1231"/>
      <c r="BF57" s="1231"/>
      <c r="BG57" s="1188"/>
      <c r="BH57" s="1462">
        <v>1315</v>
      </c>
      <c r="BI57" s="1236">
        <v>1329</v>
      </c>
      <c r="BJ57" s="957">
        <v>-14</v>
      </c>
      <c r="BK57" s="1035">
        <v>-1.0534236267870579E-2</v>
      </c>
      <c r="BL57" s="1193"/>
      <c r="BM57" s="1846">
        <v>1315</v>
      </c>
      <c r="BN57" s="1751">
        <v>1329</v>
      </c>
      <c r="BO57" s="1751">
        <v>1292</v>
      </c>
      <c r="BP57" s="1751">
        <v>2190</v>
      </c>
      <c r="BQ57" s="1751">
        <v>4200</v>
      </c>
      <c r="BR57" s="1751">
        <v>8047</v>
      </c>
      <c r="BS57" s="1273">
        <v>6736</v>
      </c>
      <c r="BT57" s="1273">
        <v>0</v>
      </c>
      <c r="BU57" s="2177"/>
      <c r="BV57" s="2177"/>
      <c r="BW57" s="2177"/>
      <c r="BX57" s="2177"/>
      <c r="BY57" s="2002"/>
      <c r="BZ57" s="2002"/>
      <c r="CA57" s="2002"/>
      <c r="CB57" s="2002"/>
      <c r="CC57" s="1999"/>
      <c r="CE57" s="1920">
        <v>-24</v>
      </c>
      <c r="CF57" s="1180">
        <v>-6.9364161849710976E-2</v>
      </c>
      <c r="CG57" s="1180">
        <v>21</v>
      </c>
      <c r="CH57" s="1180">
        <v>5.9495740797079394E-2</v>
      </c>
      <c r="CJ57" s="1920">
        <v>953</v>
      </c>
      <c r="CK57" s="1315">
        <v>362</v>
      </c>
      <c r="CL57" s="1920"/>
      <c r="CM57" s="1315">
        <v>-14</v>
      </c>
      <c r="CN57" s="1315">
        <v>-1.0534236267870579E-2</v>
      </c>
      <c r="CO57" s="1315">
        <v>0</v>
      </c>
      <c r="CP57" s="1180">
        <v>0</v>
      </c>
    </row>
    <row r="58" spans="1:94" x14ac:dyDescent="0.2">
      <c r="A58" s="1193"/>
      <c r="B58" s="1343" t="s">
        <v>72</v>
      </c>
      <c r="C58" s="1211">
        <v>482</v>
      </c>
      <c r="D58" s="1192">
        <v>3.5579833173396323E-2</v>
      </c>
      <c r="E58" s="2564"/>
      <c r="F58" s="2962">
        <v>14029</v>
      </c>
      <c r="G58" s="1181">
        <v>11425</v>
      </c>
      <c r="H58" s="1304">
        <v>10602</v>
      </c>
      <c r="I58" s="1304">
        <v>12963</v>
      </c>
      <c r="J58" s="1253">
        <v>13547</v>
      </c>
      <c r="K58" s="1304">
        <v>9777</v>
      </c>
      <c r="L58" s="1304">
        <v>11644</v>
      </c>
      <c r="M58" s="1304">
        <v>7471</v>
      </c>
      <c r="N58" s="1253">
        <v>8460</v>
      </c>
      <c r="O58" s="1304">
        <v>5525</v>
      </c>
      <c r="P58" s="1304">
        <v>8101</v>
      </c>
      <c r="Q58" s="1302">
        <v>7585</v>
      </c>
      <c r="R58" s="1457">
        <v>6354</v>
      </c>
      <c r="S58" s="1302">
        <v>4981</v>
      </c>
      <c r="T58" s="1302">
        <v>6516</v>
      </c>
      <c r="U58" s="1302">
        <v>5974</v>
      </c>
      <c r="V58" s="1457">
        <v>6410</v>
      </c>
      <c r="W58" s="1302">
        <v>7099</v>
      </c>
      <c r="X58" s="1302">
        <v>4737</v>
      </c>
      <c r="Y58" s="1302">
        <v>4647</v>
      </c>
      <c r="Z58" s="1457">
        <v>5090</v>
      </c>
      <c r="AA58" s="1302">
        <v>6399</v>
      </c>
      <c r="AB58" s="1302">
        <v>3502</v>
      </c>
      <c r="AC58" s="1302" t="e">
        <v>#REF!</v>
      </c>
      <c r="AD58" s="1457" t="e">
        <v>#REF!</v>
      </c>
      <c r="AE58" s="1302" t="e">
        <v>#REF!</v>
      </c>
      <c r="AF58" s="1302" t="e">
        <v>#REF!</v>
      </c>
      <c r="AG58" s="1302" t="e">
        <v>#REF!</v>
      </c>
      <c r="AH58" s="1301" t="e">
        <v>#REF!</v>
      </c>
      <c r="AI58" s="1302" t="e">
        <v>#REF!</v>
      </c>
      <c r="AJ58" s="1864"/>
      <c r="AK58" s="1864"/>
      <c r="AL58" s="1865"/>
      <c r="AM58" s="1864"/>
      <c r="AN58" s="1864"/>
      <c r="AO58" s="1864"/>
      <c r="AP58" s="1865"/>
      <c r="AQ58" s="1302"/>
      <c r="AR58" s="1302"/>
      <c r="AS58" s="1302"/>
      <c r="AT58" s="1457"/>
      <c r="AU58" s="1302"/>
      <c r="AV58" s="1302"/>
      <c r="AW58" s="1302"/>
      <c r="AX58" s="1457"/>
      <c r="AY58" s="1460"/>
      <c r="AZ58" s="1459"/>
      <c r="BA58" s="1459"/>
      <c r="BB58" s="1251"/>
      <c r="BC58" s="1257"/>
      <c r="BD58" s="1251"/>
      <c r="BE58" s="1251"/>
      <c r="BF58" s="1251"/>
      <c r="BG58" s="1188"/>
      <c r="BH58" s="2230">
        <v>48537</v>
      </c>
      <c r="BI58" s="1256">
        <v>37352</v>
      </c>
      <c r="BJ58" s="1191">
        <v>11185</v>
      </c>
      <c r="BK58" s="1192">
        <v>0.29944849004069396</v>
      </c>
      <c r="BL58" s="1193"/>
      <c r="BM58" s="1827">
        <v>48537</v>
      </c>
      <c r="BN58" s="1306">
        <v>37352</v>
      </c>
      <c r="BO58" s="1306">
        <v>27565</v>
      </c>
      <c r="BP58" s="1306">
        <v>23881</v>
      </c>
      <c r="BQ58" s="1827">
        <v>21573</v>
      </c>
      <c r="BR58" s="1827">
        <v>18568</v>
      </c>
      <c r="BS58" s="1461">
        <v>13269</v>
      </c>
      <c r="BT58" s="1461">
        <v>338</v>
      </c>
      <c r="BU58" s="2178"/>
      <c r="BV58" s="2178"/>
      <c r="BW58" s="2178"/>
      <c r="BX58" s="2178"/>
      <c r="BY58" s="2007"/>
      <c r="BZ58" s="2007"/>
      <c r="CA58" s="2007"/>
      <c r="CB58" s="2007"/>
      <c r="CC58" s="1999"/>
      <c r="CE58" s="1920">
        <v>3543</v>
      </c>
      <c r="CF58" s="1180">
        <v>0.43735341315886928</v>
      </c>
      <c r="CG58" s="1180">
        <v>-3061</v>
      </c>
      <c r="CH58" s="1180">
        <v>-0.40177357998547297</v>
      </c>
      <c r="CJ58" s="1920">
        <v>27575</v>
      </c>
      <c r="CK58" s="1315">
        <v>20962</v>
      </c>
      <c r="CL58" s="1920"/>
      <c r="CM58" s="1315">
        <v>11185</v>
      </c>
      <c r="CN58" s="1315">
        <v>0.29944849004069396</v>
      </c>
      <c r="CO58" s="1315">
        <v>0</v>
      </c>
      <c r="CP58" s="1180">
        <v>0</v>
      </c>
    </row>
    <row r="59" spans="1:94" ht="12.75" customHeight="1" x14ac:dyDescent="0.2">
      <c r="A59" s="1193"/>
      <c r="B59" s="1208"/>
      <c r="C59" s="1007"/>
      <c r="D59" s="959"/>
      <c r="E59" s="929"/>
      <c r="F59" s="929"/>
      <c r="G59" s="929"/>
      <c r="H59" s="959"/>
      <c r="I59" s="959"/>
      <c r="J59" s="959"/>
      <c r="K59" s="959"/>
      <c r="L59" s="959"/>
      <c r="M59" s="959"/>
      <c r="N59" s="959"/>
      <c r="O59" s="959"/>
      <c r="P59" s="959"/>
      <c r="Q59" s="959"/>
      <c r="R59" s="1208"/>
      <c r="S59" s="959"/>
      <c r="T59" s="959"/>
      <c r="U59" s="959"/>
      <c r="V59" s="1208"/>
      <c r="W59" s="959"/>
      <c r="X59" s="959"/>
      <c r="Y59" s="959"/>
      <c r="Z59" s="1208"/>
      <c r="AA59" s="959"/>
      <c r="AB59" s="959"/>
      <c r="AC59" s="959"/>
      <c r="AD59" s="1208"/>
      <c r="AE59" s="959"/>
      <c r="AF59" s="959"/>
      <c r="AG59" s="959"/>
      <c r="AH59" s="1208"/>
      <c r="AI59" s="1269"/>
      <c r="AJ59" s="959"/>
      <c r="AK59" s="959"/>
      <c r="AL59" s="1208"/>
      <c r="AM59" s="959"/>
      <c r="AN59" s="959"/>
      <c r="AO59" s="959"/>
      <c r="AP59" s="1208"/>
      <c r="AQ59" s="959"/>
      <c r="AR59" s="959"/>
      <c r="AS59" s="959"/>
      <c r="AT59" s="1208"/>
      <c r="AU59" s="959"/>
      <c r="AV59" s="959"/>
      <c r="AW59" s="959"/>
      <c r="AX59" s="1208"/>
      <c r="AY59" s="1193"/>
      <c r="AZ59" s="1193"/>
      <c r="BA59" s="1193"/>
      <c r="BB59" s="1193"/>
      <c r="BC59" s="1193"/>
      <c r="BD59" s="1193"/>
      <c r="BE59" s="1193"/>
      <c r="BF59" s="1193"/>
      <c r="BG59" s="1208"/>
      <c r="BH59" s="1208"/>
      <c r="BI59" s="1236"/>
      <c r="BJ59" s="1007"/>
      <c r="BK59" s="959"/>
      <c r="BL59" s="1208"/>
      <c r="BM59" s="1208"/>
      <c r="BN59" s="1208"/>
      <c r="BO59" s="1208"/>
      <c r="BP59" s="1208"/>
      <c r="BQ59" s="1208"/>
      <c r="BR59" s="1208"/>
      <c r="BS59" s="1208"/>
      <c r="BT59" s="1208"/>
      <c r="BU59" s="1153"/>
      <c r="BV59" s="1153"/>
      <c r="BW59" s="1153"/>
      <c r="BX59" s="1154"/>
      <c r="BY59" s="1154"/>
      <c r="BZ59" s="914"/>
      <c r="CA59" s="914"/>
      <c r="CB59" s="914"/>
      <c r="CC59" s="1153"/>
      <c r="CE59" s="1315"/>
      <c r="CG59" s="1315"/>
    </row>
    <row r="60" spans="1:94" ht="12.75" customHeight="1" x14ac:dyDescent="0.2">
      <c r="A60" s="1193"/>
      <c r="B60" s="1203" t="s">
        <v>623</v>
      </c>
      <c r="C60" s="1805">
        <v>-3.1559823202332749</v>
      </c>
      <c r="D60" s="959"/>
      <c r="E60" s="929"/>
      <c r="F60" s="929">
        <v>0.54518026222487936</v>
      </c>
      <c r="G60" s="929">
        <v>0.56504551611175857</v>
      </c>
      <c r="H60" s="959">
        <v>0.56092073101639772</v>
      </c>
      <c r="I60" s="959">
        <v>0.56871118619675565</v>
      </c>
      <c r="J60" s="959">
        <v>0.57674008542721211</v>
      </c>
      <c r="K60" s="959">
        <v>0.59792369422238656</v>
      </c>
      <c r="L60" s="959">
        <v>0.5737468209040939</v>
      </c>
      <c r="M60" s="959">
        <v>0.55375913771943863</v>
      </c>
      <c r="N60" s="959">
        <v>0.49890884232114219</v>
      </c>
      <c r="O60" s="959">
        <v>0.52668985331921969</v>
      </c>
      <c r="P60" s="959">
        <v>0.48551332889519233</v>
      </c>
      <c r="Q60" s="959">
        <v>0.50376936215324808</v>
      </c>
      <c r="R60" s="959">
        <v>0.54302643847565191</v>
      </c>
      <c r="S60" s="959">
        <v>0.55343281872082029</v>
      </c>
      <c r="T60" s="959"/>
      <c r="U60" s="959"/>
      <c r="V60" s="1208"/>
      <c r="W60" s="959"/>
      <c r="X60" s="959"/>
      <c r="Y60" s="959"/>
      <c r="Z60" s="1208"/>
      <c r="AA60" s="959"/>
      <c r="AB60" s="959"/>
      <c r="AC60" s="959"/>
      <c r="AD60" s="1208"/>
      <c r="AE60" s="959"/>
      <c r="AF60" s="959"/>
      <c r="AG60" s="959"/>
      <c r="AH60" s="1208"/>
      <c r="AI60" s="1269"/>
      <c r="AJ60" s="959"/>
      <c r="AK60" s="959"/>
      <c r="AL60" s="1208"/>
      <c r="AM60" s="959"/>
      <c r="AN60" s="959"/>
      <c r="AO60" s="959"/>
      <c r="AP60" s="1208"/>
      <c r="AQ60" s="959"/>
      <c r="AR60" s="959"/>
      <c r="AS60" s="959"/>
      <c r="AT60" s="1208"/>
      <c r="AU60" s="959"/>
      <c r="AV60" s="959"/>
      <c r="AW60" s="959"/>
      <c r="AX60" s="1208"/>
      <c r="AY60" s="1193"/>
      <c r="AZ60" s="1193"/>
      <c r="BA60" s="1193"/>
      <c r="BB60" s="1193"/>
      <c r="BC60" s="1193"/>
      <c r="BD60" s="1193"/>
      <c r="BE60" s="1193"/>
      <c r="BF60" s="1193"/>
      <c r="BG60" s="1208"/>
      <c r="BH60" s="959">
        <v>0.5679824303390395</v>
      </c>
      <c r="BI60" s="959">
        <v>0.56368710367806618</v>
      </c>
      <c r="BJ60" s="1805">
        <v>0.42953266609733198</v>
      </c>
      <c r="BK60" s="959"/>
      <c r="BL60" s="1208"/>
      <c r="BM60" s="959">
        <v>0.5679824303390395</v>
      </c>
      <c r="BN60" s="959">
        <v>0.56368710367806618</v>
      </c>
      <c r="BO60" s="959">
        <v>0.51439337185411549</v>
      </c>
      <c r="BP60" s="959">
        <v>0.53194949370839628</v>
      </c>
      <c r="BQ60" s="959">
        <v>0.50959371092225469</v>
      </c>
      <c r="BR60" s="959">
        <v>0.48471418714505599</v>
      </c>
      <c r="BS60" s="1208"/>
      <c r="BT60" s="1208"/>
      <c r="BU60" s="1153"/>
      <c r="BV60" s="1153"/>
      <c r="BW60" s="1153"/>
      <c r="BX60" s="1154"/>
      <c r="BY60" s="1154"/>
      <c r="BZ60" s="914"/>
      <c r="CA60" s="914"/>
      <c r="CB60" s="914"/>
      <c r="CC60" s="1153"/>
      <c r="CE60" s="1315"/>
      <c r="CG60" s="1315"/>
    </row>
    <row r="61" spans="1:94" ht="12.75" customHeight="1" x14ac:dyDescent="0.2">
      <c r="A61" s="1193"/>
      <c r="B61" s="1203" t="s">
        <v>75</v>
      </c>
      <c r="C61" s="1805">
        <v>4.2862084820456809</v>
      </c>
      <c r="D61" s="959"/>
      <c r="E61" s="929"/>
      <c r="F61" s="929">
        <v>0.25557888297206732</v>
      </c>
      <c r="G61" s="929">
        <v>0.24874791318864775</v>
      </c>
      <c r="H61" s="959">
        <v>0.26252488790326495</v>
      </c>
      <c r="I61" s="959">
        <v>0.22369264942825409</v>
      </c>
      <c r="J61" s="959">
        <v>0.21271679815161051</v>
      </c>
      <c r="K61" s="959">
        <v>0.24569104939697795</v>
      </c>
      <c r="L61" s="959">
        <v>0.22991221593239805</v>
      </c>
      <c r="M61" s="959">
        <v>0.23851448695373778</v>
      </c>
      <c r="N61" s="959">
        <v>0.27034417479557227</v>
      </c>
      <c r="O61" s="959">
        <v>0.29708150612430062</v>
      </c>
      <c r="P61" s="959">
        <v>0.26999334278850329</v>
      </c>
      <c r="Q61" s="959">
        <v>0.26332528417456857</v>
      </c>
      <c r="R61" s="959">
        <v>0.25623364514091496</v>
      </c>
      <c r="S61" s="959">
        <v>0.29424569644545012</v>
      </c>
      <c r="T61" s="959">
        <v>0.27083333333333331</v>
      </c>
      <c r="U61" s="959">
        <v>0.27829842239783775</v>
      </c>
      <c r="V61" s="959">
        <v>0.27503128000698346</v>
      </c>
      <c r="W61" s="959">
        <v>0.27164162368243999</v>
      </c>
      <c r="X61" s="959">
        <v>0.29384281661938927</v>
      </c>
      <c r="Y61" s="959">
        <v>0.29530651984153627</v>
      </c>
      <c r="Z61" s="959">
        <v>0.28236192246415293</v>
      </c>
      <c r="AA61" s="959">
        <v>0.25424443106562311</v>
      </c>
      <c r="AB61" s="959">
        <v>0.30520393811533053</v>
      </c>
      <c r="AC61" s="959">
        <v>0.29810298102981031</v>
      </c>
      <c r="AD61" s="959">
        <v>0.26851508636666915</v>
      </c>
      <c r="AE61" s="959">
        <v>0.26623230734666364</v>
      </c>
      <c r="AF61" s="959">
        <v>0.33696353662471767</v>
      </c>
      <c r="AG61" s="959">
        <v>0.26620549535603716</v>
      </c>
      <c r="AH61" s="959">
        <v>0.37106243937305355</v>
      </c>
      <c r="AI61" s="959">
        <v>0.25364871665827882</v>
      </c>
      <c r="AJ61" s="1857"/>
      <c r="AK61" s="1857"/>
      <c r="AL61" s="1857"/>
      <c r="AM61" s="1857"/>
      <c r="AN61" s="1857"/>
      <c r="AO61" s="1857"/>
      <c r="AP61" s="1857"/>
      <c r="AQ61" s="959">
        <v>0.27384979087106748</v>
      </c>
      <c r="AR61" s="959">
        <v>0.26397077300755806</v>
      </c>
      <c r="AS61" s="959">
        <v>0.28613782450545616</v>
      </c>
      <c r="AT61" s="959">
        <v>0.3055617767823815</v>
      </c>
      <c r="AU61" s="959">
        <v>0.30438867266138775</v>
      </c>
      <c r="AV61" s="959">
        <v>0.52001073601336034</v>
      </c>
      <c r="AW61" s="959">
        <v>0.28095064318949003</v>
      </c>
      <c r="AX61" s="959">
        <v>0.24116294747031269</v>
      </c>
      <c r="AY61" s="1036">
        <v>0.27273561867689994</v>
      </c>
      <c r="AZ61" s="1036">
        <v>0.26800000000000002</v>
      </c>
      <c r="BA61" s="1036">
        <v>0.26400000000000001</v>
      </c>
      <c r="BB61" s="1036">
        <v>0.20299999999999996</v>
      </c>
      <c r="BC61" s="1036">
        <v>0.19</v>
      </c>
      <c r="BD61" s="1036">
        <v>0.22199999999999998</v>
      </c>
      <c r="BE61" s="1036">
        <v>0.24399999999999999</v>
      </c>
      <c r="BF61" s="1036">
        <v>0.255</v>
      </c>
      <c r="BG61" s="1208"/>
      <c r="BH61" s="959">
        <v>0.23650802988411082</v>
      </c>
      <c r="BI61" s="959">
        <v>0.24423610731789674</v>
      </c>
      <c r="BJ61" s="1805">
        <v>-0.77280774337859237</v>
      </c>
      <c r="BK61" s="959"/>
      <c r="BL61" s="1208"/>
      <c r="BM61" s="959">
        <v>0.23650802988411082</v>
      </c>
      <c r="BN61" s="959">
        <v>0.24423610731789674</v>
      </c>
      <c r="BO61" s="959">
        <v>0.2715640970486356</v>
      </c>
      <c r="BP61" s="959">
        <v>0.27962040777976133</v>
      </c>
      <c r="BQ61" s="959">
        <v>0.2851271594810077</v>
      </c>
      <c r="BR61" s="959">
        <v>0.27985068025405585</v>
      </c>
      <c r="BS61" s="959">
        <v>0.29683838835184234</v>
      </c>
      <c r="BT61" s="959">
        <v>0.25364871665827882</v>
      </c>
      <c r="BU61" s="2173"/>
      <c r="BV61" s="2173"/>
      <c r="BW61" s="2173"/>
      <c r="BX61" s="2173"/>
      <c r="BY61" s="923">
        <v>0.22599999999999998</v>
      </c>
      <c r="BZ61" s="2022">
        <v>0.20299999999999996</v>
      </c>
      <c r="CA61" s="2022">
        <v>0.18</v>
      </c>
      <c r="CB61" s="2022">
        <v>0.14600000000000002</v>
      </c>
      <c r="CC61" s="1153"/>
      <c r="CE61" s="1315"/>
      <c r="CG61" s="1315"/>
    </row>
    <row r="62" spans="1:94" ht="12.75" customHeight="1" x14ac:dyDescent="0.2">
      <c r="A62" s="1193"/>
      <c r="B62" s="1203" t="s">
        <v>76</v>
      </c>
      <c r="C62" s="1805">
        <v>1.1302261618124088</v>
      </c>
      <c r="D62" s="959"/>
      <c r="E62" s="929"/>
      <c r="F62" s="929">
        <v>0.80075914519694669</v>
      </c>
      <c r="G62" s="929">
        <v>0.81379342930040632</v>
      </c>
      <c r="H62" s="959">
        <v>0.82344561891966261</v>
      </c>
      <c r="I62" s="959">
        <v>0.79240383562500982</v>
      </c>
      <c r="J62" s="959">
        <v>0.7894568835788226</v>
      </c>
      <c r="K62" s="959">
        <v>0.8436147436193645</v>
      </c>
      <c r="L62" s="959">
        <v>0.80365903683649187</v>
      </c>
      <c r="M62" s="959">
        <v>0.79227362467317641</v>
      </c>
      <c r="N62" s="959">
        <v>0.76925301711671445</v>
      </c>
      <c r="O62" s="959">
        <v>0.82377135944352031</v>
      </c>
      <c r="P62" s="959">
        <v>0.75550667168369567</v>
      </c>
      <c r="Q62" s="959">
        <v>0.76709464632781676</v>
      </c>
      <c r="R62" s="959">
        <v>0.79926008361656686</v>
      </c>
      <c r="S62" s="959">
        <v>0.84767851516627046</v>
      </c>
      <c r="T62" s="959">
        <v>0.79628995433789951</v>
      </c>
      <c r="U62" s="959">
        <v>0.8058697376538676</v>
      </c>
      <c r="V62" s="959">
        <v>0.79611254982977853</v>
      </c>
      <c r="W62" s="959">
        <v>0.77172572325633548</v>
      </c>
      <c r="X62" s="959">
        <v>0.81067912564658773</v>
      </c>
      <c r="Y62" s="959">
        <v>0.8068891425501914</v>
      </c>
      <c r="Z62" s="959">
        <v>0.79404540626659581</v>
      </c>
      <c r="AA62" s="959">
        <v>0.73636363636363633</v>
      </c>
      <c r="AB62" s="959">
        <v>0.78988082019394479</v>
      </c>
      <c r="AC62" s="959">
        <v>0.78943089430894309</v>
      </c>
      <c r="AD62" s="959">
        <v>0.75012973533990657</v>
      </c>
      <c r="AE62" s="959">
        <v>0.69969295289448064</v>
      </c>
      <c r="AF62" s="959">
        <v>0.83208292997741207</v>
      </c>
      <c r="AG62" s="959">
        <v>0.76794698142414863</v>
      </c>
      <c r="AH62" s="959">
        <v>0.84556083116352687</v>
      </c>
      <c r="AI62" s="959">
        <v>0.82989431303472572</v>
      </c>
      <c r="AJ62" s="1857"/>
      <c r="AK62" s="1857"/>
      <c r="AL62" s="1857"/>
      <c r="AM62" s="1857"/>
      <c r="AN62" s="1857"/>
      <c r="AO62" s="1857"/>
      <c r="AP62" s="1857"/>
      <c r="AQ62" s="959">
        <v>0.8517003091471177</v>
      </c>
      <c r="AR62" s="959">
        <v>0.81276941217404752</v>
      </c>
      <c r="AS62" s="959">
        <v>0.8772983207932632</v>
      </c>
      <c r="AT62" s="959">
        <v>0.87515242005723526</v>
      </c>
      <c r="AU62" s="959">
        <v>0.77753321701784994</v>
      </c>
      <c r="AV62" s="959">
        <v>1.0345043540498629</v>
      </c>
      <c r="AW62" s="959">
        <v>0.81906304169327615</v>
      </c>
      <c r="AX62" s="959">
        <v>0.77235406979759047</v>
      </c>
      <c r="AY62" s="1036">
        <v>0.8024346804252428</v>
      </c>
      <c r="AZ62" s="1036">
        <v>0.78700000000000003</v>
      </c>
      <c r="BA62" s="1036">
        <v>0.76700000000000002</v>
      </c>
      <c r="BB62" s="1036">
        <v>0.751</v>
      </c>
      <c r="BC62" s="1036">
        <v>0.72899999999999998</v>
      </c>
      <c r="BD62" s="1036">
        <v>0.72899999999999998</v>
      </c>
      <c r="BE62" s="1036">
        <v>0.74299999999999999</v>
      </c>
      <c r="BF62" s="1036">
        <v>0.76400000000000001</v>
      </c>
      <c r="BG62" s="1208"/>
      <c r="BH62" s="959">
        <v>0.80449046022315041</v>
      </c>
      <c r="BI62" s="959">
        <v>0.80792321099596287</v>
      </c>
      <c r="BJ62" s="1805">
        <v>-0.34327507728124651</v>
      </c>
      <c r="BK62" s="959"/>
      <c r="BL62" s="1208"/>
      <c r="BM62" s="959">
        <v>0.80449046022315041</v>
      </c>
      <c r="BN62" s="959">
        <v>0.80792321099596287</v>
      </c>
      <c r="BO62" s="959">
        <v>0.78595746890275109</v>
      </c>
      <c r="BP62" s="959">
        <v>0.81156990148815766</v>
      </c>
      <c r="BQ62" s="959">
        <v>0.79472087040326245</v>
      </c>
      <c r="BR62" s="959">
        <v>0.76456486739911189</v>
      </c>
      <c r="BS62" s="959">
        <v>0.78197848665496905</v>
      </c>
      <c r="BT62" s="959">
        <v>0.82989431303472572</v>
      </c>
      <c r="BU62" s="2173"/>
      <c r="BV62" s="2173"/>
      <c r="BW62" s="2173"/>
      <c r="BX62" s="2173"/>
      <c r="BY62" s="923">
        <v>0.74099999999999999</v>
      </c>
      <c r="BZ62" s="2022">
        <v>0.72799999999999998</v>
      </c>
      <c r="CA62" s="2022">
        <v>0.71599999999999997</v>
      </c>
      <c r="CB62" s="2022">
        <v>0.67400000000000004</v>
      </c>
      <c r="CC62" s="1153"/>
      <c r="CE62" s="1315"/>
      <c r="CG62" s="1315"/>
    </row>
    <row r="63" spans="1:94" ht="12.75" customHeight="1" x14ac:dyDescent="0.2">
      <c r="A63" s="1193"/>
      <c r="B63" s="1203" t="s">
        <v>77</v>
      </c>
      <c r="C63" s="1805">
        <v>-1.0866319083448346</v>
      </c>
      <c r="D63" s="959"/>
      <c r="E63" s="929"/>
      <c r="F63" s="929">
        <v>0.19505582358911613</v>
      </c>
      <c r="G63" s="929">
        <v>0.17993826188301257</v>
      </c>
      <c r="H63" s="959">
        <v>0.17161726856273371</v>
      </c>
      <c r="I63" s="959">
        <v>0.2027781688488432</v>
      </c>
      <c r="J63" s="959">
        <v>0.20592214267256448</v>
      </c>
      <c r="K63" s="959">
        <v>0.15059378032438428</v>
      </c>
      <c r="L63" s="959">
        <v>0.19105751087045697</v>
      </c>
      <c r="M63" s="959">
        <v>0.19932234139053412</v>
      </c>
      <c r="N63" s="959">
        <v>0.2224384087502958</v>
      </c>
      <c r="O63" s="959">
        <v>0.16709511568123395</v>
      </c>
      <c r="P63" s="959">
        <v>0.23447856667342035</v>
      </c>
      <c r="Q63" s="959">
        <v>0.22336415572177395</v>
      </c>
      <c r="R63" s="959">
        <v>0.19111498781844979</v>
      </c>
      <c r="S63" s="959">
        <v>0.14266891988657521</v>
      </c>
      <c r="T63" s="959">
        <v>0.18595890410958904</v>
      </c>
      <c r="U63" s="959">
        <v>0.17550456828931521</v>
      </c>
      <c r="V63" s="959">
        <v>0.18651613466406727</v>
      </c>
      <c r="W63" s="959">
        <v>0.19900762502803318</v>
      </c>
      <c r="X63" s="959">
        <v>0.15808443183714332</v>
      </c>
      <c r="Y63" s="959">
        <v>0.19311085744980863</v>
      </c>
      <c r="Z63" s="959">
        <v>0.20595459373340413</v>
      </c>
      <c r="AA63" s="959">
        <v>0.26363636363636361</v>
      </c>
      <c r="AB63" s="959">
        <v>0.21011917980605521</v>
      </c>
      <c r="AC63" s="959" t="e">
        <v>#REF!</v>
      </c>
      <c r="AD63" s="959" t="e">
        <v>#REF!</v>
      </c>
      <c r="AE63" s="959" t="e">
        <v>#REF!</v>
      </c>
      <c r="AF63" s="959" t="e">
        <v>#REF!</v>
      </c>
      <c r="AG63" s="959" t="e">
        <v>#REF!</v>
      </c>
      <c r="AH63" s="959" t="e">
        <v>#REF!</v>
      </c>
      <c r="AI63" s="959" t="e">
        <v>#REF!</v>
      </c>
      <c r="AJ63" s="1857"/>
      <c r="AK63" s="1857"/>
      <c r="AL63" s="1857"/>
      <c r="AM63" s="1857"/>
      <c r="AN63" s="1857"/>
      <c r="AO63" s="1857"/>
      <c r="AP63" s="1857"/>
      <c r="AQ63" s="959">
        <v>0.14829969085288233</v>
      </c>
      <c r="AR63" s="959">
        <v>0.18723058782595248</v>
      </c>
      <c r="AS63" s="959">
        <v>0.12270167920673676</v>
      </c>
      <c r="AT63" s="959">
        <v>0.12484757994276471</v>
      </c>
      <c r="AU63" s="959">
        <v>0.22246678298215006</v>
      </c>
      <c r="AV63" s="959">
        <v>-3.4504354049862816E-2</v>
      </c>
      <c r="AW63" s="959">
        <v>0.18093695830672385</v>
      </c>
      <c r="AX63" s="959">
        <v>0.22764593020240956</v>
      </c>
      <c r="AY63" s="1036">
        <v>0.19756531957475718</v>
      </c>
      <c r="AZ63" s="1036">
        <v>0.21299999999999997</v>
      </c>
      <c r="BA63" s="1036">
        <v>0.23299999999999998</v>
      </c>
      <c r="BB63" s="1036">
        <v>0.249</v>
      </c>
      <c r="BC63" s="1036">
        <v>0.27100000000000002</v>
      </c>
      <c r="BD63" s="1036">
        <v>0.27100000000000002</v>
      </c>
      <c r="BE63" s="1036">
        <v>0.25700000000000001</v>
      </c>
      <c r="BF63" s="1036">
        <v>0.23599999999999999</v>
      </c>
      <c r="BG63" s="1208"/>
      <c r="BH63" s="959">
        <v>0.19035237366903934</v>
      </c>
      <c r="BI63" s="959">
        <v>0.18547742361569744</v>
      </c>
      <c r="BJ63" s="1805">
        <v>0.48749500533419032</v>
      </c>
      <c r="BK63" s="959"/>
      <c r="BL63" s="1208"/>
      <c r="BM63" s="959">
        <v>0.19035237366903934</v>
      </c>
      <c r="BN63" s="959">
        <v>0.18547742361569744</v>
      </c>
      <c r="BO63" s="959">
        <v>0.20445931211476126</v>
      </c>
      <c r="BP63" s="959">
        <v>0.17260171004416047</v>
      </c>
      <c r="BQ63" s="959">
        <v>0.17182658839834011</v>
      </c>
      <c r="BR63" s="959">
        <v>0.16425172053854184</v>
      </c>
      <c r="BS63" s="959">
        <v>0.14461022047364233</v>
      </c>
      <c r="BT63" s="959">
        <v>0.17010568696527428</v>
      </c>
      <c r="BU63" s="2173"/>
      <c r="BV63" s="2173"/>
      <c r="BW63" s="2173"/>
      <c r="BX63" s="2173"/>
      <c r="BY63" s="923">
        <v>0.25900000000000001</v>
      </c>
      <c r="BZ63" s="2022">
        <v>0.27200000000000002</v>
      </c>
      <c r="CA63" s="2022">
        <v>0.28400000000000003</v>
      </c>
      <c r="CB63" s="2022">
        <v>0.32599999999999996</v>
      </c>
      <c r="CC63" s="1153"/>
      <c r="CE63" s="1315"/>
    </row>
    <row r="64" spans="1:94" ht="12.75" customHeight="1" x14ac:dyDescent="0.2">
      <c r="A64" s="1193"/>
      <c r="B64" s="1203"/>
      <c r="C64" s="1805"/>
      <c r="D64" s="959"/>
      <c r="E64" s="929"/>
      <c r="F64" s="929"/>
      <c r="G64" s="92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K64" s="959"/>
      <c r="AL64" s="959"/>
      <c r="AM64" s="959"/>
      <c r="AN64" s="959"/>
      <c r="AO64" s="959"/>
      <c r="AP64" s="959"/>
      <c r="AQ64" s="959"/>
      <c r="AR64" s="959"/>
      <c r="AS64" s="959"/>
      <c r="AT64" s="959"/>
      <c r="AU64" s="959"/>
      <c r="AV64" s="959"/>
      <c r="AW64" s="959"/>
      <c r="AX64" s="959"/>
      <c r="AY64" s="1036"/>
      <c r="AZ64" s="1036"/>
      <c r="BA64" s="1036"/>
      <c r="BB64" s="1036"/>
      <c r="BC64" s="1036"/>
      <c r="BD64" s="1036"/>
      <c r="BE64" s="1036"/>
      <c r="BF64" s="1036"/>
      <c r="BG64" s="1208"/>
      <c r="BH64" s="1208"/>
      <c r="BI64" s="1208"/>
      <c r="BJ64" s="1805"/>
      <c r="BK64" s="959"/>
      <c r="BL64" s="1208"/>
      <c r="BM64" s="1036"/>
      <c r="BN64" s="1036"/>
      <c r="BO64" s="1036"/>
      <c r="BP64" s="1036"/>
      <c r="BQ64" s="1036"/>
      <c r="BR64" s="1036"/>
      <c r="BS64" s="1036"/>
      <c r="BT64" s="1036"/>
      <c r="BU64" s="923"/>
      <c r="BV64" s="923"/>
      <c r="BW64" s="923"/>
      <c r="BX64" s="923"/>
      <c r="BY64" s="923"/>
      <c r="BZ64" s="2022"/>
      <c r="CA64" s="2022"/>
      <c r="CB64" s="2022"/>
      <c r="CC64" s="1153"/>
      <c r="CE64" s="1315"/>
    </row>
    <row r="65" spans="1:94" ht="12.75" customHeight="1" x14ac:dyDescent="0.2">
      <c r="A65" s="1349" t="s">
        <v>194</v>
      </c>
      <c r="B65" s="1203"/>
      <c r="C65" s="1208"/>
      <c r="D65" s="1208"/>
      <c r="E65" s="1153"/>
      <c r="F65" s="1153"/>
      <c r="G65" s="1153"/>
      <c r="H65" s="1208"/>
      <c r="I65" s="1208"/>
      <c r="J65" s="1208"/>
      <c r="K65" s="1208"/>
      <c r="L65" s="946"/>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946"/>
      <c r="BC65" s="1208"/>
      <c r="BD65" s="946"/>
      <c r="BE65" s="946"/>
      <c r="BF65" s="1208"/>
      <c r="BG65" s="1208"/>
      <c r="BH65" s="1208"/>
      <c r="BI65" s="1208"/>
      <c r="BJ65" s="1208"/>
      <c r="BK65" s="1208"/>
      <c r="BL65" s="1208"/>
      <c r="BM65" s="1208"/>
      <c r="BN65" s="1208"/>
      <c r="BO65" s="1208"/>
      <c r="BP65" s="1208"/>
      <c r="BQ65" s="1208"/>
      <c r="BR65" s="1208"/>
      <c r="BS65" s="1208"/>
      <c r="BT65" s="1208"/>
      <c r="BU65" s="1153"/>
      <c r="BV65" s="1153"/>
      <c r="BW65" s="1153"/>
      <c r="BX65" s="1153"/>
      <c r="BY65" s="1153"/>
      <c r="BZ65" s="914"/>
      <c r="CA65" s="2022"/>
      <c r="CB65" s="2022"/>
      <c r="CC65" s="1153"/>
      <c r="CE65" s="1315"/>
    </row>
    <row r="66" spans="1:94" ht="12.75" customHeight="1" x14ac:dyDescent="0.2">
      <c r="C66" s="3073" t="s">
        <v>671</v>
      </c>
      <c r="D66" s="3074"/>
      <c r="E66" s="901"/>
      <c r="F66" s="2958"/>
      <c r="G66" s="902"/>
      <c r="H66" s="982"/>
      <c r="I66" s="982"/>
      <c r="J66" s="983"/>
      <c r="K66" s="982"/>
      <c r="L66" s="982"/>
      <c r="M66" s="982"/>
      <c r="N66" s="983"/>
      <c r="O66" s="982"/>
      <c r="P66" s="982"/>
      <c r="Q66" s="982"/>
      <c r="R66" s="1218"/>
      <c r="S66" s="982"/>
      <c r="T66" s="982"/>
      <c r="U66" s="982"/>
      <c r="V66" s="1218"/>
      <c r="W66" s="982"/>
      <c r="X66" s="982"/>
      <c r="Y66" s="982"/>
      <c r="Z66" s="1218"/>
      <c r="AA66" s="982"/>
      <c r="AB66" s="982"/>
      <c r="AC66" s="982"/>
      <c r="AD66" s="1218"/>
      <c r="AE66" s="982"/>
      <c r="AF66" s="982"/>
      <c r="AG66" s="982"/>
      <c r="AH66" s="1218"/>
      <c r="AI66" s="1219"/>
      <c r="AJ66" s="1220"/>
      <c r="AK66" s="982"/>
      <c r="AL66" s="1218"/>
      <c r="AM66" s="1219"/>
      <c r="AN66" s="1220"/>
      <c r="AO66" s="982"/>
      <c r="AP66" s="1218"/>
      <c r="AR66" s="1220"/>
      <c r="AS66" s="941"/>
      <c r="AT66" s="1218"/>
      <c r="AU66" s="1220"/>
      <c r="AW66" s="982"/>
      <c r="AX66" s="1218"/>
      <c r="AY66" s="1220"/>
      <c r="AZ66" s="1220"/>
      <c r="BA66" s="1220"/>
      <c r="BB66" s="1220"/>
      <c r="BC66" s="1221"/>
      <c r="BD66" s="1218"/>
      <c r="BE66" s="1218"/>
      <c r="BF66" s="1218"/>
      <c r="BG66" s="1222"/>
      <c r="BH66" s="988" t="s">
        <v>660</v>
      </c>
      <c r="BI66" s="988"/>
      <c r="BJ66" s="988" t="s">
        <v>563</v>
      </c>
      <c r="BK66" s="989"/>
      <c r="BL66" s="1208"/>
      <c r="BM66" s="991"/>
      <c r="BN66" s="991"/>
      <c r="BO66" s="991"/>
      <c r="BP66" s="991"/>
      <c r="BQ66" s="991"/>
      <c r="BR66" s="991"/>
      <c r="BS66" s="991"/>
      <c r="BT66" s="991"/>
      <c r="BU66" s="1992"/>
      <c r="BV66" s="1992"/>
      <c r="BW66" s="1992"/>
      <c r="BX66" s="2052"/>
      <c r="BY66" s="2053"/>
      <c r="BZ66" s="1992"/>
      <c r="CA66" s="2022"/>
      <c r="CB66" s="2022"/>
      <c r="CC66" s="1999"/>
      <c r="CE66" s="1315"/>
    </row>
    <row r="67" spans="1:94" ht="12.75" customHeight="1" x14ac:dyDescent="0.2">
      <c r="C67" s="3075" t="s">
        <v>38</v>
      </c>
      <c r="D67" s="3077"/>
      <c r="E67" s="906"/>
      <c r="F67" s="1993" t="s">
        <v>670</v>
      </c>
      <c r="G67" s="907" t="s">
        <v>558</v>
      </c>
      <c r="H67" s="992" t="s">
        <v>559</v>
      </c>
      <c r="I67" s="992" t="s">
        <v>560</v>
      </c>
      <c r="J67" s="993" t="s">
        <v>561</v>
      </c>
      <c r="K67" s="992" t="s">
        <v>508</v>
      </c>
      <c r="L67" s="992" t="s">
        <v>507</v>
      </c>
      <c r="M67" s="992" t="s">
        <v>506</v>
      </c>
      <c r="N67" s="993" t="s">
        <v>505</v>
      </c>
      <c r="O67" s="992" t="s">
        <v>382</v>
      </c>
      <c r="P67" s="992" t="s">
        <v>383</v>
      </c>
      <c r="Q67" s="992" t="s">
        <v>384</v>
      </c>
      <c r="R67" s="993" t="s">
        <v>385</v>
      </c>
      <c r="S67" s="992" t="s">
        <v>368</v>
      </c>
      <c r="T67" s="992" t="s">
        <v>367</v>
      </c>
      <c r="U67" s="992" t="s">
        <v>366</v>
      </c>
      <c r="V67" s="993" t="s">
        <v>364</v>
      </c>
      <c r="W67" s="992" t="s">
        <v>348</v>
      </c>
      <c r="X67" s="992" t="s">
        <v>349</v>
      </c>
      <c r="Y67" s="992" t="s">
        <v>350</v>
      </c>
      <c r="Z67" s="993" t="s">
        <v>351</v>
      </c>
      <c r="AA67" s="992" t="s">
        <v>315</v>
      </c>
      <c r="AB67" s="992" t="s">
        <v>314</v>
      </c>
      <c r="AC67" s="992" t="s">
        <v>313</v>
      </c>
      <c r="AD67" s="993" t="s">
        <v>311</v>
      </c>
      <c r="AE67" s="992" t="s">
        <v>270</v>
      </c>
      <c r="AF67" s="992" t="s">
        <v>271</v>
      </c>
      <c r="AG67" s="992" t="s">
        <v>272</v>
      </c>
      <c r="AH67" s="993" t="s">
        <v>273</v>
      </c>
      <c r="AI67" s="994" t="s">
        <v>223</v>
      </c>
      <c r="AJ67" s="992" t="s">
        <v>224</v>
      </c>
      <c r="AK67" s="992" t="s">
        <v>225</v>
      </c>
      <c r="AL67" s="993" t="s">
        <v>222</v>
      </c>
      <c r="AM67" s="994" t="s">
        <v>189</v>
      </c>
      <c r="AN67" s="992" t="s">
        <v>190</v>
      </c>
      <c r="AO67" s="992" t="s">
        <v>191</v>
      </c>
      <c r="AP67" s="993" t="s">
        <v>192</v>
      </c>
      <c r="AQ67" s="992" t="s">
        <v>121</v>
      </c>
      <c r="AR67" s="992" t="s">
        <v>120</v>
      </c>
      <c r="AS67" s="992" t="s">
        <v>119</v>
      </c>
      <c r="AT67" s="993" t="s">
        <v>118</v>
      </c>
      <c r="AU67" s="992" t="s">
        <v>81</v>
      </c>
      <c r="AV67" s="992" t="s">
        <v>82</v>
      </c>
      <c r="AW67" s="992" t="s">
        <v>83</v>
      </c>
      <c r="AX67" s="993" t="s">
        <v>29</v>
      </c>
      <c r="AY67" s="992" t="s">
        <v>30</v>
      </c>
      <c r="AZ67" s="992" t="s">
        <v>31</v>
      </c>
      <c r="BA67" s="992" t="s">
        <v>32</v>
      </c>
      <c r="BB67" s="992" t="s">
        <v>33</v>
      </c>
      <c r="BC67" s="995" t="s">
        <v>34</v>
      </c>
      <c r="BD67" s="993" t="s">
        <v>35</v>
      </c>
      <c r="BE67" s="993" t="s">
        <v>36</v>
      </c>
      <c r="BF67" s="993" t="s">
        <v>37</v>
      </c>
      <c r="BG67" s="996"/>
      <c r="BH67" s="992" t="s">
        <v>558</v>
      </c>
      <c r="BI67" s="992" t="s">
        <v>508</v>
      </c>
      <c r="BJ67" s="3194" t="s">
        <v>38</v>
      </c>
      <c r="BK67" s="3076"/>
      <c r="BL67" s="1208"/>
      <c r="BM67" s="994" t="s">
        <v>562</v>
      </c>
      <c r="BN67" s="994" t="s">
        <v>509</v>
      </c>
      <c r="BO67" s="994" t="s">
        <v>502</v>
      </c>
      <c r="BP67" s="994" t="s">
        <v>379</v>
      </c>
      <c r="BQ67" s="994" t="s">
        <v>360</v>
      </c>
      <c r="BR67" s="994" t="s">
        <v>317</v>
      </c>
      <c r="BS67" s="994" t="s">
        <v>275</v>
      </c>
      <c r="BT67" s="994" t="s">
        <v>227</v>
      </c>
      <c r="BU67" s="1948" t="s">
        <v>123</v>
      </c>
      <c r="BV67" s="1948" t="s">
        <v>122</v>
      </c>
      <c r="BW67" s="1948" t="s">
        <v>42</v>
      </c>
      <c r="BX67" s="1948" t="s">
        <v>39</v>
      </c>
      <c r="BY67" s="1993" t="s">
        <v>40</v>
      </c>
      <c r="BZ67" s="1993" t="s">
        <v>142</v>
      </c>
      <c r="CA67" s="2022"/>
      <c r="CB67" s="2022"/>
      <c r="CC67" s="1999"/>
      <c r="CE67" s="1315"/>
    </row>
    <row r="68" spans="1:94" ht="12.75" customHeight="1" x14ac:dyDescent="0.2">
      <c r="A68" s="1193"/>
      <c r="B68" s="946" t="s">
        <v>607</v>
      </c>
      <c r="C68" s="1353">
        <v>5066</v>
      </c>
      <c r="D68" s="1210">
        <v>7.8497606024451091E-2</v>
      </c>
      <c r="E68" s="1147"/>
      <c r="F68" s="2223">
        <v>69603</v>
      </c>
      <c r="G68" s="1155">
        <v>61781</v>
      </c>
      <c r="H68" s="1262">
        <v>59847</v>
      </c>
      <c r="I68" s="1262">
        <v>62823</v>
      </c>
      <c r="J68" s="1272">
        <v>64537</v>
      </c>
      <c r="K68" s="1262">
        <v>63959</v>
      </c>
      <c r="L68" s="1262">
        <v>59993</v>
      </c>
      <c r="M68" s="1262">
        <v>36768</v>
      </c>
      <c r="N68" s="1272">
        <v>36957</v>
      </c>
      <c r="O68" s="1262">
        <v>32376</v>
      </c>
      <c r="P68" s="1262">
        <v>33767</v>
      </c>
      <c r="Q68" s="1262">
        <v>32940</v>
      </c>
      <c r="R68" s="1272">
        <v>32286</v>
      </c>
      <c r="S68" s="1262">
        <v>34125</v>
      </c>
      <c r="T68" s="1262">
        <v>34018</v>
      </c>
      <c r="U68" s="1262">
        <v>32912</v>
      </c>
      <c r="V68" s="1272">
        <v>33117</v>
      </c>
      <c r="W68" s="1262">
        <v>34492</v>
      </c>
      <c r="X68" s="1262">
        <v>28937</v>
      </c>
      <c r="Y68" s="1262">
        <v>28749</v>
      </c>
      <c r="Z68" s="1272">
        <v>29096</v>
      </c>
      <c r="AA68" s="1262">
        <v>32261</v>
      </c>
      <c r="AB68" s="1262">
        <v>26058</v>
      </c>
      <c r="AC68" s="1262">
        <v>25005</v>
      </c>
      <c r="AD68" s="1272">
        <v>25887</v>
      </c>
      <c r="AE68" s="1262">
        <v>25703</v>
      </c>
      <c r="AF68" s="1262">
        <v>24241</v>
      </c>
      <c r="AG68" s="1262">
        <v>20399</v>
      </c>
      <c r="AH68" s="1272">
        <v>19364</v>
      </c>
      <c r="AI68" s="1262">
        <v>1931</v>
      </c>
      <c r="AJ68" s="1843"/>
      <c r="AK68" s="1843"/>
      <c r="AL68" s="1844"/>
      <c r="AM68" s="1859"/>
      <c r="AN68" s="1843"/>
      <c r="AO68" s="1843"/>
      <c r="AP68" s="1844"/>
      <c r="AQ68" s="1262">
        <v>38197</v>
      </c>
      <c r="AR68" s="1262">
        <v>34040</v>
      </c>
      <c r="AS68" s="1262">
        <v>30370</v>
      </c>
      <c r="AT68" s="1272">
        <v>29756</v>
      </c>
      <c r="AU68" s="1462">
        <v>24593</v>
      </c>
      <c r="AV68" s="1295">
        <v>27916</v>
      </c>
      <c r="AW68" s="1294">
        <v>32886</v>
      </c>
      <c r="AX68" s="1272">
        <v>42504</v>
      </c>
      <c r="AY68" s="1454">
        <v>29584</v>
      </c>
      <c r="AZ68" s="1208"/>
      <c r="BA68" s="1208"/>
      <c r="BB68" s="946"/>
      <c r="BC68" s="1208"/>
      <c r="BD68" s="946"/>
      <c r="BE68" s="946"/>
      <c r="BF68" s="1208"/>
      <c r="BG68" s="1229"/>
      <c r="BH68" s="1235">
        <v>248988</v>
      </c>
      <c r="BI68" s="1236">
        <v>197677</v>
      </c>
      <c r="BJ68" s="1455">
        <v>51311</v>
      </c>
      <c r="BK68" s="1210">
        <v>0.25956990444007144</v>
      </c>
      <c r="BL68" s="1208"/>
      <c r="BM68" s="1751">
        <v>248988</v>
      </c>
      <c r="BN68" s="1751">
        <v>197677</v>
      </c>
      <c r="BO68" s="1751">
        <v>131369</v>
      </c>
      <c r="BP68" s="1751">
        <v>134172</v>
      </c>
      <c r="BQ68" s="1751">
        <v>121274</v>
      </c>
      <c r="BR68" s="1751">
        <v>109211</v>
      </c>
      <c r="BS68" s="1273">
        <v>89707</v>
      </c>
      <c r="BT68" s="1273">
        <v>1931</v>
      </c>
      <c r="BU68" s="2175"/>
      <c r="BV68" s="2177"/>
      <c r="BW68" s="2177"/>
      <c r="BX68" s="2179"/>
      <c r="BY68" s="2054">
        <v>177862</v>
      </c>
      <c r="BZ68" s="2024">
        <v>150224</v>
      </c>
      <c r="CA68" s="2022"/>
      <c r="CB68" s="2022"/>
      <c r="CC68" s="1999"/>
      <c r="CE68" s="1920">
        <v>26226</v>
      </c>
      <c r="CF68" s="1180">
        <v>0.77667545236473479</v>
      </c>
      <c r="CG68" s="1180">
        <v>-21160</v>
      </c>
      <c r="CH68" s="1180">
        <v>-0.69817784634028368</v>
      </c>
      <c r="CJ68" s="1920">
        <v>133718</v>
      </c>
      <c r="CK68" s="1315">
        <v>115270</v>
      </c>
      <c r="CL68" s="1920"/>
      <c r="CM68" s="1315">
        <v>51311</v>
      </c>
      <c r="CN68" s="1315">
        <v>0.25956990444007144</v>
      </c>
      <c r="CO68" s="1315">
        <v>0</v>
      </c>
      <c r="CP68" s="1180">
        <v>0</v>
      </c>
    </row>
    <row r="69" spans="1:94" ht="12.75" customHeight="1" x14ac:dyDescent="0.2">
      <c r="A69" s="1193"/>
      <c r="B69" s="946" t="s">
        <v>608</v>
      </c>
      <c r="C69" s="1209">
        <v>0</v>
      </c>
      <c r="D69" s="1035">
        <v>0</v>
      </c>
      <c r="E69" s="1147"/>
      <c r="F69" s="2015">
        <v>0</v>
      </c>
      <c r="G69" s="1961">
        <v>0</v>
      </c>
      <c r="H69" s="1236">
        <v>0</v>
      </c>
      <c r="I69" s="1236">
        <v>0</v>
      </c>
      <c r="J69" s="1233">
        <v>0</v>
      </c>
      <c r="K69" s="1236">
        <v>0</v>
      </c>
      <c r="L69" s="1007">
        <v>0</v>
      </c>
      <c r="M69" s="1236">
        <v>0</v>
      </c>
      <c r="N69" s="1233">
        <v>0</v>
      </c>
      <c r="O69" s="1236">
        <v>0</v>
      </c>
      <c r="P69" s="1236">
        <v>0</v>
      </c>
      <c r="Q69" s="1236">
        <v>0</v>
      </c>
      <c r="R69" s="1233">
        <v>0</v>
      </c>
      <c r="S69" s="1236">
        <v>0</v>
      </c>
      <c r="T69" s="1236">
        <v>0</v>
      </c>
      <c r="U69" s="1236">
        <v>0</v>
      </c>
      <c r="V69" s="1233">
        <v>5</v>
      </c>
      <c r="W69" s="1236">
        <v>23</v>
      </c>
      <c r="X69" s="1236">
        <v>54</v>
      </c>
      <c r="Y69" s="1236">
        <v>22</v>
      </c>
      <c r="Z69" s="1233">
        <v>26</v>
      </c>
      <c r="AA69" s="1236">
        <v>52</v>
      </c>
      <c r="AB69" s="1236">
        <v>244</v>
      </c>
      <c r="AC69" s="1236">
        <v>12</v>
      </c>
      <c r="AD69" s="1233">
        <v>0</v>
      </c>
      <c r="AE69" s="1236">
        <v>134</v>
      </c>
      <c r="AF69" s="1236">
        <v>186</v>
      </c>
      <c r="AG69" s="1236">
        <v>86</v>
      </c>
      <c r="AH69" s="1272">
        <v>48</v>
      </c>
      <c r="AI69" s="1262">
        <v>1</v>
      </c>
      <c r="AJ69" s="1843"/>
      <c r="AK69" s="1843"/>
      <c r="AL69" s="1844"/>
      <c r="AM69" s="1859"/>
      <c r="AN69" s="1843"/>
      <c r="AO69" s="1843"/>
      <c r="AP69" s="1844"/>
      <c r="AQ69" s="1262">
        <v>10808</v>
      </c>
      <c r="AR69" s="1262">
        <v>10384</v>
      </c>
      <c r="AS69" s="1262">
        <v>6254</v>
      </c>
      <c r="AT69" s="1272">
        <v>5954</v>
      </c>
      <c r="AU69" s="1462">
        <v>5426</v>
      </c>
      <c r="AV69" s="1262">
        <v>1798</v>
      </c>
      <c r="AW69" s="1272">
        <v>5110</v>
      </c>
      <c r="AX69" s="1272">
        <v>8533</v>
      </c>
      <c r="AY69" s="1454">
        <v>68274</v>
      </c>
      <c r="AZ69" s="1208"/>
      <c r="BA69" s="1208"/>
      <c r="BB69" s="946"/>
      <c r="BC69" s="1208"/>
      <c r="BD69" s="946"/>
      <c r="BE69" s="946"/>
      <c r="BF69" s="1208"/>
      <c r="BG69" s="1229"/>
      <c r="BH69" s="1924">
        <v>0</v>
      </c>
      <c r="BI69" s="1924">
        <v>0</v>
      </c>
      <c r="BJ69" s="1833">
        <v>0</v>
      </c>
      <c r="BK69" s="1035">
        <v>0</v>
      </c>
      <c r="BL69" s="1208"/>
      <c r="BM69" s="1751">
        <v>0</v>
      </c>
      <c r="BN69" s="1751">
        <v>0</v>
      </c>
      <c r="BO69" s="1751">
        <v>0</v>
      </c>
      <c r="BP69" s="1751">
        <v>5</v>
      </c>
      <c r="BQ69" s="1751">
        <v>125</v>
      </c>
      <c r="BR69" s="1751">
        <v>308</v>
      </c>
      <c r="BS69" s="1273">
        <v>454</v>
      </c>
      <c r="BT69" s="1273">
        <v>1</v>
      </c>
      <c r="BU69" s="2177"/>
      <c r="BV69" s="2177"/>
      <c r="BW69" s="2177"/>
      <c r="BX69" s="2180"/>
      <c r="BY69" s="2002">
        <v>62132</v>
      </c>
      <c r="BZ69" s="2003">
        <v>49772</v>
      </c>
      <c r="CA69" s="2022"/>
      <c r="CB69" s="2022"/>
      <c r="CC69" s="1999"/>
      <c r="CE69" s="1920">
        <v>0</v>
      </c>
      <c r="CF69" s="1180" t="e">
        <v>#DIV/0!</v>
      </c>
      <c r="CG69" s="1180">
        <v>0</v>
      </c>
      <c r="CH69" s="1180" t="e">
        <v>#DIV/0!</v>
      </c>
      <c r="CJ69" s="1920">
        <v>0</v>
      </c>
      <c r="CK69" s="1315">
        <v>0</v>
      </c>
      <c r="CL69" s="1920"/>
      <c r="CM69" s="1315">
        <v>0</v>
      </c>
      <c r="CN69" s="1315" t="e">
        <v>#DIV/0!</v>
      </c>
      <c r="CO69" s="1315">
        <v>0</v>
      </c>
      <c r="CP69" s="1180" t="e">
        <v>#DIV/0!</v>
      </c>
    </row>
    <row r="70" spans="1:94" ht="12.75" customHeight="1" x14ac:dyDescent="0.2">
      <c r="A70" s="1193"/>
      <c r="B70" s="946" t="s">
        <v>609</v>
      </c>
      <c r="C70" s="1209">
        <v>0</v>
      </c>
      <c r="D70" s="1035">
        <v>0</v>
      </c>
      <c r="E70" s="1147"/>
      <c r="F70" s="2015">
        <v>0</v>
      </c>
      <c r="G70" s="1961">
        <v>0</v>
      </c>
      <c r="H70" s="1236">
        <v>0</v>
      </c>
      <c r="I70" s="1236">
        <v>0</v>
      </c>
      <c r="J70" s="1233">
        <v>0</v>
      </c>
      <c r="K70" s="1236">
        <v>0</v>
      </c>
      <c r="L70" s="1007">
        <v>0</v>
      </c>
      <c r="M70" s="1236">
        <v>0</v>
      </c>
      <c r="N70" s="1233">
        <v>0</v>
      </c>
      <c r="O70" s="1236">
        <v>0</v>
      </c>
      <c r="P70" s="1236">
        <v>0</v>
      </c>
      <c r="Q70" s="1236">
        <v>0</v>
      </c>
      <c r="R70" s="1233">
        <v>0</v>
      </c>
      <c r="S70" s="1236">
        <v>0</v>
      </c>
      <c r="T70" s="1236">
        <v>0</v>
      </c>
      <c r="U70" s="1236">
        <v>0</v>
      </c>
      <c r="V70" s="1233">
        <v>0</v>
      </c>
      <c r="W70" s="1236">
        <v>0</v>
      </c>
      <c r="X70" s="1236">
        <v>0</v>
      </c>
      <c r="Y70" s="1236">
        <v>0</v>
      </c>
      <c r="Z70" s="1233">
        <v>0</v>
      </c>
      <c r="AA70" s="1236">
        <v>0</v>
      </c>
      <c r="AB70" s="1236">
        <v>0</v>
      </c>
      <c r="AC70" s="1236">
        <v>0</v>
      </c>
      <c r="AD70" s="1233">
        <v>0</v>
      </c>
      <c r="AE70" s="1236">
        <v>0</v>
      </c>
      <c r="AF70" s="1236">
        <v>0</v>
      </c>
      <c r="AG70" s="1236">
        <v>0</v>
      </c>
      <c r="AH70" s="1233">
        <v>0</v>
      </c>
      <c r="AI70" s="1236">
        <v>0</v>
      </c>
      <c r="AJ70" s="1843"/>
      <c r="AK70" s="1843"/>
      <c r="AL70" s="1844"/>
      <c r="AM70" s="1843"/>
      <c r="AN70" s="1843"/>
      <c r="AO70" s="1843"/>
      <c r="AP70" s="1844"/>
      <c r="AQ70" s="1236">
        <v>0</v>
      </c>
      <c r="AR70" s="1236">
        <v>0</v>
      </c>
      <c r="AS70" s="1236">
        <v>0</v>
      </c>
      <c r="AT70" s="1233">
        <v>0</v>
      </c>
      <c r="AU70" s="1236">
        <v>0</v>
      </c>
      <c r="AV70" s="1236">
        <v>0</v>
      </c>
      <c r="AW70" s="1233">
        <v>0</v>
      </c>
      <c r="AX70" s="1233">
        <v>0</v>
      </c>
      <c r="AY70" s="1236">
        <v>0</v>
      </c>
      <c r="AZ70" s="1236"/>
      <c r="BA70" s="1236"/>
      <c r="BB70" s="1236"/>
      <c r="BC70" s="1236"/>
      <c r="BD70" s="1236"/>
      <c r="BE70" s="1236"/>
      <c r="BF70" s="1236"/>
      <c r="BG70" s="1234"/>
      <c r="BH70" s="1924">
        <v>0</v>
      </c>
      <c r="BI70" s="1924">
        <v>0</v>
      </c>
      <c r="BJ70" s="1833">
        <v>0</v>
      </c>
      <c r="BK70" s="1035">
        <v>0</v>
      </c>
      <c r="BL70" s="1236"/>
      <c r="BM70" s="1751">
        <v>0</v>
      </c>
      <c r="BN70" s="1751">
        <v>0</v>
      </c>
      <c r="BO70" s="1751">
        <v>0</v>
      </c>
      <c r="BP70" s="1751">
        <v>0</v>
      </c>
      <c r="BQ70" s="1751">
        <v>0</v>
      </c>
      <c r="BR70" s="1751">
        <v>0</v>
      </c>
      <c r="BS70" s="1234">
        <v>0</v>
      </c>
      <c r="BT70" s="1234">
        <v>0</v>
      </c>
      <c r="BU70" s="2177"/>
      <c r="BV70" s="2177"/>
      <c r="BW70" s="2177"/>
      <c r="BX70" s="2180"/>
      <c r="BY70" s="2001">
        <v>0</v>
      </c>
      <c r="BZ70" s="2001">
        <v>0</v>
      </c>
      <c r="CA70" s="2022"/>
      <c r="CB70" s="2022"/>
      <c r="CC70" s="1999"/>
      <c r="CE70" s="1920">
        <v>0</v>
      </c>
      <c r="CF70" s="1180" t="e">
        <v>#DIV/0!</v>
      </c>
      <c r="CG70" s="1180">
        <v>0</v>
      </c>
      <c r="CH70" s="1180" t="e">
        <v>#DIV/0!</v>
      </c>
      <c r="CJ70" s="1920">
        <v>0</v>
      </c>
      <c r="CK70" s="1315">
        <v>0</v>
      </c>
      <c r="CL70" s="1920"/>
      <c r="CM70" s="1315">
        <v>0</v>
      </c>
      <c r="CN70" s="1315" t="e">
        <v>#DIV/0!</v>
      </c>
      <c r="CO70" s="1315">
        <v>0</v>
      </c>
      <c r="CP70" s="1180" t="e">
        <v>#DIV/0!</v>
      </c>
    </row>
    <row r="71" spans="1:94" ht="12.75" customHeight="1" x14ac:dyDescent="0.2">
      <c r="A71" s="1193"/>
      <c r="B71" s="946" t="s">
        <v>610</v>
      </c>
      <c r="C71" s="1209">
        <v>0</v>
      </c>
      <c r="D71" s="1035">
        <v>0</v>
      </c>
      <c r="E71" s="1147"/>
      <c r="F71" s="2015">
        <v>0</v>
      </c>
      <c r="G71" s="1961">
        <v>0</v>
      </c>
      <c r="H71" s="1236">
        <v>0</v>
      </c>
      <c r="I71" s="1236">
        <v>0</v>
      </c>
      <c r="J71" s="1233">
        <v>0</v>
      </c>
      <c r="K71" s="1236">
        <v>0</v>
      </c>
      <c r="L71" s="1007">
        <v>0</v>
      </c>
      <c r="M71" s="1236">
        <v>0</v>
      </c>
      <c r="N71" s="1233">
        <v>0</v>
      </c>
      <c r="O71" s="1236">
        <v>0</v>
      </c>
      <c r="P71" s="1236">
        <v>0</v>
      </c>
      <c r="Q71" s="1236">
        <v>0</v>
      </c>
      <c r="R71" s="1233">
        <v>0</v>
      </c>
      <c r="S71" s="1236">
        <v>0</v>
      </c>
      <c r="T71" s="1236">
        <v>0</v>
      </c>
      <c r="U71" s="1236">
        <v>0</v>
      </c>
      <c r="V71" s="1233">
        <v>0</v>
      </c>
      <c r="W71" s="1236">
        <v>0</v>
      </c>
      <c r="X71" s="1236">
        <v>0</v>
      </c>
      <c r="Y71" s="1236">
        <v>0</v>
      </c>
      <c r="Z71" s="1233">
        <v>0</v>
      </c>
      <c r="AA71" s="1236">
        <v>0</v>
      </c>
      <c r="AB71" s="1236">
        <v>0</v>
      </c>
      <c r="AC71" s="1236">
        <v>0</v>
      </c>
      <c r="AD71" s="1233">
        <v>0</v>
      </c>
      <c r="AE71" s="1236">
        <v>0</v>
      </c>
      <c r="AF71" s="1236">
        <v>0</v>
      </c>
      <c r="AG71" s="1236">
        <v>0</v>
      </c>
      <c r="AH71" s="1233">
        <v>0</v>
      </c>
      <c r="AI71" s="1236">
        <v>0</v>
      </c>
      <c r="AJ71" s="1843"/>
      <c r="AK71" s="1843"/>
      <c r="AL71" s="1844"/>
      <c r="AM71" s="1859"/>
      <c r="AN71" s="1843"/>
      <c r="AO71" s="1843"/>
      <c r="AP71" s="1844"/>
      <c r="AQ71" s="1262">
        <v>408</v>
      </c>
      <c r="AR71" s="1262">
        <v>4280</v>
      </c>
      <c r="AS71" s="1262">
        <v>850</v>
      </c>
      <c r="AT71" s="1272">
        <v>1696</v>
      </c>
      <c r="AU71" s="1462">
        <v>198</v>
      </c>
      <c r="AV71" s="1262">
        <v>-649</v>
      </c>
      <c r="AW71" s="1272">
        <v>-226</v>
      </c>
      <c r="AX71" s="1272">
        <v>548</v>
      </c>
      <c r="AY71" s="1454">
        <v>5363</v>
      </c>
      <c r="AZ71" s="1208"/>
      <c r="BA71" s="1208"/>
      <c r="BB71" s="946"/>
      <c r="BC71" s="1208"/>
      <c r="BD71" s="946"/>
      <c r="BE71" s="946"/>
      <c r="BF71" s="1208"/>
      <c r="BG71" s="1229"/>
      <c r="BH71" s="1924">
        <v>0</v>
      </c>
      <c r="BI71" s="1924">
        <v>0</v>
      </c>
      <c r="BJ71" s="1833">
        <v>0</v>
      </c>
      <c r="BK71" s="1035">
        <v>0</v>
      </c>
      <c r="BL71" s="1208"/>
      <c r="BM71" s="1751">
        <v>0</v>
      </c>
      <c r="BN71" s="1751">
        <v>0</v>
      </c>
      <c r="BO71" s="1751">
        <v>0</v>
      </c>
      <c r="BP71" s="1751">
        <v>0</v>
      </c>
      <c r="BQ71" s="1751">
        <v>0</v>
      </c>
      <c r="BR71" s="1751">
        <v>0</v>
      </c>
      <c r="BS71" s="1234">
        <v>0</v>
      </c>
      <c r="BT71" s="1234">
        <v>0</v>
      </c>
      <c r="BU71" s="2177"/>
      <c r="BV71" s="2177"/>
      <c r="BW71" s="2177"/>
      <c r="BX71" s="2180"/>
      <c r="BY71" s="2002">
        <v>4992</v>
      </c>
      <c r="BZ71" s="2003">
        <v>5670</v>
      </c>
      <c r="CA71" s="2022"/>
      <c r="CB71" s="2022"/>
      <c r="CC71" s="1999"/>
      <c r="CE71" s="1920">
        <v>0</v>
      </c>
      <c r="CF71" s="1180" t="e">
        <v>#DIV/0!</v>
      </c>
      <c r="CG71" s="1180">
        <v>0</v>
      </c>
      <c r="CH71" s="1180" t="e">
        <v>#DIV/0!</v>
      </c>
      <c r="CJ71" s="1920">
        <v>0</v>
      </c>
      <c r="CK71" s="1315">
        <v>0</v>
      </c>
      <c r="CL71" s="1920"/>
      <c r="CM71" s="1315">
        <v>0</v>
      </c>
      <c r="CN71" s="1315" t="e">
        <v>#DIV/0!</v>
      </c>
      <c r="CO71" s="1315">
        <v>0</v>
      </c>
      <c r="CP71" s="1180" t="e">
        <v>#DIV/0!</v>
      </c>
    </row>
    <row r="72" spans="1:94" ht="12.75" customHeight="1" x14ac:dyDescent="0.2">
      <c r="A72" s="1193"/>
      <c r="B72" s="946" t="s">
        <v>611</v>
      </c>
      <c r="C72" s="1209">
        <v>981</v>
      </c>
      <c r="D72" s="1035">
        <v>1.5069124423963134</v>
      </c>
      <c r="E72" s="1147"/>
      <c r="F72" s="2015">
        <v>1632</v>
      </c>
      <c r="G72" s="1155">
        <v>1025</v>
      </c>
      <c r="H72" s="1262">
        <v>781</v>
      </c>
      <c r="I72" s="1262">
        <v>693</v>
      </c>
      <c r="J72" s="1272">
        <v>651</v>
      </c>
      <c r="K72" s="1262">
        <v>394</v>
      </c>
      <c r="L72" s="1007">
        <v>426</v>
      </c>
      <c r="M72" s="1262">
        <v>277</v>
      </c>
      <c r="N72" s="1272">
        <v>332</v>
      </c>
      <c r="O72" s="1262">
        <v>279</v>
      </c>
      <c r="P72" s="1262">
        <v>196</v>
      </c>
      <c r="Q72" s="1262">
        <v>346</v>
      </c>
      <c r="R72" s="1272">
        <v>366</v>
      </c>
      <c r="S72" s="1262">
        <v>295</v>
      </c>
      <c r="T72" s="1262">
        <v>491</v>
      </c>
      <c r="U72" s="1262">
        <v>462</v>
      </c>
      <c r="V72" s="1272">
        <v>523</v>
      </c>
      <c r="W72" s="1262">
        <v>452</v>
      </c>
      <c r="X72" s="1262">
        <v>466</v>
      </c>
      <c r="Y72" s="1262">
        <v>542</v>
      </c>
      <c r="Z72" s="1272">
        <v>522</v>
      </c>
      <c r="AA72" s="1262">
        <v>622</v>
      </c>
      <c r="AB72" s="1262">
        <v>507</v>
      </c>
      <c r="AC72" s="1262">
        <v>575</v>
      </c>
      <c r="AD72" s="1272">
        <v>718</v>
      </c>
      <c r="AE72" s="1262">
        <v>762</v>
      </c>
      <c r="AF72" s="1262">
        <v>250</v>
      </c>
      <c r="AG72" s="1262">
        <v>192</v>
      </c>
      <c r="AH72" s="1272">
        <v>191</v>
      </c>
      <c r="AI72" s="1262">
        <v>15</v>
      </c>
      <c r="AJ72" s="1843"/>
      <c r="AK72" s="1843"/>
      <c r="AL72" s="1844"/>
      <c r="AM72" s="1859"/>
      <c r="AN72" s="1843"/>
      <c r="AO72" s="1843"/>
      <c r="AP72" s="1844"/>
      <c r="AQ72" s="1262">
        <v>2191</v>
      </c>
      <c r="AR72" s="1262">
        <v>2171</v>
      </c>
      <c r="AS72" s="1262">
        <v>2224</v>
      </c>
      <c r="AT72" s="1272">
        <v>2325</v>
      </c>
      <c r="AU72" s="1462">
        <v>6358</v>
      </c>
      <c r="AV72" s="1262">
        <v>4010</v>
      </c>
      <c r="AW72" s="1272">
        <v>5644</v>
      </c>
      <c r="AX72" s="1272">
        <v>5891</v>
      </c>
      <c r="AY72" s="1454">
        <v>1512</v>
      </c>
      <c r="AZ72" s="1208"/>
      <c r="BA72" s="1208"/>
      <c r="BB72" s="946"/>
      <c r="BC72" s="1208"/>
      <c r="BD72" s="946"/>
      <c r="BE72" s="946"/>
      <c r="BF72" s="1208"/>
      <c r="BG72" s="1229"/>
      <c r="BH72" s="1235">
        <v>3150</v>
      </c>
      <c r="BI72" s="1236">
        <v>1429</v>
      </c>
      <c r="BJ72" s="1246">
        <v>1721</v>
      </c>
      <c r="BK72" s="1035">
        <v>1.2043386983904829</v>
      </c>
      <c r="BL72" s="1208"/>
      <c r="BM72" s="1751">
        <v>3150</v>
      </c>
      <c r="BN72" s="1751">
        <v>1429</v>
      </c>
      <c r="BO72" s="1751">
        <v>1187</v>
      </c>
      <c r="BP72" s="1751">
        <v>1771</v>
      </c>
      <c r="BQ72" s="1751">
        <v>1982</v>
      </c>
      <c r="BR72" s="1751">
        <v>2422</v>
      </c>
      <c r="BS72" s="1273">
        <v>1395</v>
      </c>
      <c r="BT72" s="1273">
        <v>15</v>
      </c>
      <c r="BU72" s="2177"/>
      <c r="BV72" s="2177"/>
      <c r="BW72" s="2177"/>
      <c r="BX72" s="2180"/>
      <c r="BY72" s="2002">
        <v>26877</v>
      </c>
      <c r="BZ72" s="2003">
        <v>18354</v>
      </c>
      <c r="CA72" s="2022"/>
      <c r="CB72" s="2022"/>
      <c r="CC72" s="1999"/>
      <c r="CE72" s="1920">
        <v>230</v>
      </c>
      <c r="CF72" s="1180">
        <v>1.1734693877551021</v>
      </c>
      <c r="CG72" s="1180">
        <v>751</v>
      </c>
      <c r="CH72" s="1180">
        <v>0.33344305464121127</v>
      </c>
      <c r="CJ72" s="1920">
        <v>1035</v>
      </c>
      <c r="CK72" s="1315">
        <v>2115</v>
      </c>
      <c r="CL72" s="1920"/>
      <c r="CM72" s="1315">
        <v>1721</v>
      </c>
      <c r="CN72" s="1315">
        <v>1.2043386983904829</v>
      </c>
      <c r="CO72" s="1315">
        <v>0</v>
      </c>
      <c r="CP72" s="1180">
        <v>0</v>
      </c>
    </row>
    <row r="73" spans="1:94" ht="12.75" customHeight="1" x14ac:dyDescent="0.2">
      <c r="A73" s="1350"/>
      <c r="B73" s="946" t="s">
        <v>612</v>
      </c>
      <c r="C73" s="1211">
        <v>89</v>
      </c>
      <c r="D73" s="1192">
        <v>0.14858096828046743</v>
      </c>
      <c r="E73" s="2854"/>
      <c r="F73" s="2015">
        <v>688</v>
      </c>
      <c r="G73" s="1155">
        <v>688</v>
      </c>
      <c r="H73" s="1302">
        <v>1149</v>
      </c>
      <c r="I73" s="1302">
        <v>411</v>
      </c>
      <c r="J73" s="1301">
        <v>599</v>
      </c>
      <c r="K73" s="1302">
        <v>570</v>
      </c>
      <c r="L73" s="1302">
        <v>526</v>
      </c>
      <c r="M73" s="1302">
        <v>437</v>
      </c>
      <c r="N73" s="1301">
        <v>744</v>
      </c>
      <c r="O73" s="1302">
        <v>410</v>
      </c>
      <c r="P73" s="1302">
        <v>586</v>
      </c>
      <c r="Q73" s="1302">
        <v>672</v>
      </c>
      <c r="R73" s="1301">
        <v>595</v>
      </c>
      <c r="S73" s="1302">
        <v>493</v>
      </c>
      <c r="T73" s="1302">
        <v>531</v>
      </c>
      <c r="U73" s="1302">
        <v>665</v>
      </c>
      <c r="V73" s="1301">
        <v>722</v>
      </c>
      <c r="W73" s="1302">
        <v>705</v>
      </c>
      <c r="X73" s="1302">
        <v>508</v>
      </c>
      <c r="Y73" s="1302">
        <v>473</v>
      </c>
      <c r="Z73" s="1301">
        <v>484</v>
      </c>
      <c r="AA73" s="1302">
        <v>285</v>
      </c>
      <c r="AB73" s="1302">
        <v>209</v>
      </c>
      <c r="AC73" s="1302">
        <v>238</v>
      </c>
      <c r="AD73" s="1301">
        <v>373</v>
      </c>
      <c r="AE73" s="1302">
        <v>107</v>
      </c>
      <c r="AF73" s="1302">
        <v>115</v>
      </c>
      <c r="AG73" s="1304">
        <v>-5</v>
      </c>
      <c r="AH73" s="1301">
        <v>-16</v>
      </c>
      <c r="AI73" s="1262">
        <v>40</v>
      </c>
      <c r="AJ73" s="1843"/>
      <c r="AK73" s="1843"/>
      <c r="AL73" s="1844"/>
      <c r="AM73" s="1859"/>
      <c r="AN73" s="1843"/>
      <c r="AO73" s="1843"/>
      <c r="AP73" s="1844"/>
      <c r="AQ73" s="1262">
        <v>3386</v>
      </c>
      <c r="AR73" s="1262">
        <v>858</v>
      </c>
      <c r="AS73" s="1302">
        <v>440</v>
      </c>
      <c r="AT73" s="1301">
        <v>454</v>
      </c>
      <c r="AU73" s="1462">
        <v>680</v>
      </c>
      <c r="AV73" s="1302">
        <v>457</v>
      </c>
      <c r="AW73" s="1301">
        <v>430</v>
      </c>
      <c r="AX73" s="1301">
        <v>377</v>
      </c>
      <c r="AY73" s="1457">
        <v>60</v>
      </c>
      <c r="AZ73" s="990"/>
      <c r="BA73" s="990"/>
      <c r="BB73" s="990"/>
      <c r="BC73" s="990"/>
      <c r="BD73" s="990"/>
      <c r="BE73" s="990"/>
      <c r="BF73" s="990"/>
      <c r="BG73" s="1229"/>
      <c r="BH73" s="1235">
        <v>2847</v>
      </c>
      <c r="BI73" s="1236">
        <v>2277</v>
      </c>
      <c r="BJ73" s="1254">
        <v>570</v>
      </c>
      <c r="BK73" s="1035">
        <v>0.25032938076416339</v>
      </c>
      <c r="BL73" s="1193"/>
      <c r="BM73" s="1751">
        <v>2847</v>
      </c>
      <c r="BN73" s="1751">
        <v>2277</v>
      </c>
      <c r="BO73" s="1751">
        <v>2263</v>
      </c>
      <c r="BP73" s="1751">
        <v>2411</v>
      </c>
      <c r="BQ73" s="1751">
        <v>2170</v>
      </c>
      <c r="BR73" s="1751">
        <v>1105</v>
      </c>
      <c r="BS73" s="1461">
        <v>201</v>
      </c>
      <c r="BT73" s="1461">
        <v>40</v>
      </c>
      <c r="BU73" s="2178"/>
      <c r="BV73" s="2178"/>
      <c r="BW73" s="2178"/>
      <c r="BX73" s="2181"/>
      <c r="BY73" s="2007">
        <v>756</v>
      </c>
      <c r="BZ73" s="2018">
        <v>1174</v>
      </c>
      <c r="CA73" s="2022"/>
      <c r="CB73" s="2022"/>
      <c r="CC73" s="1999"/>
      <c r="CE73" s="1920">
        <v>-60</v>
      </c>
      <c r="CF73" s="1180">
        <v>-0.10238907849829351</v>
      </c>
      <c r="CG73" s="1180">
        <v>149</v>
      </c>
      <c r="CH73" s="1180">
        <v>0.25097004677876095</v>
      </c>
      <c r="CJ73" s="1920">
        <v>1707</v>
      </c>
      <c r="CK73" s="1315">
        <v>1140</v>
      </c>
      <c r="CL73" s="1920"/>
      <c r="CM73" s="1315">
        <v>570</v>
      </c>
      <c r="CN73" s="1315">
        <v>0.25032938076416339</v>
      </c>
      <c r="CO73" s="1315">
        <v>0</v>
      </c>
      <c r="CP73" s="1180">
        <v>0</v>
      </c>
    </row>
    <row r="74" spans="1:94" ht="12.75" customHeight="1" x14ac:dyDescent="0.2">
      <c r="A74" s="1350"/>
      <c r="B74" s="946"/>
      <c r="C74" s="1351">
        <v>6136</v>
      </c>
      <c r="D74" s="1190">
        <v>9.3270706978582391E-2</v>
      </c>
      <c r="E74" s="1818"/>
      <c r="F74" s="2987">
        <v>71923</v>
      </c>
      <c r="G74" s="1336">
        <v>63494</v>
      </c>
      <c r="H74" s="1281">
        <v>61777</v>
      </c>
      <c r="I74" s="1281">
        <v>63927</v>
      </c>
      <c r="J74" s="1782">
        <v>65787</v>
      </c>
      <c r="K74" s="1465">
        <v>64923</v>
      </c>
      <c r="L74" s="1276">
        <v>60945</v>
      </c>
      <c r="M74" s="1281">
        <v>37482</v>
      </c>
      <c r="N74" s="1782">
        <v>38033</v>
      </c>
      <c r="O74" s="1465">
        <v>33065</v>
      </c>
      <c r="P74" s="1281">
        <v>34549</v>
      </c>
      <c r="Q74" s="1465">
        <v>33958</v>
      </c>
      <c r="R74" s="1466">
        <v>33247</v>
      </c>
      <c r="S74" s="1465">
        <v>34913</v>
      </c>
      <c r="T74" s="1465">
        <v>35040</v>
      </c>
      <c r="U74" s="1465">
        <v>34039</v>
      </c>
      <c r="V74" s="1466">
        <v>34367</v>
      </c>
      <c r="W74" s="1465">
        <v>35672</v>
      </c>
      <c r="X74" s="1465">
        <v>29965</v>
      </c>
      <c r="Y74" s="1465">
        <v>29786</v>
      </c>
      <c r="Z74" s="1466">
        <v>30128</v>
      </c>
      <c r="AA74" s="1465">
        <v>33220</v>
      </c>
      <c r="AB74" s="1465">
        <v>27018</v>
      </c>
      <c r="AC74" s="1465">
        <v>25830</v>
      </c>
      <c r="AD74" s="1466">
        <v>26978</v>
      </c>
      <c r="AE74" s="1465">
        <v>26706</v>
      </c>
      <c r="AF74" s="1465">
        <v>24792</v>
      </c>
      <c r="AG74" s="1465">
        <v>20672</v>
      </c>
      <c r="AH74" s="1466">
        <v>19587</v>
      </c>
      <c r="AI74" s="1465">
        <v>1987</v>
      </c>
      <c r="AJ74" s="1866"/>
      <c r="AK74" s="1866"/>
      <c r="AL74" s="1867"/>
      <c r="AM74" s="1866"/>
      <c r="AN74" s="1866"/>
      <c r="AO74" s="1866"/>
      <c r="AP74" s="1867"/>
      <c r="AQ74" s="1465">
        <v>54990</v>
      </c>
      <c r="AR74" s="1465">
        <v>51733</v>
      </c>
      <c r="AS74" s="1465">
        <v>40138</v>
      </c>
      <c r="AT74" s="1466">
        <v>40185</v>
      </c>
      <c r="AU74" s="1467">
        <v>37255</v>
      </c>
      <c r="AV74" s="1465">
        <v>33532</v>
      </c>
      <c r="AW74" s="1466">
        <v>43844</v>
      </c>
      <c r="AX74" s="1466">
        <v>57853</v>
      </c>
      <c r="AY74" s="1466">
        <v>104793</v>
      </c>
      <c r="AZ74" s="941"/>
      <c r="BA74" s="941"/>
      <c r="BB74" s="941"/>
      <c r="BC74" s="941"/>
      <c r="BD74" s="941"/>
      <c r="BE74" s="941"/>
      <c r="BF74" s="941"/>
      <c r="BG74" s="1222"/>
      <c r="BH74" s="1465">
        <v>254985</v>
      </c>
      <c r="BI74" s="1241">
        <v>201383</v>
      </c>
      <c r="BJ74" s="1468">
        <v>53602</v>
      </c>
      <c r="BK74" s="1190">
        <v>0.26616943833392093</v>
      </c>
      <c r="BM74" s="2901">
        <v>254985</v>
      </c>
      <c r="BN74" s="1470">
        <v>201383</v>
      </c>
      <c r="BO74" s="1470">
        <v>134819</v>
      </c>
      <c r="BP74" s="1470">
        <v>138359</v>
      </c>
      <c r="BQ74" s="1467">
        <v>125551</v>
      </c>
      <c r="BR74" s="1467">
        <v>113046</v>
      </c>
      <c r="BS74" s="1467">
        <v>91757</v>
      </c>
      <c r="BT74" s="1467">
        <v>1987</v>
      </c>
      <c r="BU74" s="2183"/>
      <c r="BV74" s="2183"/>
      <c r="BW74" s="2184"/>
      <c r="BX74" s="2182"/>
      <c r="BY74" s="2059">
        <v>272619</v>
      </c>
      <c r="BZ74" s="2004">
        <v>225194</v>
      </c>
      <c r="CA74" s="2022"/>
      <c r="CB74" s="2022"/>
      <c r="CC74" s="1999"/>
      <c r="CE74" s="1920">
        <v>26396</v>
      </c>
      <c r="CF74" s="1180">
        <v>0.76401632464036584</v>
      </c>
      <c r="CG74" s="1180">
        <v>-20260</v>
      </c>
      <c r="CH74" s="1180">
        <v>-0.67074561766178342</v>
      </c>
      <c r="CJ74" s="1920">
        <v>136460</v>
      </c>
      <c r="CK74" s="1315">
        <v>118525</v>
      </c>
      <c r="CL74" s="1920"/>
      <c r="CM74" s="1315">
        <v>53602</v>
      </c>
      <c r="CN74" s="1315">
        <v>0.26616943833392093</v>
      </c>
      <c r="CO74" s="1315">
        <v>0</v>
      </c>
      <c r="CP74" s="1180">
        <v>0</v>
      </c>
    </row>
    <row r="75" spans="1:94" ht="12.75" customHeight="1" x14ac:dyDescent="0.2">
      <c r="A75" s="946" t="s">
        <v>357</v>
      </c>
      <c r="B75" s="972"/>
      <c r="C75" s="972"/>
      <c r="D75" s="972"/>
      <c r="E75" s="938"/>
      <c r="F75" s="2988"/>
      <c r="G75" s="938"/>
      <c r="H75" s="972"/>
      <c r="I75" s="972"/>
      <c r="J75" s="972"/>
      <c r="K75" s="972"/>
      <c r="L75" s="972"/>
      <c r="M75" s="972"/>
      <c r="N75" s="972"/>
      <c r="O75" s="972"/>
      <c r="P75" s="972"/>
      <c r="Q75" s="972"/>
      <c r="R75" s="972"/>
      <c r="S75" s="972"/>
      <c r="T75" s="972"/>
      <c r="U75" s="972"/>
      <c r="V75" s="990"/>
      <c r="W75" s="972"/>
      <c r="X75" s="972"/>
      <c r="Y75" s="972"/>
      <c r="Z75" s="990"/>
      <c r="AA75" s="972"/>
      <c r="AB75" s="972"/>
      <c r="AC75" s="972"/>
      <c r="AD75" s="990"/>
      <c r="AE75" s="972"/>
      <c r="AF75" s="972"/>
      <c r="AG75" s="972"/>
      <c r="AH75" s="990"/>
      <c r="AI75" s="972"/>
      <c r="AJ75" s="972"/>
      <c r="AK75" s="972"/>
      <c r="AL75" s="990"/>
      <c r="AM75" s="972"/>
      <c r="AN75" s="972"/>
      <c r="AO75" s="972"/>
      <c r="AP75" s="990"/>
      <c r="AQ75" s="972"/>
      <c r="AR75" s="972"/>
      <c r="AS75" s="972"/>
      <c r="AT75" s="990"/>
      <c r="AU75" s="972"/>
      <c r="AV75" s="972"/>
      <c r="AW75" s="972"/>
      <c r="AX75" s="990"/>
      <c r="AY75" s="990"/>
      <c r="AZ75" s="990"/>
      <c r="BA75" s="990"/>
      <c r="BB75" s="990"/>
      <c r="BC75" s="990"/>
      <c r="BD75" s="990"/>
      <c r="BE75" s="990"/>
      <c r="BF75" s="990"/>
      <c r="BH75" s="1184"/>
      <c r="BI75" s="1184"/>
      <c r="BJ75" s="1193"/>
      <c r="BK75" s="1193"/>
      <c r="BX75" s="897"/>
      <c r="BY75" s="897"/>
      <c r="CB75" s="1145"/>
      <c r="CC75" s="1145"/>
      <c r="CE75" s="1315"/>
    </row>
    <row r="76" spans="1:94" x14ac:dyDescent="0.2">
      <c r="A76" s="971" t="s">
        <v>28</v>
      </c>
      <c r="B76" s="1184"/>
      <c r="C76" s="1184"/>
      <c r="D76" s="1184"/>
      <c r="F76" s="2989"/>
      <c r="J76" s="1215"/>
      <c r="M76" s="1357"/>
      <c r="N76" s="1357"/>
      <c r="O76" s="1357"/>
      <c r="P76" s="1357"/>
      <c r="S76" s="1006"/>
      <c r="T76" s="1006"/>
      <c r="U76" s="1006"/>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6"/>
      <c r="AV76" s="1006"/>
      <c r="AW76" s="1006"/>
      <c r="AX76" s="1006"/>
      <c r="AY76" s="1006"/>
      <c r="AZ76" s="1006"/>
      <c r="BA76" s="1006"/>
      <c r="BB76" s="1006"/>
      <c r="BC76" s="1006"/>
      <c r="BD76" s="1006"/>
      <c r="BE76" s="1006"/>
      <c r="BF76" s="1006"/>
      <c r="BG76" s="1006"/>
      <c r="BH76" s="1006"/>
      <c r="BI76" s="1006"/>
      <c r="BJ76" s="1006"/>
      <c r="BK76" s="1006"/>
      <c r="BL76" s="1006"/>
      <c r="BM76" s="1006"/>
      <c r="BN76" s="1006"/>
      <c r="BO76" s="1006"/>
      <c r="BP76" s="1006"/>
      <c r="BQ76" s="1006"/>
      <c r="BR76" s="1006"/>
      <c r="BS76" s="1006"/>
      <c r="BT76" s="1006"/>
      <c r="BU76" s="914"/>
      <c r="BV76" s="914"/>
      <c r="BW76" s="914"/>
      <c r="BX76" s="914"/>
      <c r="BY76" s="914"/>
      <c r="BZ76" s="914"/>
      <c r="CA76" s="1154"/>
      <c r="CB76" s="1145"/>
      <c r="CC76" s="1145"/>
      <c r="CE76" s="1315"/>
    </row>
    <row r="77" spans="1:94" x14ac:dyDescent="0.2">
      <c r="A77" s="946" t="s">
        <v>709</v>
      </c>
      <c r="J77" s="1215"/>
      <c r="M77" s="1357"/>
      <c r="N77" s="1357"/>
      <c r="O77" s="1357"/>
      <c r="P77" s="1357"/>
      <c r="U77" s="1215"/>
      <c r="V77" s="1006"/>
      <c r="Y77" s="1215"/>
      <c r="Z77" s="1006"/>
      <c r="AD77" s="1006"/>
      <c r="AH77" s="1006"/>
      <c r="AI77" s="1006"/>
      <c r="AL77" s="1006"/>
      <c r="AP77" s="1006"/>
      <c r="AT77" s="1006"/>
      <c r="AX77" s="1006"/>
      <c r="AY77" s="1184"/>
      <c r="AZ77" s="1184"/>
      <c r="BA77" s="1184"/>
      <c r="BB77" s="1184"/>
      <c r="BC77" s="1184"/>
      <c r="BD77" s="1184"/>
      <c r="BE77" s="1184"/>
      <c r="BF77" s="1006"/>
      <c r="BH77" s="1215"/>
      <c r="BI77" s="1184"/>
      <c r="BJ77" s="1184"/>
      <c r="BK77" s="1184"/>
      <c r="BL77" s="1184"/>
      <c r="BM77" s="1184"/>
      <c r="BN77" s="1006"/>
      <c r="BO77" s="1006"/>
      <c r="BP77" s="1006"/>
      <c r="BQ77" s="1006"/>
      <c r="BR77" s="1006"/>
      <c r="BS77" s="1006"/>
      <c r="BT77" s="1006"/>
      <c r="BX77" s="914"/>
      <c r="BY77" s="914"/>
      <c r="BZ77" s="2163"/>
      <c r="CA77" s="2163"/>
      <c r="CB77" s="1145"/>
      <c r="CC77" s="1145"/>
      <c r="CE77" s="1315"/>
    </row>
    <row r="78" spans="1:94" x14ac:dyDescent="0.2">
      <c r="J78" s="1215"/>
      <c r="M78" s="1357"/>
      <c r="N78" s="1357"/>
      <c r="O78" s="1357"/>
      <c r="P78" s="1357"/>
      <c r="V78" s="1006"/>
      <c r="Z78" s="1006"/>
      <c r="AD78" s="1006"/>
      <c r="AH78" s="1006"/>
      <c r="AI78" s="1006"/>
      <c r="AL78" s="1006"/>
      <c r="AP78" s="1006"/>
      <c r="AT78" s="1006"/>
      <c r="AX78" s="1006"/>
      <c r="AY78" s="1184"/>
      <c r="AZ78" s="1184"/>
      <c r="BA78" s="1184"/>
      <c r="BB78" s="1184"/>
      <c r="BC78" s="1184"/>
      <c r="BD78" s="1184"/>
      <c r="BE78" s="1184"/>
      <c r="BF78" s="1006"/>
      <c r="BH78" s="1184"/>
      <c r="BI78" s="1184"/>
      <c r="BJ78" s="1184"/>
      <c r="BK78" s="1184"/>
      <c r="BL78" s="1184"/>
      <c r="BM78" s="1184"/>
      <c r="BN78" s="1006"/>
      <c r="BO78" s="1006"/>
      <c r="BP78" s="1006"/>
      <c r="BQ78" s="1006"/>
      <c r="BR78" s="1006"/>
      <c r="BS78" s="1006"/>
      <c r="BT78" s="1006"/>
      <c r="BX78" s="914"/>
      <c r="BY78" s="914"/>
      <c r="BZ78" s="2163"/>
      <c r="CA78" s="2163"/>
      <c r="CB78" s="1145"/>
      <c r="CC78" s="1145"/>
      <c r="CE78" s="1315"/>
    </row>
    <row r="79" spans="1:94" x14ac:dyDescent="0.2">
      <c r="J79" s="1215"/>
      <c r="M79" s="1357"/>
      <c r="N79" s="1357"/>
      <c r="O79" s="1357"/>
      <c r="P79" s="1357"/>
      <c r="V79" s="1006"/>
      <c r="Z79" s="1006"/>
      <c r="AD79" s="1006"/>
      <c r="AH79" s="1006"/>
      <c r="AI79" s="1006"/>
      <c r="AL79" s="1006"/>
      <c r="AP79" s="1006"/>
      <c r="AT79" s="1006"/>
      <c r="AX79" s="1006"/>
      <c r="AY79" s="1184"/>
      <c r="AZ79" s="1184"/>
      <c r="BA79" s="1184"/>
      <c r="BB79" s="1184"/>
      <c r="BC79" s="1184"/>
      <c r="BD79" s="1184"/>
      <c r="BE79" s="1184"/>
      <c r="BF79" s="1006"/>
      <c r="BH79" s="1184"/>
      <c r="BI79" s="1184"/>
      <c r="BJ79" s="1006"/>
      <c r="BK79" s="952"/>
      <c r="BL79" s="1184"/>
      <c r="BM79" s="1184"/>
      <c r="BN79" s="1006"/>
      <c r="BO79" s="1006"/>
      <c r="BP79" s="1006"/>
      <c r="BQ79" s="1006"/>
      <c r="BR79" s="1006"/>
      <c r="BS79" s="1006"/>
      <c r="BT79" s="1006"/>
      <c r="BX79" s="914"/>
      <c r="BY79" s="914"/>
      <c r="CA79" s="2163"/>
    </row>
    <row r="80" spans="1:94" x14ac:dyDescent="0.2">
      <c r="J80" s="1215"/>
      <c r="M80" s="1357"/>
      <c r="N80" s="1357"/>
      <c r="O80" s="1357"/>
      <c r="P80" s="1357"/>
      <c r="S80" s="1215"/>
      <c r="T80" s="1215"/>
      <c r="U80" s="1215"/>
      <c r="V80" s="1215"/>
      <c r="W80" s="1215"/>
      <c r="X80" s="1215"/>
      <c r="Y80" s="1215"/>
      <c r="Z80" s="1215"/>
      <c r="AA80" s="1215"/>
      <c r="AB80" s="1215"/>
      <c r="AC80" s="1215"/>
      <c r="AD80" s="1215"/>
      <c r="AH80" s="1006"/>
      <c r="AI80" s="1006"/>
      <c r="AL80" s="1006"/>
      <c r="AP80" s="1006"/>
      <c r="AT80" s="1006"/>
      <c r="AX80" s="1006"/>
      <c r="AY80" s="1184"/>
      <c r="AZ80" s="1184"/>
      <c r="BA80" s="1184"/>
      <c r="BB80" s="1184"/>
      <c r="BC80" s="1184"/>
      <c r="BD80" s="1184"/>
      <c r="BE80" s="1184"/>
      <c r="BF80" s="1006"/>
      <c r="BH80" s="1184"/>
      <c r="BI80" s="1184"/>
      <c r="BJ80" s="1006"/>
      <c r="BK80" s="952"/>
      <c r="BL80" s="1184"/>
      <c r="BM80" s="1184"/>
      <c r="BN80" s="1006"/>
      <c r="BO80" s="1006"/>
      <c r="BP80" s="1006"/>
      <c r="BQ80" s="1006"/>
      <c r="BR80" s="1006"/>
      <c r="BS80" s="1006"/>
      <c r="BT80" s="1006"/>
      <c r="BX80" s="897"/>
      <c r="BY80" s="897"/>
      <c r="CA80" s="2163"/>
    </row>
    <row r="81" spans="3:79" x14ac:dyDescent="0.2">
      <c r="J81" s="1215"/>
      <c r="M81" s="1357"/>
      <c r="N81" s="1357"/>
      <c r="O81" s="1357"/>
      <c r="P81" s="1357"/>
      <c r="V81" s="941"/>
      <c r="Z81" s="941"/>
      <c r="AD81" s="941"/>
      <c r="AH81" s="941"/>
      <c r="AI81" s="1006"/>
      <c r="AL81" s="941"/>
      <c r="AP81" s="941"/>
      <c r="AT81" s="941"/>
      <c r="AX81" s="941"/>
      <c r="AY81" s="1184"/>
      <c r="AZ81" s="1184"/>
      <c r="BA81" s="1184"/>
      <c r="BB81" s="1184"/>
      <c r="BC81" s="1184"/>
      <c r="BD81" s="1184"/>
      <c r="BE81" s="1184"/>
      <c r="BF81" s="976"/>
      <c r="BH81" s="1184"/>
      <c r="BI81" s="1184"/>
      <c r="BJ81" s="1006"/>
      <c r="BK81" s="952"/>
      <c r="BL81" s="1184"/>
      <c r="BM81" s="1184"/>
      <c r="BN81" s="1006"/>
      <c r="BO81" s="1006"/>
      <c r="BP81" s="1006"/>
      <c r="BQ81" s="1006"/>
      <c r="BR81" s="1006"/>
      <c r="BS81" s="1006"/>
      <c r="BT81" s="1006"/>
      <c r="BX81" s="897"/>
      <c r="BY81" s="897"/>
      <c r="CA81" s="2163"/>
    </row>
    <row r="82" spans="3:79" x14ac:dyDescent="0.2">
      <c r="C82" s="1822"/>
      <c r="J82" s="1215"/>
      <c r="M82" s="1357"/>
      <c r="N82" s="1357"/>
      <c r="O82" s="1357"/>
      <c r="P82" s="1357"/>
      <c r="T82" s="1215"/>
      <c r="U82" s="1215"/>
      <c r="V82" s="1215"/>
      <c r="X82" s="1215"/>
      <c r="Y82" s="1215"/>
      <c r="Z82" s="1215"/>
      <c r="AD82" s="941"/>
      <c r="AH82" s="941"/>
      <c r="AI82" s="1006"/>
      <c r="AL82" s="941"/>
      <c r="AP82" s="941"/>
      <c r="AT82" s="941"/>
      <c r="AX82" s="941"/>
      <c r="AY82" s="1184"/>
      <c r="AZ82" s="1184"/>
      <c r="BA82" s="1184"/>
      <c r="BB82" s="1184"/>
      <c r="BC82" s="1184"/>
      <c r="BD82" s="1184"/>
      <c r="BE82" s="1184"/>
      <c r="BF82" s="1836"/>
      <c r="BH82" s="1184"/>
      <c r="BI82" s="1184"/>
      <c r="BJ82" s="1184"/>
      <c r="BK82" s="1184"/>
      <c r="BL82" s="1184"/>
      <c r="BM82" s="1184"/>
      <c r="BN82" s="1006"/>
      <c r="BO82" s="1006"/>
      <c r="BP82" s="1006"/>
      <c r="BQ82" s="1006"/>
      <c r="BR82" s="1006"/>
      <c r="BS82" s="1006"/>
      <c r="BT82" s="1006"/>
      <c r="BX82" s="897"/>
      <c r="BY82" s="897"/>
    </row>
    <row r="83" spans="3:79" x14ac:dyDescent="0.2">
      <c r="V83" s="941"/>
      <c r="Z83" s="941"/>
      <c r="AD83" s="941"/>
      <c r="AH83" s="941"/>
      <c r="AL83" s="941"/>
      <c r="AP83" s="941"/>
      <c r="AT83" s="941"/>
      <c r="AX83" s="941"/>
      <c r="AY83" s="1184"/>
      <c r="AZ83" s="1184"/>
      <c r="BA83" s="1184"/>
      <c r="BB83" s="1184"/>
      <c r="BC83" s="1184"/>
      <c r="BD83" s="1184"/>
      <c r="BE83" s="1184"/>
      <c r="BF83" s="1836"/>
      <c r="BH83" s="1184"/>
      <c r="BI83" s="1184"/>
      <c r="BJ83" s="1184"/>
      <c r="BK83" s="1184"/>
      <c r="BL83" s="1184"/>
      <c r="BM83" s="1184"/>
      <c r="BN83" s="1215"/>
      <c r="BO83" s="1215"/>
      <c r="BP83" s="1215"/>
      <c r="BQ83" s="1215"/>
      <c r="BR83" s="1312"/>
      <c r="BX83" s="919"/>
      <c r="BY83" s="919"/>
    </row>
    <row r="84" spans="3:79" x14ac:dyDescent="0.2">
      <c r="V84" s="1020"/>
      <c r="Z84" s="1020"/>
      <c r="AD84" s="1020"/>
      <c r="AH84" s="1020"/>
      <c r="AL84" s="1020"/>
      <c r="AP84" s="1020"/>
      <c r="AT84" s="1020"/>
      <c r="AX84" s="1020"/>
      <c r="BF84" s="959"/>
      <c r="BH84" s="1184"/>
      <c r="BI84" s="1184"/>
      <c r="BX84" s="919"/>
      <c r="BY84" s="919"/>
    </row>
    <row r="85" spans="3:79" x14ac:dyDescent="0.2">
      <c r="V85" s="1020"/>
      <c r="Z85" s="1020"/>
      <c r="AD85" s="1020"/>
      <c r="AH85" s="1020"/>
      <c r="AL85" s="1020"/>
      <c r="AP85" s="1020"/>
      <c r="AT85" s="1020"/>
      <c r="AX85" s="1020"/>
      <c r="BF85" s="959"/>
      <c r="BH85" s="1184"/>
      <c r="BI85" s="1184"/>
      <c r="BX85" s="919"/>
      <c r="BY85" s="919"/>
    </row>
    <row r="86" spans="3:79" x14ac:dyDescent="0.2">
      <c r="V86" s="1142"/>
      <c r="Z86" s="1142"/>
      <c r="AD86" s="1142"/>
      <c r="AH86" s="1142"/>
      <c r="AL86" s="1142"/>
      <c r="AP86" s="1142"/>
      <c r="AT86" s="1142"/>
      <c r="AX86" s="1142"/>
      <c r="BF86" s="1142"/>
      <c r="BH86" s="1184"/>
      <c r="BI86" s="1184"/>
      <c r="BX86" s="897"/>
      <c r="BY86" s="897"/>
    </row>
    <row r="87" spans="3:79" x14ac:dyDescent="0.2">
      <c r="V87" s="941"/>
      <c r="Z87" s="941"/>
      <c r="AD87" s="941"/>
      <c r="AH87" s="941"/>
      <c r="AL87" s="941"/>
      <c r="AP87" s="941"/>
      <c r="AT87" s="941"/>
      <c r="AX87" s="941"/>
      <c r="BF87" s="1314"/>
      <c r="BH87" s="1184"/>
      <c r="BI87" s="1184"/>
      <c r="BX87" s="897"/>
      <c r="BY87" s="897"/>
    </row>
    <row r="88" spans="3:79" x14ac:dyDescent="0.2">
      <c r="V88" s="941"/>
      <c r="Z88" s="941"/>
      <c r="AD88" s="941"/>
      <c r="AH88" s="941"/>
      <c r="AL88" s="941"/>
      <c r="AP88" s="941"/>
      <c r="AT88" s="941"/>
      <c r="AX88" s="941"/>
      <c r="AY88" s="941"/>
      <c r="BB88" s="941"/>
      <c r="BD88" s="941"/>
      <c r="BE88" s="941"/>
      <c r="BF88" s="941"/>
      <c r="BH88" s="1184"/>
      <c r="BI88" s="1184"/>
      <c r="BX88" s="918"/>
      <c r="BY88" s="918"/>
    </row>
    <row r="89" spans="3:79" x14ac:dyDescent="0.2">
      <c r="AX89" s="1020"/>
      <c r="AY89" s="1143"/>
      <c r="AZ89" s="1020"/>
      <c r="BA89" s="1020"/>
      <c r="BB89" s="1020"/>
      <c r="BC89" s="1124"/>
      <c r="BD89" s="1124"/>
      <c r="BE89" s="1072"/>
      <c r="BF89" s="971"/>
      <c r="BH89" s="1184"/>
      <c r="BI89" s="1184"/>
      <c r="BN89" s="1312"/>
      <c r="BO89" s="1312"/>
      <c r="BP89" s="1312"/>
      <c r="BQ89" s="1312"/>
      <c r="BR89" s="1312"/>
      <c r="BX89" s="918"/>
      <c r="BY89" s="918"/>
    </row>
    <row r="90" spans="3:79" x14ac:dyDescent="0.2">
      <c r="AX90" s="1020"/>
      <c r="AY90" s="1020"/>
      <c r="AZ90" s="1020"/>
      <c r="BA90" s="1020"/>
      <c r="BB90" s="1020"/>
      <c r="BC90" s="1067"/>
      <c r="BD90" s="1020"/>
      <c r="BE90" s="1020"/>
      <c r="BF90" s="1020"/>
      <c r="BH90" s="1184"/>
      <c r="BI90" s="1184"/>
      <c r="BX90" s="932"/>
      <c r="BY90" s="932"/>
    </row>
    <row r="91" spans="3:79" x14ac:dyDescent="0.2">
      <c r="AX91" s="959"/>
      <c r="AY91" s="1083"/>
      <c r="AZ91" s="1036"/>
      <c r="BA91" s="1036"/>
      <c r="BB91" s="1036"/>
      <c r="BC91" s="1083"/>
      <c r="BD91" s="1036"/>
      <c r="BE91" s="1036"/>
      <c r="BF91" s="1004"/>
      <c r="BH91" s="1184"/>
      <c r="BI91" s="1184"/>
      <c r="BX91" s="911"/>
      <c r="BY91" s="911"/>
    </row>
    <row r="92" spans="3:79" x14ac:dyDescent="0.2">
      <c r="AX92" s="959"/>
      <c r="AY92" s="1036"/>
      <c r="AZ92" s="1036"/>
      <c r="BA92" s="1036"/>
      <c r="BB92" s="1036"/>
      <c r="BC92" s="1036"/>
      <c r="BD92" s="1036"/>
      <c r="BE92" s="1036"/>
      <c r="BF92" s="1004"/>
      <c r="BH92" s="1184"/>
      <c r="BI92" s="1184"/>
      <c r="BX92" s="923"/>
      <c r="BY92" s="923"/>
    </row>
    <row r="93" spans="3:79" x14ac:dyDescent="0.2">
      <c r="AX93" s="959"/>
      <c r="AY93" s="1036"/>
      <c r="AZ93" s="1036"/>
      <c r="BA93" s="1036"/>
      <c r="BB93" s="1036"/>
      <c r="BC93" s="1036"/>
      <c r="BD93" s="1036"/>
      <c r="BE93" s="1036"/>
      <c r="BF93" s="952"/>
      <c r="BH93" s="1184"/>
      <c r="BI93" s="1184"/>
      <c r="BX93" s="923"/>
      <c r="BY93" s="923"/>
    </row>
    <row r="94" spans="3:79" x14ac:dyDescent="0.2">
      <c r="AX94" s="1036"/>
      <c r="AY94" s="1036"/>
      <c r="AZ94" s="1036"/>
      <c r="BA94" s="1036"/>
      <c r="BB94" s="1036"/>
      <c r="BC94" s="1036"/>
      <c r="BD94" s="1036"/>
      <c r="BE94" s="1036"/>
      <c r="BF94" s="1036"/>
      <c r="BH94" s="1184"/>
      <c r="BI94" s="1184"/>
      <c r="BX94" s="935"/>
      <c r="BY94" s="935"/>
    </row>
    <row r="95" spans="3:79" x14ac:dyDescent="0.2">
      <c r="AX95" s="1090"/>
      <c r="AY95" s="1090"/>
      <c r="AZ95" s="1090"/>
      <c r="BA95" s="1090"/>
      <c r="BB95" s="1090"/>
      <c r="BC95" s="1090"/>
      <c r="BD95" s="1090"/>
      <c r="BE95" s="1090"/>
      <c r="BF95" s="1090"/>
      <c r="BH95" s="1184"/>
      <c r="BI95" s="1184"/>
      <c r="BX95" s="935"/>
      <c r="BY95" s="935"/>
    </row>
    <row r="96" spans="3:79" x14ac:dyDescent="0.2">
      <c r="AX96" s="1090"/>
      <c r="AY96" s="1090"/>
      <c r="AZ96" s="1090"/>
      <c r="BA96" s="1090"/>
      <c r="BB96" s="1090"/>
      <c r="BC96" s="1090"/>
      <c r="BD96" s="1090"/>
      <c r="BE96" s="1090"/>
      <c r="BF96" s="1090"/>
      <c r="BH96" s="1184"/>
      <c r="BI96" s="1184"/>
      <c r="BX96" s="1145"/>
      <c r="BY96" s="1145"/>
    </row>
    <row r="97" spans="50:77" x14ac:dyDescent="0.2">
      <c r="AX97" s="1184"/>
      <c r="AY97" s="1184"/>
      <c r="AZ97" s="1184"/>
      <c r="BA97" s="1184"/>
      <c r="BB97" s="1184"/>
      <c r="BC97" s="1184"/>
      <c r="BD97" s="1184"/>
      <c r="BE97" s="1184"/>
      <c r="BF97" s="1184"/>
      <c r="BH97" s="1184"/>
      <c r="BI97" s="1184"/>
      <c r="BX97" s="1145"/>
      <c r="BY97" s="1145"/>
    </row>
    <row r="98" spans="50:77" x14ac:dyDescent="0.2">
      <c r="AX98" s="1184"/>
      <c r="AY98" s="1184"/>
      <c r="AZ98" s="1184"/>
      <c r="BA98" s="1184"/>
      <c r="BB98" s="1184"/>
      <c r="BC98" s="1184"/>
      <c r="BD98" s="1184"/>
      <c r="BE98" s="1184"/>
      <c r="BF98" s="1184"/>
      <c r="BH98" s="1184"/>
      <c r="BI98" s="1184"/>
      <c r="BX98" s="1145"/>
      <c r="BY98" s="1145"/>
    </row>
    <row r="99" spans="50:77" x14ac:dyDescent="0.2">
      <c r="AX99" s="1184"/>
      <c r="AY99" s="1184"/>
      <c r="AZ99" s="1184"/>
      <c r="BA99" s="1184"/>
      <c r="BB99" s="1184"/>
      <c r="BC99" s="1184"/>
      <c r="BD99" s="1184"/>
      <c r="BE99" s="1184"/>
      <c r="BF99" s="1184"/>
      <c r="BH99" s="1184"/>
      <c r="BI99" s="1184"/>
      <c r="BX99" s="1145"/>
      <c r="BY99" s="1145"/>
    </row>
    <row r="100" spans="50:77" x14ac:dyDescent="0.2">
      <c r="AX100" s="1184"/>
      <c r="AY100" s="1184"/>
      <c r="AZ100" s="1184"/>
      <c r="BA100" s="1184"/>
      <c r="BB100" s="1184"/>
      <c r="BC100" s="1184"/>
      <c r="BD100" s="1184"/>
      <c r="BE100" s="1184"/>
      <c r="BF100" s="1184"/>
      <c r="BH100" s="1184"/>
      <c r="BI100" s="1184"/>
      <c r="BX100" s="1145"/>
      <c r="BY100" s="1145"/>
    </row>
    <row r="101" spans="50:77" x14ac:dyDescent="0.2">
      <c r="AX101" s="1184"/>
      <c r="AY101" s="1184"/>
      <c r="AZ101" s="1184"/>
      <c r="BA101" s="1184"/>
      <c r="BB101" s="1184"/>
      <c r="BC101" s="1184"/>
      <c r="BD101" s="1184"/>
      <c r="BE101" s="1184"/>
      <c r="BF101" s="1184"/>
      <c r="BH101" s="1184"/>
      <c r="BI101" s="1184"/>
    </row>
  </sheetData>
  <mergeCells count="10">
    <mergeCell ref="A35:B35"/>
    <mergeCell ref="C53:D53"/>
    <mergeCell ref="C54:D54"/>
    <mergeCell ref="BJ54:BK54"/>
    <mergeCell ref="C66:D66"/>
    <mergeCell ref="C67:D67"/>
    <mergeCell ref="BJ67:BK67"/>
    <mergeCell ref="C10:D10"/>
    <mergeCell ref="C11:D11"/>
    <mergeCell ref="BJ11:BK11"/>
  </mergeCells>
  <printOptions horizontalCentered="1" verticalCentered="1"/>
  <pageMargins left="0" right="0" top="0" bottom="0" header="0" footer="0"/>
  <pageSetup scale="62" orientation="landscape" r:id="rId1"/>
  <headerFooter alignWithMargins="0">
    <oddFooter>&amp;L&amp;F&amp;CPage 12</oddFooter>
  </headerFooter>
  <colBreaks count="1" manualBreakCount="1">
    <brk id="78" max="80"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CC86"/>
  <sheetViews>
    <sheetView topLeftCell="A5" zoomScale="80" zoomScaleNormal="80" workbookViewId="0">
      <selection activeCell="C52" sqref="C52:D52"/>
    </sheetView>
  </sheetViews>
  <sheetFormatPr defaultColWidth="9.140625" defaultRowHeight="12.75" x14ac:dyDescent="0.2"/>
  <cols>
    <col min="1" max="1" width="2.7109375" style="1183" customWidth="1"/>
    <col min="2" max="2" width="46.7109375" style="1183" customWidth="1"/>
    <col min="3" max="3" width="9.5703125" style="1183" customWidth="1"/>
    <col min="4" max="4" width="9.7109375" style="1920" customWidth="1"/>
    <col min="5" max="5" width="1.5703125" style="1315" customWidth="1"/>
    <col min="6" max="7" width="9.85546875" style="1315" customWidth="1"/>
    <col min="8" max="11" width="9.85546875" style="1357" customWidth="1"/>
    <col min="12" max="12" width="9.85546875" style="1311" customWidth="1"/>
    <col min="13" max="14" width="9.85546875" style="1357" customWidth="1"/>
    <col min="15" max="19" width="9.85546875" style="1357" hidden="1" customWidth="1"/>
    <col min="20" max="20" width="8.42578125" style="1357" hidden="1" customWidth="1"/>
    <col min="21" max="22" width="9.28515625" style="1357" hidden="1" customWidth="1"/>
    <col min="23" max="23" width="10.7109375" style="1357" hidden="1" customWidth="1"/>
    <col min="24" max="24" width="11" style="1357" hidden="1" customWidth="1"/>
    <col min="25" max="45" width="9.28515625" style="1357" hidden="1" customWidth="1"/>
    <col min="46" max="46" width="7.7109375" style="1357" hidden="1" customWidth="1"/>
    <col min="47" max="49" width="7.85546875" style="1357" hidden="1" customWidth="1"/>
    <col min="50" max="50" width="7.85546875" style="1920" hidden="1" customWidth="1"/>
    <col min="51" max="51" width="8" style="1920" hidden="1" customWidth="1"/>
    <col min="52" max="52" width="7.5703125" style="1920" hidden="1" customWidth="1"/>
    <col min="53" max="55" width="7" style="1920" hidden="1" customWidth="1"/>
    <col min="56" max="58" width="7.5703125" style="1920" hidden="1" customWidth="1"/>
    <col min="59" max="59" width="1.5703125" style="1357" hidden="1" customWidth="1"/>
    <col min="60" max="63" width="10.42578125" style="1920" hidden="1" customWidth="1"/>
    <col min="64" max="64" width="1.5703125" style="1920" customWidth="1"/>
    <col min="65" max="65" width="9.5703125" style="1920" customWidth="1"/>
    <col min="66" max="69" width="9.7109375" style="1920" customWidth="1"/>
    <col min="70" max="72" width="9.7109375" style="1920" hidden="1" customWidth="1"/>
    <col min="73" max="80" width="9.7109375" style="1180" hidden="1" customWidth="1"/>
    <col min="81" max="81" width="1.5703125" style="1180" customWidth="1"/>
    <col min="82" max="16384" width="9.140625" style="1180"/>
  </cols>
  <sheetData>
    <row r="1" spans="1:81" x14ac:dyDescent="0.2">
      <c r="D1" s="1183"/>
      <c r="E1" s="1145"/>
      <c r="F1" s="1145"/>
      <c r="G1" s="1145"/>
      <c r="H1" s="1184"/>
      <c r="I1" s="1184"/>
      <c r="J1" s="1184"/>
      <c r="K1" s="1184"/>
      <c r="L1" s="941"/>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84"/>
      <c r="AW1" s="1184"/>
      <c r="AX1" s="1183"/>
      <c r="AY1" s="1183"/>
      <c r="AZ1" s="1183"/>
      <c r="BA1" s="1183"/>
      <c r="BB1" s="1183"/>
      <c r="BC1" s="1183"/>
      <c r="BD1" s="1183"/>
      <c r="BE1" s="1183"/>
      <c r="BF1" s="1183"/>
      <c r="BG1" s="1184"/>
      <c r="BH1" s="1183"/>
      <c r="BI1" s="1183"/>
      <c r="BJ1" s="1183"/>
      <c r="BK1" s="1183"/>
      <c r="BL1" s="1183"/>
      <c r="BM1" s="1183"/>
      <c r="BN1" s="1183"/>
      <c r="BO1" s="1183"/>
      <c r="BP1" s="1183"/>
      <c r="BQ1" s="1183"/>
      <c r="BR1" s="1183"/>
      <c r="BS1" s="1183"/>
      <c r="BT1" s="1183"/>
      <c r="BU1" s="1144"/>
      <c r="BV1" s="1144"/>
      <c r="BW1" s="1144"/>
      <c r="BX1" s="1144"/>
      <c r="BY1" s="1144"/>
      <c r="BZ1" s="1144"/>
      <c r="CA1" s="1144"/>
      <c r="CB1" s="1144"/>
      <c r="CC1" s="1144"/>
    </row>
    <row r="2" spans="1:81" x14ac:dyDescent="0.2">
      <c r="D2" s="1183"/>
      <c r="E2" s="1145"/>
      <c r="F2" s="1145"/>
      <c r="G2" s="1145"/>
      <c r="H2" s="941"/>
      <c r="I2" s="941"/>
      <c r="J2" s="941"/>
      <c r="K2" s="1184"/>
      <c r="L2" s="941"/>
      <c r="M2" s="941"/>
      <c r="N2" s="941"/>
      <c r="O2" s="1184"/>
      <c r="P2" s="941"/>
      <c r="Q2" s="941"/>
      <c r="R2" s="941"/>
      <c r="S2" s="941"/>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3"/>
      <c r="AY2" s="1183"/>
      <c r="AZ2" s="1183"/>
      <c r="BA2" s="1183"/>
      <c r="BB2" s="1183"/>
      <c r="BC2" s="1183"/>
      <c r="BD2" s="1183"/>
      <c r="BE2" s="1183"/>
      <c r="BF2" s="1183"/>
      <c r="BG2" s="1184"/>
      <c r="BH2" s="1183"/>
      <c r="BI2" s="1183"/>
      <c r="BJ2" s="1183"/>
      <c r="BK2" s="1183"/>
      <c r="BL2" s="1183"/>
      <c r="BM2" s="1183"/>
      <c r="BN2" s="1183"/>
      <c r="BO2" s="1183"/>
      <c r="BP2" s="1183"/>
      <c r="BQ2" s="1183"/>
      <c r="BR2" s="1183"/>
      <c r="BS2" s="1183"/>
      <c r="BT2" s="1183"/>
      <c r="BU2" s="1144"/>
      <c r="BV2" s="1144"/>
      <c r="BW2" s="1144"/>
      <c r="BX2" s="1144"/>
      <c r="BY2" s="1144"/>
      <c r="BZ2" s="1144"/>
      <c r="CA2" s="1144"/>
      <c r="CB2" s="1144"/>
      <c r="CC2" s="1144"/>
    </row>
    <row r="3" spans="1:81" x14ac:dyDescent="0.2">
      <c r="D3" s="1183"/>
      <c r="E3" s="1145"/>
      <c r="F3" s="1145"/>
      <c r="G3" s="1145"/>
      <c r="H3" s="2393"/>
      <c r="I3" s="2393"/>
      <c r="J3" s="941"/>
      <c r="K3" s="1184"/>
      <c r="L3" s="2393"/>
      <c r="M3" s="2393"/>
      <c r="N3" s="941"/>
      <c r="O3" s="1184"/>
      <c r="P3" s="2393"/>
      <c r="Q3" s="941"/>
      <c r="R3" s="941"/>
      <c r="S3" s="941"/>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3"/>
      <c r="AY3" s="1183"/>
      <c r="AZ3" s="1183"/>
      <c r="BA3" s="1183"/>
      <c r="BB3" s="1183"/>
      <c r="BC3" s="1183"/>
      <c r="BD3" s="1183"/>
      <c r="BE3" s="1183"/>
      <c r="BF3" s="1183"/>
      <c r="BG3" s="1184"/>
      <c r="BH3" s="1183"/>
      <c r="BI3" s="1183"/>
      <c r="BJ3" s="1183"/>
      <c r="BK3" s="1183"/>
      <c r="BL3" s="1183"/>
      <c r="BM3" s="1183"/>
      <c r="BN3" s="1183"/>
      <c r="BO3" s="1183"/>
      <c r="BP3" s="1183"/>
      <c r="BQ3" s="1183"/>
      <c r="BR3" s="1183"/>
      <c r="BS3" s="1183"/>
      <c r="BT3" s="1183"/>
      <c r="BU3" s="1144"/>
      <c r="BV3" s="1144"/>
      <c r="BW3" s="1144"/>
      <c r="BX3" s="1144"/>
      <c r="BY3" s="1144"/>
      <c r="BZ3" s="1144"/>
      <c r="CA3" s="1144"/>
      <c r="CB3" s="1144"/>
      <c r="CC3" s="1144"/>
    </row>
    <row r="4" spans="1:81" x14ac:dyDescent="0.2">
      <c r="D4" s="1183"/>
      <c r="E4" s="1145"/>
      <c r="F4" s="1145"/>
      <c r="G4" s="1145"/>
      <c r="H4" s="941"/>
      <c r="I4" s="941"/>
      <c r="J4" s="941"/>
      <c r="K4" s="1184"/>
      <c r="L4" s="941"/>
      <c r="M4" s="941"/>
      <c r="N4" s="941"/>
      <c r="O4" s="1184"/>
      <c r="P4" s="941"/>
      <c r="Q4" s="941"/>
      <c r="R4" s="941"/>
      <c r="S4" s="941"/>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3"/>
      <c r="AY4" s="1183"/>
      <c r="AZ4" s="1183"/>
      <c r="BA4" s="1183"/>
      <c r="BB4" s="1183"/>
      <c r="BC4" s="1183"/>
      <c r="BD4" s="1183"/>
      <c r="BE4" s="1183"/>
      <c r="BF4" s="1183"/>
      <c r="BG4" s="1184"/>
      <c r="BH4" s="1183"/>
      <c r="BI4" s="1183"/>
      <c r="BJ4" s="1183"/>
      <c r="BK4" s="1183"/>
      <c r="BL4" s="1183"/>
      <c r="BM4" s="1183"/>
      <c r="BN4" s="1183"/>
      <c r="BO4" s="1183"/>
      <c r="BP4" s="1183"/>
      <c r="BQ4" s="1183"/>
      <c r="BR4" s="1183"/>
      <c r="BS4" s="1183"/>
      <c r="BT4" s="1183"/>
      <c r="BU4" s="1144"/>
      <c r="BV4" s="1144"/>
      <c r="BW4" s="1144"/>
      <c r="BX4" s="1144"/>
      <c r="BY4" s="1144"/>
      <c r="BZ4" s="1144"/>
      <c r="CA4" s="1144"/>
      <c r="CB4" s="1144"/>
      <c r="CC4" s="1144"/>
    </row>
    <row r="5" spans="1:81" ht="9" customHeight="1" x14ac:dyDescent="0.2">
      <c r="A5" s="1184"/>
      <c r="B5" s="1184"/>
      <c r="C5" s="1184"/>
      <c r="D5" s="1184"/>
      <c r="E5" s="1145"/>
      <c r="F5" s="1145"/>
      <c r="G5" s="1145"/>
      <c r="H5" s="1184"/>
      <c r="I5" s="1184"/>
      <c r="J5" s="1184"/>
      <c r="K5" s="1184"/>
      <c r="L5" s="941"/>
      <c r="M5" s="1184"/>
      <c r="N5" s="1184"/>
      <c r="O5" s="1184"/>
      <c r="P5" s="1184"/>
      <c r="Q5" s="1184"/>
      <c r="R5" s="1184"/>
      <c r="S5" s="1184"/>
      <c r="T5" s="1184"/>
      <c r="U5" s="1184"/>
      <c r="V5" s="1184"/>
      <c r="W5" s="1184"/>
      <c r="X5" s="1184"/>
      <c r="Y5" s="1184"/>
      <c r="Z5" s="1184"/>
      <c r="AA5" s="1184"/>
      <c r="AB5" s="1184"/>
      <c r="AC5" s="1184"/>
      <c r="AD5" s="1184"/>
      <c r="AE5" s="1184"/>
      <c r="AF5" s="1184"/>
      <c r="AG5" s="1184"/>
      <c r="AH5" s="1184"/>
      <c r="AI5" s="1184"/>
      <c r="AJ5" s="1184"/>
      <c r="AK5" s="1184"/>
      <c r="AL5" s="1184"/>
      <c r="AM5" s="1184"/>
      <c r="AN5" s="1184"/>
      <c r="AO5" s="1184"/>
      <c r="AP5" s="1184"/>
      <c r="AQ5" s="1184"/>
      <c r="AR5" s="1184"/>
      <c r="AS5" s="1184"/>
      <c r="AT5" s="1184"/>
      <c r="AU5" s="1184"/>
      <c r="AV5" s="1184"/>
      <c r="AW5" s="1184"/>
      <c r="AX5" s="1184"/>
      <c r="AY5" s="1184"/>
      <c r="AZ5" s="1184"/>
      <c r="BA5" s="1183"/>
      <c r="BB5" s="1183"/>
      <c r="BC5" s="1183"/>
      <c r="BD5" s="1183"/>
      <c r="BE5" s="1183"/>
      <c r="BF5" s="1183"/>
      <c r="BG5" s="1184"/>
      <c r="BH5" s="1183"/>
      <c r="BI5" s="1183"/>
      <c r="BJ5" s="1183"/>
      <c r="BK5" s="1183"/>
      <c r="BL5" s="1183"/>
      <c r="BM5" s="1183"/>
      <c r="BN5" s="1183"/>
      <c r="BO5" s="1183"/>
      <c r="BP5" s="1183"/>
      <c r="BQ5" s="1183"/>
      <c r="BR5" s="1183"/>
      <c r="BS5" s="1183"/>
      <c r="BT5" s="1183"/>
      <c r="BU5" s="1144"/>
      <c r="BV5" s="1144"/>
      <c r="BW5" s="1144"/>
      <c r="BX5" s="1144"/>
      <c r="BY5" s="1144"/>
      <c r="BZ5" s="1144"/>
      <c r="CA5" s="1144"/>
      <c r="CB5" s="1144"/>
      <c r="CC5" s="1144"/>
    </row>
    <row r="6" spans="1:81" ht="18" customHeight="1" x14ac:dyDescent="0.2">
      <c r="A6" s="1185" t="s">
        <v>91</v>
      </c>
      <c r="B6" s="1184"/>
      <c r="C6" s="1184"/>
      <c r="D6" s="1184"/>
      <c r="E6" s="1145"/>
      <c r="F6" s="1145"/>
      <c r="G6" s="1145"/>
      <c r="J6" s="1184"/>
      <c r="K6" s="1184"/>
      <c r="L6" s="941"/>
      <c r="M6" s="1184"/>
      <c r="N6" s="1184"/>
      <c r="O6" s="1184"/>
      <c r="P6" s="1184"/>
      <c r="Q6" s="1184"/>
      <c r="R6" s="1184"/>
      <c r="S6" s="1868"/>
      <c r="T6" s="1868"/>
      <c r="U6" s="1184"/>
      <c r="V6" s="1184"/>
      <c r="W6" s="1868"/>
      <c r="X6" s="1868"/>
      <c r="Y6" s="1184"/>
      <c r="Z6" s="1184"/>
      <c r="AA6" s="1868"/>
      <c r="AB6" s="1868"/>
      <c r="AC6" s="1184"/>
      <c r="AD6" s="1184"/>
      <c r="AE6" s="1868"/>
      <c r="AF6" s="1868"/>
      <c r="AG6" s="1184"/>
      <c r="AH6" s="1184"/>
      <c r="AI6" s="1184"/>
      <c r="AJ6" s="1184"/>
      <c r="AK6" s="1184"/>
      <c r="AL6" s="1184"/>
      <c r="AM6" s="1184"/>
      <c r="AN6" s="1184"/>
      <c r="AO6" s="1184"/>
      <c r="AP6" s="1184"/>
      <c r="AQ6" s="1184"/>
      <c r="AR6" s="1184"/>
      <c r="AS6" s="1184"/>
      <c r="AT6" s="1184"/>
      <c r="AU6" s="1184"/>
      <c r="AV6" s="1184"/>
      <c r="AW6" s="1184"/>
      <c r="AX6" s="1184"/>
      <c r="AY6" s="1184"/>
      <c r="AZ6" s="1184"/>
      <c r="BA6" s="1183"/>
      <c r="BB6" s="1183"/>
      <c r="BC6" s="1183"/>
      <c r="BD6" s="1183"/>
      <c r="BE6" s="1183"/>
      <c r="BF6" s="1183"/>
      <c r="BG6" s="1184"/>
      <c r="BH6" s="1183"/>
      <c r="BI6" s="1183"/>
      <c r="BJ6" s="1183"/>
      <c r="BK6" s="1183"/>
      <c r="BL6" s="1183"/>
      <c r="BM6" s="1183"/>
      <c r="BN6" s="1183"/>
      <c r="BO6" s="1183"/>
      <c r="BP6" s="1183"/>
      <c r="BQ6" s="1183"/>
      <c r="BR6" s="1183"/>
      <c r="BS6" s="1183"/>
      <c r="BT6" s="1183"/>
      <c r="BU6" s="1144"/>
      <c r="BV6" s="1144"/>
      <c r="BW6" s="1144"/>
      <c r="BX6" s="1144"/>
      <c r="BY6" s="1144"/>
      <c r="BZ6" s="1144"/>
      <c r="CA6" s="1144"/>
      <c r="CB6" s="1144"/>
      <c r="CC6" s="1144"/>
    </row>
    <row r="7" spans="1:81" ht="18" customHeight="1" x14ac:dyDescent="0.2">
      <c r="A7" s="2225" t="s">
        <v>344</v>
      </c>
      <c r="B7" s="941"/>
      <c r="C7" s="941"/>
      <c r="D7" s="941"/>
      <c r="E7" s="897"/>
      <c r="F7" s="897"/>
      <c r="G7" s="897"/>
      <c r="H7" s="941"/>
      <c r="I7" s="941"/>
      <c r="J7" s="941"/>
      <c r="K7" s="941"/>
      <c r="L7" s="941"/>
      <c r="M7" s="941"/>
      <c r="N7" s="941"/>
      <c r="O7" s="941"/>
      <c r="P7" s="1184"/>
      <c r="Q7" s="1184"/>
      <c r="R7" s="1184"/>
      <c r="S7" s="1184"/>
      <c r="T7" s="1184"/>
      <c r="U7" s="1184"/>
      <c r="V7" s="1184"/>
      <c r="W7" s="1184"/>
      <c r="X7" s="1184"/>
      <c r="Y7" s="1184"/>
      <c r="Z7" s="1184"/>
      <c r="AA7" s="1184"/>
      <c r="AB7" s="1184"/>
      <c r="AC7" s="1184"/>
      <c r="AD7" s="1184"/>
      <c r="AE7" s="1184"/>
      <c r="AF7" s="1184"/>
      <c r="AG7" s="1184"/>
      <c r="AH7" s="1184"/>
      <c r="AI7" s="1184"/>
      <c r="AJ7" s="1184"/>
      <c r="AK7" s="1184"/>
      <c r="AL7" s="1184"/>
      <c r="AM7" s="1184"/>
      <c r="AN7" s="1184"/>
      <c r="AO7" s="1184"/>
      <c r="AP7" s="1184"/>
      <c r="AQ7" s="1184"/>
      <c r="AR7" s="1184"/>
      <c r="AS7" s="1184"/>
      <c r="AT7" s="1184"/>
      <c r="AU7" s="1184"/>
      <c r="AV7" s="1184"/>
      <c r="AW7" s="1184"/>
      <c r="AX7" s="1184"/>
      <c r="AY7" s="1184"/>
      <c r="AZ7" s="1184"/>
      <c r="BA7" s="1183"/>
      <c r="BB7" s="1183"/>
      <c r="BC7" s="1183"/>
      <c r="BD7" s="1183"/>
      <c r="BE7" s="1183"/>
      <c r="BF7" s="1183"/>
      <c r="BG7" s="1184"/>
      <c r="BH7" s="1183"/>
      <c r="BI7" s="1183"/>
      <c r="BJ7" s="1183"/>
      <c r="BK7" s="1183"/>
      <c r="BL7" s="1183"/>
      <c r="BM7" s="1183"/>
      <c r="BN7" s="1183"/>
      <c r="BO7" s="1183"/>
      <c r="BP7" s="1183"/>
      <c r="BQ7" s="1183"/>
      <c r="BR7" s="1183"/>
      <c r="BS7" s="1183"/>
      <c r="BT7" s="1183"/>
      <c r="BU7" s="1144"/>
      <c r="BV7" s="1144"/>
      <c r="BW7" s="1144"/>
      <c r="BX7" s="1144"/>
      <c r="BY7" s="1144"/>
      <c r="BZ7" s="1144"/>
      <c r="CA7" s="1144"/>
      <c r="CB7" s="1144"/>
      <c r="CC7" s="1144"/>
    </row>
    <row r="8" spans="1:81" ht="18" customHeight="1" x14ac:dyDescent="0.2">
      <c r="A8" s="2225"/>
      <c r="B8" s="941"/>
      <c r="C8" s="941"/>
      <c r="D8" s="941"/>
      <c r="E8" s="897"/>
      <c r="F8" s="897"/>
      <c r="G8" s="897"/>
      <c r="H8" s="941"/>
      <c r="I8" s="941"/>
      <c r="J8" s="941"/>
      <c r="K8" s="941"/>
      <c r="L8" s="941"/>
      <c r="M8" s="941"/>
      <c r="N8" s="941"/>
      <c r="O8" s="941"/>
      <c r="P8" s="1184"/>
      <c r="Q8" s="1184"/>
      <c r="R8" s="1184"/>
      <c r="S8" s="1184"/>
      <c r="T8" s="1184"/>
      <c r="U8" s="1184"/>
      <c r="V8" s="1184"/>
      <c r="W8" s="1184"/>
      <c r="X8" s="1184"/>
      <c r="Y8" s="1184"/>
      <c r="Z8" s="1184"/>
      <c r="AA8" s="1184"/>
      <c r="AB8" s="1184"/>
      <c r="AC8" s="1184"/>
      <c r="AD8" s="1184"/>
      <c r="AE8" s="1184"/>
      <c r="AF8" s="1184"/>
      <c r="AG8" s="1184"/>
      <c r="AH8" s="1184"/>
      <c r="AI8" s="1184"/>
      <c r="AJ8" s="1184"/>
      <c r="AK8" s="1184"/>
      <c r="AL8" s="1184"/>
      <c r="AM8" s="1184"/>
      <c r="AN8" s="1184"/>
      <c r="AO8" s="1184"/>
      <c r="AP8" s="1184"/>
      <c r="AQ8" s="1184"/>
      <c r="AR8" s="1184"/>
      <c r="AS8" s="1184"/>
      <c r="AT8" s="1184"/>
      <c r="AU8" s="1184"/>
      <c r="AV8" s="1184"/>
      <c r="AW8" s="1184"/>
      <c r="AX8" s="1184"/>
      <c r="AY8" s="1184"/>
      <c r="AZ8" s="1184"/>
      <c r="BA8" s="1183"/>
      <c r="BB8" s="1183"/>
      <c r="BC8" s="1183"/>
      <c r="BD8" s="1183"/>
      <c r="BE8" s="1183"/>
      <c r="BF8" s="1183"/>
      <c r="BG8" s="1184"/>
      <c r="BH8" s="1183"/>
      <c r="BI8" s="1183"/>
      <c r="BJ8" s="1183"/>
      <c r="BK8" s="1183"/>
      <c r="BL8" s="1183"/>
      <c r="BM8" s="1183"/>
      <c r="BN8" s="1183"/>
      <c r="BO8" s="1183"/>
      <c r="BP8" s="1183"/>
      <c r="BQ8" s="1183"/>
      <c r="BR8" s="1183"/>
      <c r="BS8" s="1183"/>
      <c r="BT8" s="1183"/>
      <c r="BU8" s="1144"/>
      <c r="BV8" s="1144"/>
      <c r="BW8" s="1144"/>
      <c r="BX8" s="1144"/>
      <c r="BY8" s="1144"/>
      <c r="BZ8" s="1144"/>
      <c r="CA8" s="1144"/>
      <c r="CB8" s="1144"/>
      <c r="CC8" s="1144"/>
    </row>
    <row r="9" spans="1:81" ht="9.75" customHeight="1" x14ac:dyDescent="0.2">
      <c r="A9" s="941"/>
      <c r="B9" s="941"/>
      <c r="C9" s="941"/>
      <c r="D9" s="941"/>
      <c r="E9" s="897"/>
      <c r="F9" s="897"/>
      <c r="G9" s="897"/>
      <c r="H9" s="941"/>
      <c r="I9" s="941"/>
      <c r="J9" s="941"/>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81"/>
      <c r="AJ9" s="941"/>
      <c r="AK9" s="941"/>
      <c r="AL9" s="941"/>
      <c r="AM9" s="981"/>
      <c r="AN9" s="941"/>
      <c r="AO9" s="981"/>
      <c r="AP9" s="941"/>
      <c r="AQ9" s="981"/>
      <c r="AR9" s="941"/>
      <c r="AS9" s="981"/>
      <c r="AT9" s="941"/>
      <c r="AU9" s="981"/>
      <c r="AV9" s="941"/>
      <c r="AW9" s="941"/>
      <c r="AX9" s="941"/>
      <c r="AY9" s="941"/>
      <c r="AZ9" s="941"/>
      <c r="BA9" s="940"/>
      <c r="BB9" s="940"/>
      <c r="BC9" s="940"/>
      <c r="BD9" s="940"/>
      <c r="BE9" s="940"/>
      <c r="BF9" s="940"/>
      <c r="BG9" s="941"/>
      <c r="BH9" s="940"/>
      <c r="BI9" s="940"/>
      <c r="BJ9" s="972"/>
      <c r="BK9" s="972"/>
      <c r="BL9" s="940"/>
      <c r="BM9" s="940"/>
      <c r="BN9" s="940"/>
      <c r="BO9" s="940"/>
      <c r="BP9" s="940"/>
      <c r="BQ9" s="940"/>
      <c r="BR9" s="1183"/>
      <c r="BS9" s="1183"/>
      <c r="BT9" s="1183"/>
      <c r="BU9" s="1144"/>
      <c r="BV9" s="1144"/>
      <c r="BW9" s="1144"/>
      <c r="BX9" s="1144"/>
      <c r="BY9" s="1144"/>
      <c r="BZ9" s="1145"/>
      <c r="CA9" s="1145"/>
      <c r="CB9" s="1145"/>
      <c r="CC9" s="1144"/>
    </row>
    <row r="10" spans="1:81" x14ac:dyDescent="0.2">
      <c r="A10" s="945" t="s">
        <v>1</v>
      </c>
      <c r="B10" s="946"/>
      <c r="C10" s="3073" t="s">
        <v>671</v>
      </c>
      <c r="D10" s="3074"/>
      <c r="E10" s="901"/>
      <c r="F10" s="2958"/>
      <c r="G10" s="902"/>
      <c r="H10" s="982"/>
      <c r="I10" s="982"/>
      <c r="J10" s="982"/>
      <c r="K10" s="984"/>
      <c r="L10" s="982"/>
      <c r="M10" s="982"/>
      <c r="N10" s="983"/>
      <c r="O10" s="982"/>
      <c r="P10" s="982"/>
      <c r="Q10" s="982"/>
      <c r="R10" s="983"/>
      <c r="S10" s="982"/>
      <c r="T10" s="982"/>
      <c r="U10" s="982"/>
      <c r="V10" s="983"/>
      <c r="W10" s="982"/>
      <c r="X10" s="982"/>
      <c r="Y10" s="982"/>
      <c r="Z10" s="983"/>
      <c r="AA10" s="982"/>
      <c r="AB10" s="982"/>
      <c r="AC10" s="982"/>
      <c r="AD10" s="983"/>
      <c r="AE10" s="982"/>
      <c r="AF10" s="982"/>
      <c r="AG10" s="982"/>
      <c r="AH10" s="983"/>
      <c r="AI10" s="984"/>
      <c r="AJ10" s="982"/>
      <c r="AK10" s="982"/>
      <c r="AL10" s="983"/>
      <c r="AM10" s="984"/>
      <c r="AN10" s="982"/>
      <c r="AO10" s="982"/>
      <c r="AP10" s="983"/>
      <c r="AQ10" s="941"/>
      <c r="AR10" s="982"/>
      <c r="AS10" s="941"/>
      <c r="AT10" s="983"/>
      <c r="AU10" s="982"/>
      <c r="AV10" s="941"/>
      <c r="AW10" s="982"/>
      <c r="AX10" s="983"/>
      <c r="AY10" s="982"/>
      <c r="AZ10" s="982"/>
      <c r="BA10" s="982"/>
      <c r="BB10" s="982"/>
      <c r="BC10" s="985"/>
      <c r="BD10" s="983"/>
      <c r="BE10" s="983"/>
      <c r="BF10" s="983"/>
      <c r="BG10" s="986"/>
      <c r="BH10" s="988" t="s">
        <v>660</v>
      </c>
      <c r="BI10" s="988"/>
      <c r="BJ10" s="988" t="s">
        <v>563</v>
      </c>
      <c r="BK10" s="989"/>
      <c r="BL10" s="990"/>
      <c r="BM10" s="991"/>
      <c r="BN10" s="991"/>
      <c r="BO10" s="991"/>
      <c r="BP10" s="991"/>
      <c r="BQ10" s="991"/>
      <c r="BR10" s="991"/>
      <c r="BS10" s="991"/>
      <c r="BT10" s="991"/>
      <c r="BU10" s="1992"/>
      <c r="BV10" s="1992"/>
      <c r="BW10" s="1992"/>
      <c r="BX10" s="1991"/>
      <c r="BY10" s="1991"/>
      <c r="BZ10" s="1992"/>
      <c r="CA10" s="1992"/>
      <c r="CB10" s="1992"/>
      <c r="CC10" s="1150"/>
    </row>
    <row r="11" spans="1:81" ht="13.5" x14ac:dyDescent="0.2">
      <c r="A11" s="945" t="s">
        <v>2</v>
      </c>
      <c r="B11" s="946"/>
      <c r="C11" s="3075" t="s">
        <v>38</v>
      </c>
      <c r="D11" s="3076"/>
      <c r="E11" s="906"/>
      <c r="F11" s="1993" t="s">
        <v>670</v>
      </c>
      <c r="G11" s="907" t="s">
        <v>558</v>
      </c>
      <c r="H11" s="992" t="s">
        <v>559</v>
      </c>
      <c r="I11" s="992" t="s">
        <v>560</v>
      </c>
      <c r="J11" s="992" t="s">
        <v>561</v>
      </c>
      <c r="K11" s="994" t="s">
        <v>508</v>
      </c>
      <c r="L11" s="992" t="s">
        <v>507</v>
      </c>
      <c r="M11" s="992" t="s">
        <v>506</v>
      </c>
      <c r="N11" s="993" t="s">
        <v>505</v>
      </c>
      <c r="O11" s="992" t="s">
        <v>382</v>
      </c>
      <c r="P11" s="992" t="s">
        <v>383</v>
      </c>
      <c r="Q11" s="992" t="s">
        <v>384</v>
      </c>
      <c r="R11" s="993" t="s">
        <v>385</v>
      </c>
      <c r="S11" s="992" t="s">
        <v>368</v>
      </c>
      <c r="T11" s="992" t="s">
        <v>367</v>
      </c>
      <c r="U11" s="992" t="s">
        <v>366</v>
      </c>
      <c r="V11" s="993" t="s">
        <v>364</v>
      </c>
      <c r="W11" s="992" t="s">
        <v>348</v>
      </c>
      <c r="X11" s="992" t="s">
        <v>349</v>
      </c>
      <c r="Y11" s="992" t="s">
        <v>350</v>
      </c>
      <c r="Z11" s="993" t="s">
        <v>351</v>
      </c>
      <c r="AA11" s="992" t="s">
        <v>315</v>
      </c>
      <c r="AB11" s="992" t="s">
        <v>314</v>
      </c>
      <c r="AC11" s="992" t="s">
        <v>313</v>
      </c>
      <c r="AD11" s="993" t="s">
        <v>311</v>
      </c>
      <c r="AE11" s="992" t="s">
        <v>270</v>
      </c>
      <c r="AF11" s="992" t="s">
        <v>271</v>
      </c>
      <c r="AG11" s="992" t="s">
        <v>272</v>
      </c>
      <c r="AH11" s="993" t="s">
        <v>273</v>
      </c>
      <c r="AI11" s="994" t="s">
        <v>223</v>
      </c>
      <c r="AJ11" s="992" t="s">
        <v>224</v>
      </c>
      <c r="AK11" s="992" t="s">
        <v>225</v>
      </c>
      <c r="AL11" s="993" t="s">
        <v>222</v>
      </c>
      <c r="AM11" s="994" t="s">
        <v>189</v>
      </c>
      <c r="AN11" s="992" t="s">
        <v>190</v>
      </c>
      <c r="AO11" s="992" t="s">
        <v>191</v>
      </c>
      <c r="AP11" s="993" t="s">
        <v>192</v>
      </c>
      <c r="AQ11" s="992" t="s">
        <v>121</v>
      </c>
      <c r="AR11" s="992" t="s">
        <v>120</v>
      </c>
      <c r="AS11" s="992" t="s">
        <v>119</v>
      </c>
      <c r="AT11" s="993" t="s">
        <v>118</v>
      </c>
      <c r="AU11" s="992" t="s">
        <v>81</v>
      </c>
      <c r="AV11" s="992" t="s">
        <v>82</v>
      </c>
      <c r="AW11" s="992" t="s">
        <v>83</v>
      </c>
      <c r="AX11" s="993" t="s">
        <v>29</v>
      </c>
      <c r="AY11" s="992" t="s">
        <v>30</v>
      </c>
      <c r="AZ11" s="992" t="s">
        <v>31</v>
      </c>
      <c r="BA11" s="992" t="s">
        <v>32</v>
      </c>
      <c r="BB11" s="992" t="s">
        <v>33</v>
      </c>
      <c r="BC11" s="995" t="s">
        <v>34</v>
      </c>
      <c r="BD11" s="993" t="s">
        <v>35</v>
      </c>
      <c r="BE11" s="993" t="s">
        <v>36</v>
      </c>
      <c r="BF11" s="993" t="s">
        <v>37</v>
      </c>
      <c r="BG11" s="996"/>
      <c r="BH11" s="992" t="s">
        <v>558</v>
      </c>
      <c r="BI11" s="992" t="s">
        <v>508</v>
      </c>
      <c r="BJ11" s="3194" t="s">
        <v>38</v>
      </c>
      <c r="BK11" s="3076"/>
      <c r="BL11" s="997"/>
      <c r="BM11" s="994" t="s">
        <v>562</v>
      </c>
      <c r="BN11" s="994" t="s">
        <v>509</v>
      </c>
      <c r="BO11" s="994" t="s">
        <v>502</v>
      </c>
      <c r="BP11" s="994" t="s">
        <v>379</v>
      </c>
      <c r="BQ11" s="994" t="s">
        <v>360</v>
      </c>
      <c r="BR11" s="994" t="s">
        <v>317</v>
      </c>
      <c r="BS11" s="994" t="s">
        <v>275</v>
      </c>
      <c r="BT11" s="994" t="s">
        <v>227</v>
      </c>
      <c r="BU11" s="1948" t="s">
        <v>123</v>
      </c>
      <c r="BV11" s="1948" t="s">
        <v>122</v>
      </c>
      <c r="BW11" s="1948" t="s">
        <v>42</v>
      </c>
      <c r="BX11" s="1993" t="s">
        <v>39</v>
      </c>
      <c r="BY11" s="1993" t="s">
        <v>40</v>
      </c>
      <c r="BZ11" s="1993" t="s">
        <v>142</v>
      </c>
      <c r="CA11" s="1993" t="s">
        <v>143</v>
      </c>
      <c r="CB11" s="1993" t="s">
        <v>144</v>
      </c>
      <c r="CC11" s="1150"/>
    </row>
    <row r="12" spans="1:81" x14ac:dyDescent="0.2">
      <c r="A12" s="945"/>
      <c r="B12" s="946"/>
      <c r="C12" s="1984"/>
      <c r="D12" s="1187"/>
      <c r="E12" s="906"/>
      <c r="F12" s="1997"/>
      <c r="G12" s="1151"/>
      <c r="H12" s="1224"/>
      <c r="I12" s="1224"/>
      <c r="J12" s="1224"/>
      <c r="K12" s="1226"/>
      <c r="L12" s="1224"/>
      <c r="M12" s="1224"/>
      <c r="N12" s="1225"/>
      <c r="O12" s="1224"/>
      <c r="P12" s="1224"/>
      <c r="Q12" s="1224"/>
      <c r="R12" s="1225"/>
      <c r="S12" s="1224"/>
      <c r="T12" s="1224"/>
      <c r="U12" s="1224"/>
      <c r="V12" s="1225"/>
      <c r="W12" s="1224"/>
      <c r="X12" s="1224"/>
      <c r="Y12" s="1224"/>
      <c r="Z12" s="1225"/>
      <c r="AA12" s="1224"/>
      <c r="AB12" s="1224"/>
      <c r="AC12" s="1224"/>
      <c r="AD12" s="1225"/>
      <c r="AE12" s="1224"/>
      <c r="AF12" s="1224"/>
      <c r="AG12" s="1224"/>
      <c r="AH12" s="1225"/>
      <c r="AI12" s="1226"/>
      <c r="AJ12" s="1224"/>
      <c r="AK12" s="1224"/>
      <c r="AL12" s="1225"/>
      <c r="AM12" s="1226"/>
      <c r="AN12" s="1224"/>
      <c r="AO12" s="1224"/>
      <c r="AP12" s="1225"/>
      <c r="AQ12" s="1226"/>
      <c r="AR12" s="1224"/>
      <c r="AS12" s="1225"/>
      <c r="AT12" s="1225"/>
      <c r="AU12" s="990"/>
      <c r="AV12" s="990"/>
      <c r="AW12" s="990"/>
      <c r="AX12" s="1227"/>
      <c r="AY12" s="990"/>
      <c r="AZ12" s="990"/>
      <c r="BA12" s="990"/>
      <c r="BB12" s="990"/>
      <c r="BC12" s="996"/>
      <c r="BD12" s="1227"/>
      <c r="BE12" s="1227"/>
      <c r="BF12" s="1227"/>
      <c r="BG12" s="996"/>
      <c r="BH12" s="1224"/>
      <c r="BI12" s="1224"/>
      <c r="BJ12" s="982"/>
      <c r="BK12" s="983"/>
      <c r="BL12" s="997"/>
      <c r="BM12" s="1226"/>
      <c r="BN12" s="1226"/>
      <c r="BO12" s="1226"/>
      <c r="BP12" s="1226"/>
      <c r="BQ12" s="1226"/>
      <c r="BR12" s="1226"/>
      <c r="BS12" s="1226"/>
      <c r="BT12" s="1226"/>
      <c r="BU12" s="1997"/>
      <c r="BV12" s="2027" t="s">
        <v>241</v>
      </c>
      <c r="BW12" s="2027" t="s">
        <v>241</v>
      </c>
      <c r="BX12" s="2028" t="s">
        <v>241</v>
      </c>
      <c r="BY12" s="2028" t="s">
        <v>241</v>
      </c>
      <c r="BZ12" s="901"/>
      <c r="CA12" s="901"/>
      <c r="CB12" s="901"/>
      <c r="CC12" s="1150"/>
    </row>
    <row r="13" spans="1:81" ht="12.75" customHeight="1" x14ac:dyDescent="0.2">
      <c r="A13" s="947" t="s">
        <v>59</v>
      </c>
      <c r="B13" s="948"/>
      <c r="C13" s="2438"/>
      <c r="D13" s="1059"/>
      <c r="E13" s="921"/>
      <c r="F13" s="921"/>
      <c r="G13" s="900"/>
      <c r="H13" s="946"/>
      <c r="I13" s="946"/>
      <c r="J13" s="946"/>
      <c r="K13" s="2438"/>
      <c r="L13" s="946"/>
      <c r="M13" s="946"/>
      <c r="N13" s="1059"/>
      <c r="O13" s="946"/>
      <c r="P13" s="946"/>
      <c r="Q13" s="946"/>
      <c r="R13" s="1059"/>
      <c r="S13" s="946"/>
      <c r="T13" s="946"/>
      <c r="U13" s="946"/>
      <c r="V13" s="1059"/>
      <c r="W13" s="946"/>
      <c r="X13" s="946"/>
      <c r="Y13" s="946"/>
      <c r="Z13" s="1059"/>
      <c r="AA13" s="946"/>
      <c r="AB13" s="946"/>
      <c r="AC13" s="946"/>
      <c r="AD13" s="1059"/>
      <c r="AE13" s="946"/>
      <c r="AF13" s="946"/>
      <c r="AG13" s="946"/>
      <c r="AH13" s="1059"/>
      <c r="AI13" s="946"/>
      <c r="AJ13" s="946"/>
      <c r="AK13" s="946"/>
      <c r="AL13" s="1059"/>
      <c r="AM13" s="946"/>
      <c r="AN13" s="946"/>
      <c r="AO13" s="946"/>
      <c r="AP13" s="1059"/>
      <c r="AQ13" s="946"/>
      <c r="AR13" s="946"/>
      <c r="AS13" s="1059"/>
      <c r="AT13" s="1059"/>
      <c r="AU13" s="946"/>
      <c r="AV13" s="946"/>
      <c r="AW13" s="946"/>
      <c r="AX13" s="1059"/>
      <c r="AY13" s="946"/>
      <c r="AZ13" s="946"/>
      <c r="BA13" s="946"/>
      <c r="BB13" s="940"/>
      <c r="BC13" s="986"/>
      <c r="BD13" s="950"/>
      <c r="BE13" s="950"/>
      <c r="BF13" s="941"/>
      <c r="BG13" s="1034"/>
      <c r="BH13" s="946"/>
      <c r="BI13" s="946"/>
      <c r="BJ13" s="946"/>
      <c r="BK13" s="1059"/>
      <c r="BL13" s="1201"/>
      <c r="BM13" s="1034"/>
      <c r="BN13" s="1034"/>
      <c r="BO13" s="1034"/>
      <c r="BP13" s="1034"/>
      <c r="BQ13" s="1034"/>
      <c r="BR13" s="1229"/>
      <c r="BS13" s="1229"/>
      <c r="BT13" s="1229"/>
      <c r="BU13" s="1152"/>
      <c r="BV13" s="1152"/>
      <c r="BW13" s="1152"/>
      <c r="BX13" s="1152"/>
      <c r="BY13" s="2053"/>
      <c r="BZ13" s="2162"/>
      <c r="CA13" s="2162"/>
      <c r="CB13" s="2162"/>
      <c r="CC13" s="1150"/>
    </row>
    <row r="14" spans="1:81" ht="12.75" customHeight="1" x14ac:dyDescent="0.2">
      <c r="A14" s="946"/>
      <c r="B14" s="954" t="s">
        <v>84</v>
      </c>
      <c r="C14" s="957">
        <v>369</v>
      </c>
      <c r="D14" s="1035">
        <v>6.8651162790697676E-2</v>
      </c>
      <c r="E14" s="920"/>
      <c r="F14" s="1930">
        <v>5744</v>
      </c>
      <c r="G14" s="1230">
        <v>7631</v>
      </c>
      <c r="H14" s="1262">
        <v>6248</v>
      </c>
      <c r="I14" s="1262">
        <v>5176</v>
      </c>
      <c r="J14" s="1262">
        <v>5375</v>
      </c>
      <c r="K14" s="1370">
        <v>5015</v>
      </c>
      <c r="L14" s="1205">
        <v>3866</v>
      </c>
      <c r="M14" s="1205">
        <v>3104</v>
      </c>
      <c r="N14" s="1231">
        <v>3071</v>
      </c>
      <c r="O14" s="1370">
        <v>4803</v>
      </c>
      <c r="P14" s="1205">
        <v>3472</v>
      </c>
      <c r="Q14" s="1230">
        <v>2907</v>
      </c>
      <c r="R14" s="1231">
        <v>2862</v>
      </c>
      <c r="S14" s="1250">
        <v>1899</v>
      </c>
      <c r="T14" s="1252">
        <v>-964</v>
      </c>
      <c r="U14" s="1250">
        <v>3897</v>
      </c>
      <c r="V14" s="1231">
        <v>4136</v>
      </c>
      <c r="W14" s="1250">
        <v>4335</v>
      </c>
      <c r="X14" s="1250">
        <v>4373</v>
      </c>
      <c r="Y14" s="1250">
        <v>4233</v>
      </c>
      <c r="Z14" s="1231">
        <v>3827</v>
      </c>
      <c r="AA14" s="1250">
        <v>1853</v>
      </c>
      <c r="AB14" s="1250">
        <v>4988</v>
      </c>
      <c r="AC14" s="1250">
        <v>6372</v>
      </c>
      <c r="AD14" s="1231">
        <v>2205</v>
      </c>
      <c r="AE14" s="1250">
        <v>5045</v>
      </c>
      <c r="AF14" s="1250">
        <v>4535</v>
      </c>
      <c r="AG14" s="1250">
        <v>10003</v>
      </c>
      <c r="AH14" s="1231">
        <v>4894</v>
      </c>
      <c r="AI14" s="1230">
        <v>10101</v>
      </c>
      <c r="AJ14" s="1250">
        <v>9737</v>
      </c>
      <c r="AK14" s="1250">
        <v>2636</v>
      </c>
      <c r="AL14" s="1231">
        <v>7623</v>
      </c>
      <c r="AM14" s="1230">
        <v>11120</v>
      </c>
      <c r="AN14" s="1250">
        <v>8477</v>
      </c>
      <c r="AO14" s="1230">
        <v>7783</v>
      </c>
      <c r="AP14" s="1231">
        <v>4558</v>
      </c>
      <c r="AQ14" s="1230">
        <v>4647</v>
      </c>
      <c r="AR14" s="1250">
        <v>5374</v>
      </c>
      <c r="AS14" s="1258">
        <v>5131</v>
      </c>
      <c r="AT14" s="1231">
        <v>11781</v>
      </c>
      <c r="AU14" s="1230">
        <v>4769</v>
      </c>
      <c r="AV14" s="1250">
        <v>4406</v>
      </c>
      <c r="AW14" s="1250">
        <v>8649</v>
      </c>
      <c r="AX14" s="1231">
        <v>10062</v>
      </c>
      <c r="AY14" s="1007">
        <v>11018</v>
      </c>
      <c r="AZ14" s="1308">
        <v>12605</v>
      </c>
      <c r="BA14" s="1308">
        <v>12383</v>
      </c>
      <c r="BB14" s="1260">
        <v>14764</v>
      </c>
      <c r="BC14" s="1261">
        <v>10416</v>
      </c>
      <c r="BD14" s="1260">
        <v>8017</v>
      </c>
      <c r="BE14" s="1260">
        <v>6975</v>
      </c>
      <c r="BF14" s="1007">
        <v>8665</v>
      </c>
      <c r="BG14" s="1034"/>
      <c r="BH14" s="1262">
        <v>24430</v>
      </c>
      <c r="BI14" s="1262">
        <v>15056</v>
      </c>
      <c r="BJ14" s="1006">
        <v>9374</v>
      </c>
      <c r="BK14" s="1035">
        <v>0.62260892667375134</v>
      </c>
      <c r="BL14" s="1201"/>
      <c r="BM14" s="1367">
        <v>24430</v>
      </c>
      <c r="BN14" s="1367">
        <v>15056</v>
      </c>
      <c r="BO14" s="1367">
        <v>14044</v>
      </c>
      <c r="BP14" s="1367">
        <v>8968</v>
      </c>
      <c r="BQ14" s="1367">
        <v>16768</v>
      </c>
      <c r="BR14" s="1367">
        <v>15418</v>
      </c>
      <c r="BS14" s="1367">
        <v>24477</v>
      </c>
      <c r="BT14" s="1367">
        <v>30097</v>
      </c>
      <c r="BU14" s="1317">
        <v>31938</v>
      </c>
      <c r="BV14" s="1317">
        <v>26933</v>
      </c>
      <c r="BW14" s="1317">
        <v>27886</v>
      </c>
      <c r="BX14" s="1317">
        <v>50770</v>
      </c>
      <c r="BY14" s="1317">
        <v>34578</v>
      </c>
      <c r="BZ14" s="2008">
        <v>24555</v>
      </c>
      <c r="CA14" s="2008">
        <v>14948</v>
      </c>
      <c r="CB14" s="2008">
        <v>14416</v>
      </c>
      <c r="CC14" s="1145"/>
    </row>
    <row r="15" spans="1:81" ht="12.75" hidden="1" customHeight="1" x14ac:dyDescent="0.2">
      <c r="A15" s="946"/>
      <c r="B15" s="954" t="s">
        <v>154</v>
      </c>
      <c r="C15" s="957">
        <v>0</v>
      </c>
      <c r="D15" s="1035" t="e">
        <v>#DIV/0!</v>
      </c>
      <c r="E15" s="920"/>
      <c r="F15" s="1930"/>
      <c r="G15" s="1230"/>
      <c r="H15" s="1208"/>
      <c r="I15" s="1208"/>
      <c r="J15" s="1208"/>
      <c r="K15" s="1370"/>
      <c r="L15" s="1205"/>
      <c r="M15" s="1205"/>
      <c r="N15" s="1231"/>
      <c r="O15" s="1230"/>
      <c r="P15" s="1205"/>
      <c r="Q15" s="1230"/>
      <c r="R15" s="1231"/>
      <c r="S15" s="1230"/>
      <c r="T15" s="1205"/>
      <c r="U15" s="1230"/>
      <c r="V15" s="1231"/>
      <c r="W15" s="1230"/>
      <c r="X15" s="1230"/>
      <c r="Y15" s="1230"/>
      <c r="Z15" s="1231"/>
      <c r="AA15" s="1230"/>
      <c r="AB15" s="1230"/>
      <c r="AC15" s="1230"/>
      <c r="AD15" s="1231"/>
      <c r="AE15" s="1230"/>
      <c r="AF15" s="1230"/>
      <c r="AG15" s="1230"/>
      <c r="AH15" s="1231"/>
      <c r="AI15" s="1230"/>
      <c r="AJ15" s="1230"/>
      <c r="AK15" s="1230"/>
      <c r="AL15" s="1231"/>
      <c r="AM15" s="1230"/>
      <c r="AN15" s="1230"/>
      <c r="AO15" s="1230"/>
      <c r="AP15" s="1231"/>
      <c r="AQ15" s="1230"/>
      <c r="AR15" s="1230"/>
      <c r="AS15" s="1258"/>
      <c r="AT15" s="1231"/>
      <c r="AU15" s="1230">
        <v>10</v>
      </c>
      <c r="AV15" s="1230">
        <v>53</v>
      </c>
      <c r="AW15" s="1230">
        <v>25</v>
      </c>
      <c r="AX15" s="1231">
        <v>20</v>
      </c>
      <c r="AY15" s="1270">
        <v>27</v>
      </c>
      <c r="AZ15" s="1270">
        <v>28</v>
      </c>
      <c r="BA15" s="1270">
        <v>83</v>
      </c>
      <c r="BB15" s="1236">
        <v>48</v>
      </c>
      <c r="BC15" s="1234">
        <v>81</v>
      </c>
      <c r="BD15" s="1233">
        <v>38</v>
      </c>
      <c r="BE15" s="1233">
        <v>397</v>
      </c>
      <c r="BF15" s="1236">
        <v>70</v>
      </c>
      <c r="BG15" s="1229"/>
      <c r="BH15" s="1208"/>
      <c r="BI15" s="1208"/>
      <c r="BJ15" s="1006">
        <v>0</v>
      </c>
      <c r="BK15" s="1035" t="e">
        <v>#DIV/0!</v>
      </c>
      <c r="BL15" s="1193"/>
      <c r="BM15" s="1367"/>
      <c r="BN15" s="1367"/>
      <c r="BO15" s="1367"/>
      <c r="BP15" s="1367"/>
      <c r="BQ15" s="1367"/>
      <c r="BR15" s="1367"/>
      <c r="BS15" s="1367"/>
      <c r="BT15" s="1367"/>
      <c r="BU15" s="1317">
        <v>0</v>
      </c>
      <c r="BV15" s="1317"/>
      <c r="BW15" s="1317">
        <v>108</v>
      </c>
      <c r="BX15" s="1317">
        <v>186</v>
      </c>
      <c r="BY15" s="1317">
        <v>586</v>
      </c>
      <c r="BZ15" s="2008">
        <v>75</v>
      </c>
      <c r="CA15" s="2185">
        <v>0</v>
      </c>
      <c r="CB15" s="2185">
        <v>0</v>
      </c>
      <c r="CC15" s="1145"/>
    </row>
    <row r="16" spans="1:81" ht="12.75" customHeight="1" x14ac:dyDescent="0.2">
      <c r="A16" s="948"/>
      <c r="B16" s="946"/>
      <c r="C16" s="1189">
        <v>369</v>
      </c>
      <c r="D16" s="1190">
        <v>6.8651162790697676E-2</v>
      </c>
      <c r="E16" s="920"/>
      <c r="F16" s="1268">
        <v>5744</v>
      </c>
      <c r="G16" s="1276">
        <v>7631</v>
      </c>
      <c r="H16" s="1276">
        <v>6248</v>
      </c>
      <c r="I16" s="1276">
        <v>5176</v>
      </c>
      <c r="J16" s="1266">
        <v>5375</v>
      </c>
      <c r="K16" s="1195">
        <v>5015</v>
      </c>
      <c r="L16" s="1276">
        <v>3866</v>
      </c>
      <c r="M16" s="1276">
        <v>3104</v>
      </c>
      <c r="N16" s="1240">
        <v>3071</v>
      </c>
      <c r="O16" s="1195">
        <v>4803</v>
      </c>
      <c r="P16" s="1276">
        <v>3472</v>
      </c>
      <c r="Q16" s="1266">
        <v>2907</v>
      </c>
      <c r="R16" s="1240">
        <v>2862</v>
      </c>
      <c r="S16" s="1304">
        <v>1899</v>
      </c>
      <c r="T16" s="1304">
        <v>-964</v>
      </c>
      <c r="U16" s="1459">
        <v>3897</v>
      </c>
      <c r="V16" s="1240">
        <v>4136</v>
      </c>
      <c r="W16" s="1459">
        <v>4335</v>
      </c>
      <c r="X16" s="1459">
        <v>4373</v>
      </c>
      <c r="Y16" s="1459">
        <v>4233</v>
      </c>
      <c r="Z16" s="1240">
        <v>3827</v>
      </c>
      <c r="AA16" s="1459">
        <v>1853</v>
      </c>
      <c r="AB16" s="1459">
        <v>4988</v>
      </c>
      <c r="AC16" s="1459">
        <v>6372</v>
      </c>
      <c r="AD16" s="1240">
        <v>2205</v>
      </c>
      <c r="AE16" s="1459">
        <v>5045</v>
      </c>
      <c r="AF16" s="1459">
        <v>4535</v>
      </c>
      <c r="AG16" s="1459">
        <v>10003</v>
      </c>
      <c r="AH16" s="1240">
        <v>4894</v>
      </c>
      <c r="AI16" s="1266">
        <v>10101</v>
      </c>
      <c r="AJ16" s="1459">
        <v>9737</v>
      </c>
      <c r="AK16" s="1459">
        <v>2636</v>
      </c>
      <c r="AL16" s="1240">
        <v>7623</v>
      </c>
      <c r="AM16" s="1266">
        <v>11120</v>
      </c>
      <c r="AN16" s="1459">
        <v>8477</v>
      </c>
      <c r="AO16" s="1266">
        <v>7783</v>
      </c>
      <c r="AP16" s="1240">
        <v>4558</v>
      </c>
      <c r="AQ16" s="1266">
        <v>4647</v>
      </c>
      <c r="AR16" s="1459">
        <v>5374</v>
      </c>
      <c r="AS16" s="1240">
        <v>5131</v>
      </c>
      <c r="AT16" s="1240">
        <v>11781</v>
      </c>
      <c r="AU16" s="1266">
        <v>4769</v>
      </c>
      <c r="AV16" s="1459">
        <v>4406</v>
      </c>
      <c r="AW16" s="1459">
        <v>8649</v>
      </c>
      <c r="AX16" s="1266">
        <v>10062</v>
      </c>
      <c r="AY16" s="1384">
        <v>11018</v>
      </c>
      <c r="AZ16" s="1459">
        <v>12605</v>
      </c>
      <c r="BA16" s="1459">
        <v>12383</v>
      </c>
      <c r="BB16" s="1266">
        <v>14764</v>
      </c>
      <c r="BC16" s="1384">
        <v>10416</v>
      </c>
      <c r="BD16" s="1240">
        <v>8055</v>
      </c>
      <c r="BE16" s="1240">
        <v>7372</v>
      </c>
      <c r="BF16" s="1266">
        <v>8735</v>
      </c>
      <c r="BG16" s="1237"/>
      <c r="BH16" s="1266">
        <v>24430</v>
      </c>
      <c r="BI16" s="1266">
        <v>15056</v>
      </c>
      <c r="BJ16" s="1385">
        <v>9374</v>
      </c>
      <c r="BK16" s="1190">
        <v>0.62260892667375134</v>
      </c>
      <c r="BL16" s="1201"/>
      <c r="BM16" s="1386">
        <v>24430</v>
      </c>
      <c r="BN16" s="1384">
        <v>15056</v>
      </c>
      <c r="BO16" s="1384">
        <v>14044</v>
      </c>
      <c r="BP16" s="1384">
        <v>8968</v>
      </c>
      <c r="BQ16" s="1384">
        <v>16768</v>
      </c>
      <c r="BR16" s="1384">
        <v>15418</v>
      </c>
      <c r="BS16" s="1384">
        <v>24477</v>
      </c>
      <c r="BT16" s="1384">
        <v>30097</v>
      </c>
      <c r="BU16" s="2030">
        <v>31938</v>
      </c>
      <c r="BV16" s="2030">
        <v>26933</v>
      </c>
      <c r="BW16" s="2030">
        <v>27886</v>
      </c>
      <c r="BX16" s="2005">
        <v>50770</v>
      </c>
      <c r="BY16" s="2005">
        <v>34578</v>
      </c>
      <c r="BZ16" s="2005">
        <v>24555</v>
      </c>
      <c r="CA16" s="2005">
        <v>14948</v>
      </c>
      <c r="CB16" s="2011">
        <v>4749</v>
      </c>
      <c r="CC16" s="1150"/>
    </row>
    <row r="17" spans="1:81" ht="12.75" customHeight="1" x14ac:dyDescent="0.2">
      <c r="A17" s="947" t="s">
        <v>5</v>
      </c>
      <c r="B17" s="946"/>
      <c r="C17" s="1341"/>
      <c r="D17" s="1210"/>
      <c r="E17" s="920"/>
      <c r="F17" s="2222"/>
      <c r="G17" s="2967"/>
      <c r="H17" s="2909"/>
      <c r="I17" s="2909"/>
      <c r="J17" s="1382"/>
      <c r="K17" s="1370"/>
      <c r="L17" s="1230"/>
      <c r="M17" s="1230"/>
      <c r="N17" s="1231"/>
      <c r="O17" s="1230"/>
      <c r="P17" s="1230"/>
      <c r="Q17" s="1230"/>
      <c r="R17" s="1231"/>
      <c r="S17" s="1230"/>
      <c r="T17" s="1230"/>
      <c r="U17" s="1230"/>
      <c r="V17" s="1231"/>
      <c r="W17" s="1230"/>
      <c r="X17" s="1230"/>
      <c r="Y17" s="1230"/>
      <c r="Z17" s="1231"/>
      <c r="AA17" s="1230"/>
      <c r="AB17" s="1230"/>
      <c r="AC17" s="1230"/>
      <c r="AD17" s="1231"/>
      <c r="AE17" s="1230"/>
      <c r="AF17" s="1230"/>
      <c r="AG17" s="1230"/>
      <c r="AH17" s="1231"/>
      <c r="AI17" s="1230"/>
      <c r="AJ17" s="1230"/>
      <c r="AK17" s="1230"/>
      <c r="AL17" s="1231"/>
      <c r="AM17" s="1230"/>
      <c r="AN17" s="1230"/>
      <c r="AO17" s="1230"/>
      <c r="AP17" s="1231"/>
      <c r="AQ17" s="1230"/>
      <c r="AR17" s="1230"/>
      <c r="AS17" s="1258"/>
      <c r="AT17" s="1231"/>
      <c r="AU17" s="1230"/>
      <c r="AV17" s="1230"/>
      <c r="AW17" s="1230"/>
      <c r="AX17" s="1231"/>
      <c r="AY17" s="1270"/>
      <c r="AZ17" s="1270"/>
      <c r="BA17" s="1270"/>
      <c r="BB17" s="1270"/>
      <c r="BC17" s="1237"/>
      <c r="BD17" s="1231"/>
      <c r="BE17" s="1231"/>
      <c r="BF17" s="1270"/>
      <c r="BG17" s="1034"/>
      <c r="BH17" s="946"/>
      <c r="BI17" s="946"/>
      <c r="BJ17" s="1006"/>
      <c r="BK17" s="1035"/>
      <c r="BL17" s="1201"/>
      <c r="BM17" s="2549"/>
      <c r="BN17" s="2549"/>
      <c r="BO17" s="2549"/>
      <c r="BP17" s="1869"/>
      <c r="BQ17" s="1869"/>
      <c r="BR17" s="1869"/>
      <c r="BS17" s="1869"/>
      <c r="BT17" s="1869"/>
      <c r="BU17" s="2186"/>
      <c r="BV17" s="2186"/>
      <c r="BW17" s="2186"/>
      <c r="BX17" s="1317"/>
      <c r="BY17" s="1317"/>
      <c r="BZ17" s="2008"/>
      <c r="CA17" s="2008"/>
      <c r="CB17" s="2008"/>
      <c r="CC17" s="1145"/>
    </row>
    <row r="18" spans="1:81" ht="12.75" hidden="1" customHeight="1" x14ac:dyDescent="0.2">
      <c r="A18" s="947"/>
      <c r="B18" s="946" t="s">
        <v>292</v>
      </c>
      <c r="C18" s="957">
        <v>401</v>
      </c>
      <c r="D18" s="1035">
        <v>0.18022471910112359</v>
      </c>
      <c r="E18" s="920"/>
      <c r="F18" s="2015">
        <v>2626</v>
      </c>
      <c r="G18" s="1159">
        <v>6033</v>
      </c>
      <c r="H18" s="1230">
        <v>4125</v>
      </c>
      <c r="I18" s="1230">
        <v>3625</v>
      </c>
      <c r="J18" s="1245">
        <v>2225</v>
      </c>
      <c r="K18" s="1396">
        <v>2853</v>
      </c>
      <c r="L18" s="1230">
        <v>2375</v>
      </c>
      <c r="M18" s="1230">
        <v>1625</v>
      </c>
      <c r="N18" s="1245">
        <v>1626</v>
      </c>
      <c r="O18" s="1230">
        <v>1625</v>
      </c>
      <c r="P18" s="1230">
        <v>3589</v>
      </c>
      <c r="Q18" s="1205">
        <v>2172</v>
      </c>
      <c r="R18" s="1245">
        <v>1332</v>
      </c>
      <c r="S18" s="1230">
        <v>2142</v>
      </c>
      <c r="T18" s="1230">
        <v>126</v>
      </c>
      <c r="U18" s="1205">
        <v>1764</v>
      </c>
      <c r="V18" s="1245">
        <v>1385</v>
      </c>
      <c r="W18" s="1230">
        <v>3930</v>
      </c>
      <c r="X18" s="1230">
        <v>31</v>
      </c>
      <c r="Y18" s="1205">
        <v>3085</v>
      </c>
      <c r="Z18" s="1245">
        <v>1255</v>
      </c>
      <c r="AA18" s="1230">
        <v>4212</v>
      </c>
      <c r="AB18" s="1230">
        <v>3195</v>
      </c>
      <c r="AC18" s="1205">
        <v>866</v>
      </c>
      <c r="AD18" s="1245">
        <v>776</v>
      </c>
      <c r="AE18" s="1205">
        <v>2137</v>
      </c>
      <c r="AF18" s="1205">
        <v>2260</v>
      </c>
      <c r="AG18" s="1205">
        <v>97</v>
      </c>
      <c r="AH18" s="1245">
        <v>219</v>
      </c>
      <c r="AI18" s="1205">
        <v>2591</v>
      </c>
      <c r="AJ18" s="1205">
        <v>1870</v>
      </c>
      <c r="AK18" s="1205">
        <v>10</v>
      </c>
      <c r="AL18" s="1245">
        <v>2877</v>
      </c>
      <c r="AM18" s="1205">
        <v>8396</v>
      </c>
      <c r="AN18" s="1205">
        <v>9070</v>
      </c>
      <c r="AO18" s="1205">
        <v>2498</v>
      </c>
      <c r="AP18" s="1245"/>
      <c r="AQ18" s="1205"/>
      <c r="AR18" s="1205"/>
      <c r="AS18" s="1409"/>
      <c r="AT18" s="1245"/>
      <c r="AU18" s="1205"/>
      <c r="AV18" s="1205"/>
      <c r="AW18" s="1205"/>
      <c r="AX18" s="1245"/>
      <c r="AY18" s="1269"/>
      <c r="AZ18" s="1269"/>
      <c r="BA18" s="1269"/>
      <c r="BB18" s="1269"/>
      <c r="BC18" s="1265"/>
      <c r="BD18" s="1245"/>
      <c r="BE18" s="1245"/>
      <c r="BF18" s="1269"/>
      <c r="BG18" s="1265"/>
      <c r="BH18" s="1269">
        <v>16008</v>
      </c>
      <c r="BI18" s="1269">
        <v>8479</v>
      </c>
      <c r="BJ18" s="1269">
        <v>7529</v>
      </c>
      <c r="BK18" s="1035">
        <v>0.88795848567047997</v>
      </c>
      <c r="BL18" s="1201"/>
      <c r="BM18" s="1367">
        <v>16008</v>
      </c>
      <c r="BN18" s="1367">
        <v>8479</v>
      </c>
      <c r="BO18" s="1367">
        <v>8718</v>
      </c>
      <c r="BP18" s="1367">
        <v>5417</v>
      </c>
      <c r="BQ18" s="1367">
        <v>8301</v>
      </c>
      <c r="BR18" s="1367">
        <v>9049</v>
      </c>
      <c r="BS18" s="1367">
        <v>4713</v>
      </c>
      <c r="BT18" s="1234">
        <v>7348</v>
      </c>
      <c r="BU18" s="2001">
        <v>23083</v>
      </c>
      <c r="BV18" s="2001">
        <v>12870</v>
      </c>
      <c r="BW18" s="2001">
        <v>5114</v>
      </c>
      <c r="BX18" s="1317">
        <v>12561</v>
      </c>
      <c r="BY18" s="1317"/>
      <c r="BZ18" s="2008"/>
      <c r="CA18" s="2008"/>
      <c r="CB18" s="2008"/>
      <c r="CC18" s="1145"/>
    </row>
    <row r="19" spans="1:81" ht="12.75" hidden="1" customHeight="1" x14ac:dyDescent="0.2">
      <c r="A19" s="947"/>
      <c r="B19" s="946" t="s">
        <v>293</v>
      </c>
      <c r="C19" s="1191">
        <v>1164</v>
      </c>
      <c r="D19" s="1192" t="s">
        <v>41</v>
      </c>
      <c r="E19" s="920"/>
      <c r="F19" s="2017">
        <v>1426</v>
      </c>
      <c r="G19" s="1162">
        <v>821</v>
      </c>
      <c r="H19" s="1250">
        <v>1024</v>
      </c>
      <c r="I19" s="1250">
        <v>1265</v>
      </c>
      <c r="J19" s="1253">
        <v>262</v>
      </c>
      <c r="K19" s="1429">
        <v>409</v>
      </c>
      <c r="L19" s="1250">
        <v>1474</v>
      </c>
      <c r="M19" s="1250">
        <v>92</v>
      </c>
      <c r="N19" s="1253">
        <v>1017</v>
      </c>
      <c r="O19" s="1252">
        <v>-668</v>
      </c>
      <c r="P19" s="1250">
        <v>1340</v>
      </c>
      <c r="Q19" s="1252">
        <v>643</v>
      </c>
      <c r="R19" s="1253">
        <v>281</v>
      </c>
      <c r="S19" s="1250">
        <v>1776</v>
      </c>
      <c r="T19" s="1250">
        <v>1221</v>
      </c>
      <c r="U19" s="1252">
        <v>-203</v>
      </c>
      <c r="V19" s="1253">
        <v>324</v>
      </c>
      <c r="W19" s="1250">
        <v>506</v>
      </c>
      <c r="X19" s="1250">
        <v>751</v>
      </c>
      <c r="Y19" s="1252">
        <v>1247</v>
      </c>
      <c r="Z19" s="1253">
        <v>939</v>
      </c>
      <c r="AA19" s="1250">
        <v>334</v>
      </c>
      <c r="AB19" s="1250">
        <v>140</v>
      </c>
      <c r="AC19" s="1252">
        <v>269</v>
      </c>
      <c r="AD19" s="1253">
        <v>141</v>
      </c>
      <c r="AE19" s="1252">
        <v>313</v>
      </c>
      <c r="AF19" s="1252">
        <v>433</v>
      </c>
      <c r="AG19" s="1252">
        <v>-51</v>
      </c>
      <c r="AH19" s="1253">
        <v>-377</v>
      </c>
      <c r="AI19" s="1252">
        <v>91</v>
      </c>
      <c r="AJ19" s="1252">
        <v>168</v>
      </c>
      <c r="AK19" s="1252">
        <v>1176</v>
      </c>
      <c r="AL19" s="1253">
        <v>356</v>
      </c>
      <c r="AM19" s="1252">
        <v>-386</v>
      </c>
      <c r="AN19" s="1252">
        <v>-1374</v>
      </c>
      <c r="AO19" s="1252">
        <v>224</v>
      </c>
      <c r="AP19" s="1245"/>
      <c r="AQ19" s="1205"/>
      <c r="AR19" s="1205"/>
      <c r="AS19" s="1409"/>
      <c r="AT19" s="1245"/>
      <c r="AU19" s="1205"/>
      <c r="AV19" s="1205"/>
      <c r="AW19" s="1205"/>
      <c r="AX19" s="1245"/>
      <c r="AY19" s="1269"/>
      <c r="AZ19" s="1269"/>
      <c r="BA19" s="1269"/>
      <c r="BB19" s="1269"/>
      <c r="BC19" s="1265"/>
      <c r="BD19" s="1245"/>
      <c r="BE19" s="1245"/>
      <c r="BF19" s="1269"/>
      <c r="BG19" s="1265"/>
      <c r="BH19" s="1307">
        <v>3372</v>
      </c>
      <c r="BI19" s="1304">
        <v>2992</v>
      </c>
      <c r="BJ19" s="1304">
        <v>380</v>
      </c>
      <c r="BK19" s="1192">
        <v>0.1270053475935829</v>
      </c>
      <c r="BL19" s="1201"/>
      <c r="BM19" s="1380">
        <v>3372</v>
      </c>
      <c r="BN19" s="1380">
        <v>2992</v>
      </c>
      <c r="BO19" s="1380">
        <v>1596</v>
      </c>
      <c r="BP19" s="1380">
        <v>3118</v>
      </c>
      <c r="BQ19" s="1282">
        <v>3443</v>
      </c>
      <c r="BR19" s="1282">
        <v>884</v>
      </c>
      <c r="BS19" s="1282">
        <v>318</v>
      </c>
      <c r="BT19" s="1282">
        <v>1791</v>
      </c>
      <c r="BU19" s="2019">
        <v>-1621</v>
      </c>
      <c r="BV19" s="2019">
        <v>2420</v>
      </c>
      <c r="BW19" s="2019">
        <v>915</v>
      </c>
      <c r="BX19" s="2029">
        <v>2142</v>
      </c>
      <c r="BY19" s="1317"/>
      <c r="BZ19" s="2008"/>
      <c r="CA19" s="2008"/>
      <c r="CB19" s="2008"/>
      <c r="CC19" s="1145"/>
    </row>
    <row r="20" spans="1:81" ht="12.75" hidden="1" customHeight="1" x14ac:dyDescent="0.2">
      <c r="A20" s="948"/>
      <c r="B20" s="1201" t="s">
        <v>636</v>
      </c>
      <c r="C20" s="957">
        <v>1565</v>
      </c>
      <c r="D20" s="1035">
        <v>0.62927221552070767</v>
      </c>
      <c r="E20" s="920"/>
      <c r="F20" s="2015">
        <v>4052</v>
      </c>
      <c r="G20" s="1159">
        <v>6854</v>
      </c>
      <c r="H20" s="1205">
        <v>5149</v>
      </c>
      <c r="I20" s="1205">
        <v>4890</v>
      </c>
      <c r="J20" s="1245">
        <v>2487</v>
      </c>
      <c r="K20" s="1205">
        <v>3262</v>
      </c>
      <c r="L20" s="1205">
        <v>3849</v>
      </c>
      <c r="M20" s="1205">
        <v>1717</v>
      </c>
      <c r="N20" s="1245">
        <v>2643</v>
      </c>
      <c r="O20" s="1205">
        <v>957</v>
      </c>
      <c r="P20" s="1205">
        <v>4929</v>
      </c>
      <c r="Q20" s="1205">
        <v>2815</v>
      </c>
      <c r="R20" s="1245">
        <v>1613</v>
      </c>
      <c r="S20" s="1205">
        <v>3918</v>
      </c>
      <c r="T20" s="1205">
        <v>1347</v>
      </c>
      <c r="U20" s="1205">
        <v>1561</v>
      </c>
      <c r="V20" s="1245">
        <v>1709</v>
      </c>
      <c r="W20" s="1230">
        <v>4436</v>
      </c>
      <c r="X20" s="1230">
        <v>782</v>
      </c>
      <c r="Y20" s="1205">
        <v>4332</v>
      </c>
      <c r="Z20" s="1245">
        <v>2194</v>
      </c>
      <c r="AA20" s="1230">
        <v>4546</v>
      </c>
      <c r="AB20" s="1230">
        <v>3335</v>
      </c>
      <c r="AC20" s="1205">
        <v>1135</v>
      </c>
      <c r="AD20" s="1245">
        <v>917</v>
      </c>
      <c r="AE20" s="1205">
        <v>2450</v>
      </c>
      <c r="AF20" s="1205">
        <v>2693</v>
      </c>
      <c r="AG20" s="1205">
        <v>46</v>
      </c>
      <c r="AH20" s="1245">
        <v>-158</v>
      </c>
      <c r="AI20" s="1205">
        <v>2682</v>
      </c>
      <c r="AJ20" s="1205">
        <v>2038</v>
      </c>
      <c r="AK20" s="1205">
        <v>1186</v>
      </c>
      <c r="AL20" s="1245">
        <v>3233</v>
      </c>
      <c r="AM20" s="1205">
        <v>8010</v>
      </c>
      <c r="AN20" s="1205">
        <v>7696</v>
      </c>
      <c r="AO20" s="1205">
        <v>2722</v>
      </c>
      <c r="AP20" s="1245">
        <v>3034</v>
      </c>
      <c r="AQ20" s="1205">
        <v>2935</v>
      </c>
      <c r="AR20" s="1205">
        <v>5929</v>
      </c>
      <c r="AS20" s="1409">
        <v>1837</v>
      </c>
      <c r="AT20" s="1245">
        <v>4589</v>
      </c>
      <c r="AU20" s="1205">
        <v>1671</v>
      </c>
      <c r="AV20" s="1205">
        <v>247</v>
      </c>
      <c r="AW20" s="1205">
        <v>863</v>
      </c>
      <c r="AX20" s="1245">
        <v>3248</v>
      </c>
      <c r="AY20" s="1269">
        <v>-1082</v>
      </c>
      <c r="AZ20" s="1269">
        <v>4402</v>
      </c>
      <c r="BA20" s="1269">
        <v>3860</v>
      </c>
      <c r="BB20" s="1269">
        <v>7523</v>
      </c>
      <c r="BC20" s="1265">
        <v>6152</v>
      </c>
      <c r="BD20" s="1245">
        <v>6072</v>
      </c>
      <c r="BE20" s="1245">
        <v>4784</v>
      </c>
      <c r="BF20" s="1269">
        <v>5639</v>
      </c>
      <c r="BG20" s="1265"/>
      <c r="BH20" s="1205">
        <v>19380</v>
      </c>
      <c r="BI20" s="1205">
        <v>11471</v>
      </c>
      <c r="BJ20" s="1269">
        <v>7909</v>
      </c>
      <c r="BK20" s="1035">
        <v>0.68947781361694704</v>
      </c>
      <c r="BL20" s="1201"/>
      <c r="BM20" s="1367">
        <v>19380</v>
      </c>
      <c r="BN20" s="1261">
        <v>11471</v>
      </c>
      <c r="BO20" s="1261">
        <v>10314</v>
      </c>
      <c r="BP20" s="1234">
        <v>8535</v>
      </c>
      <c r="BQ20" s="1234">
        <v>11744</v>
      </c>
      <c r="BR20" s="1234">
        <v>9933</v>
      </c>
      <c r="BS20" s="1234">
        <v>5031</v>
      </c>
      <c r="BT20" s="1234">
        <v>9139</v>
      </c>
      <c r="BU20" s="2001">
        <v>21462</v>
      </c>
      <c r="BV20" s="2001">
        <v>15290</v>
      </c>
      <c r="BW20" s="2001">
        <v>6029</v>
      </c>
      <c r="BX20" s="1317">
        <v>14703</v>
      </c>
      <c r="BY20" s="1317">
        <v>22647</v>
      </c>
      <c r="BZ20" s="2008">
        <v>18301</v>
      </c>
      <c r="CA20" s="2008">
        <v>11028</v>
      </c>
      <c r="CB20" s="2008">
        <v>15746</v>
      </c>
      <c r="CC20" s="1145"/>
    </row>
    <row r="21" spans="1:81" ht="12.75" hidden="1" customHeight="1" x14ac:dyDescent="0.2">
      <c r="A21" s="948"/>
      <c r="B21" s="1201" t="s">
        <v>64</v>
      </c>
      <c r="C21" s="957">
        <v>1094</v>
      </c>
      <c r="D21" s="1035">
        <v>0.14670779133699879</v>
      </c>
      <c r="E21" s="920"/>
      <c r="F21" s="2015">
        <v>8551</v>
      </c>
      <c r="G21" s="1159">
        <v>7841</v>
      </c>
      <c r="H21" s="1230">
        <v>7216</v>
      </c>
      <c r="I21" s="1230">
        <v>6797</v>
      </c>
      <c r="J21" s="1245">
        <v>7457</v>
      </c>
      <c r="K21" s="1230">
        <v>6894</v>
      </c>
      <c r="L21" s="1230">
        <v>6479</v>
      </c>
      <c r="M21" s="1230">
        <v>6163</v>
      </c>
      <c r="N21" s="1245">
        <v>6662</v>
      </c>
      <c r="O21" s="1230">
        <v>6841</v>
      </c>
      <c r="P21" s="1230">
        <v>6448</v>
      </c>
      <c r="Q21" s="1205">
        <v>6420</v>
      </c>
      <c r="R21" s="1245">
        <v>6845</v>
      </c>
      <c r="S21" s="1230">
        <v>7435</v>
      </c>
      <c r="T21" s="1230">
        <v>7281</v>
      </c>
      <c r="U21" s="1205">
        <v>6905</v>
      </c>
      <c r="V21" s="1245">
        <v>7729</v>
      </c>
      <c r="W21" s="1230">
        <v>7845</v>
      </c>
      <c r="X21" s="1230">
        <v>6983</v>
      </c>
      <c r="Y21" s="1205">
        <v>6789</v>
      </c>
      <c r="Z21" s="1245">
        <v>7739</v>
      </c>
      <c r="AA21" s="1230">
        <v>7436</v>
      </c>
      <c r="AB21" s="1230">
        <v>6892</v>
      </c>
      <c r="AC21" s="1205">
        <v>6709</v>
      </c>
      <c r="AD21" s="1245">
        <v>7393</v>
      </c>
      <c r="AE21" s="1205">
        <v>7518</v>
      </c>
      <c r="AF21" s="1205">
        <v>6990</v>
      </c>
      <c r="AG21" s="1205">
        <v>7062</v>
      </c>
      <c r="AH21" s="1245">
        <v>8131</v>
      </c>
      <c r="AI21" s="1205">
        <v>7918</v>
      </c>
      <c r="AJ21" s="1205">
        <v>7331</v>
      </c>
      <c r="AK21" s="1205">
        <v>7454</v>
      </c>
      <c r="AL21" s="1245">
        <v>7968</v>
      </c>
      <c r="AM21" s="1205">
        <v>7667</v>
      </c>
      <c r="AN21" s="1205">
        <v>7242</v>
      </c>
      <c r="AO21" s="1205">
        <v>7351</v>
      </c>
      <c r="AP21" s="1245">
        <v>7913</v>
      </c>
      <c r="AQ21" s="1205">
        <v>7024</v>
      </c>
      <c r="AR21" s="1205">
        <v>6489</v>
      </c>
      <c r="AS21" s="1409">
        <v>6247</v>
      </c>
      <c r="AT21" s="1245">
        <v>6152</v>
      </c>
      <c r="AU21" s="1205">
        <v>6298</v>
      </c>
      <c r="AV21" s="1205">
        <v>6347</v>
      </c>
      <c r="AW21" s="1205">
        <v>6799</v>
      </c>
      <c r="AX21" s="1245">
        <v>7439</v>
      </c>
      <c r="AY21" s="1269">
        <v>6729</v>
      </c>
      <c r="AZ21" s="1269">
        <v>6111</v>
      </c>
      <c r="BA21" s="1269">
        <v>5945</v>
      </c>
      <c r="BB21" s="1269">
        <v>6201</v>
      </c>
      <c r="BC21" s="1265">
        <v>5940</v>
      </c>
      <c r="BD21" s="1245">
        <v>5413</v>
      </c>
      <c r="BE21" s="1245">
        <v>5561</v>
      </c>
      <c r="BF21" s="1269">
        <v>5875</v>
      </c>
      <c r="BG21" s="1265"/>
      <c r="BH21" s="1205">
        <v>29311</v>
      </c>
      <c r="BI21" s="1205">
        <v>26198</v>
      </c>
      <c r="BJ21" s="1269">
        <v>3113</v>
      </c>
      <c r="BK21" s="1035">
        <v>0.11882586456981449</v>
      </c>
      <c r="BL21" s="1201"/>
      <c r="BM21" s="1367">
        <v>29311</v>
      </c>
      <c r="BN21" s="1367">
        <v>26198</v>
      </c>
      <c r="BO21" s="1367">
        <v>26554</v>
      </c>
      <c r="BP21" s="1367">
        <v>29350</v>
      </c>
      <c r="BQ21" s="1234">
        <v>29356</v>
      </c>
      <c r="BR21" s="1234">
        <v>28430</v>
      </c>
      <c r="BS21" s="1234">
        <v>29701</v>
      </c>
      <c r="BT21" s="1234">
        <v>30671</v>
      </c>
      <c r="BU21" s="2001">
        <v>30173</v>
      </c>
      <c r="BV21" s="2001">
        <v>25912</v>
      </c>
      <c r="BW21" s="2001">
        <v>26883</v>
      </c>
      <c r="BX21" s="1317">
        <v>24986</v>
      </c>
      <c r="BY21" s="1317">
        <v>22789</v>
      </c>
      <c r="BZ21" s="2008">
        <v>20531</v>
      </c>
      <c r="CA21" s="2008">
        <v>17980</v>
      </c>
      <c r="CB21" s="2008">
        <v>14519</v>
      </c>
      <c r="CC21" s="1145"/>
    </row>
    <row r="22" spans="1:81" ht="12.75" customHeight="1" x14ac:dyDescent="0.2">
      <c r="A22" s="948"/>
      <c r="B22" s="1201" t="s">
        <v>719</v>
      </c>
      <c r="C22" s="957">
        <v>2659</v>
      </c>
      <c r="D22" s="1035">
        <v>0.26739742558326629</v>
      </c>
      <c r="E22" s="920"/>
      <c r="F22" s="2015">
        <v>12603</v>
      </c>
      <c r="G22" s="1159">
        <v>14695</v>
      </c>
      <c r="H22" s="1230">
        <v>12365</v>
      </c>
      <c r="I22" s="1230">
        <v>11687</v>
      </c>
      <c r="J22" s="1245">
        <v>9944</v>
      </c>
      <c r="K22" s="1159">
        <v>10156</v>
      </c>
      <c r="L22" s="1230">
        <v>10328</v>
      </c>
      <c r="M22" s="1230">
        <v>7880</v>
      </c>
      <c r="N22" s="1245">
        <v>9305</v>
      </c>
      <c r="O22" s="1230"/>
      <c r="P22" s="1230"/>
      <c r="Q22" s="1205"/>
      <c r="R22" s="1245"/>
      <c r="S22" s="1230"/>
      <c r="T22" s="1230"/>
      <c r="U22" s="1205"/>
      <c r="V22" s="1245"/>
      <c r="W22" s="1230"/>
      <c r="X22" s="1230"/>
      <c r="Y22" s="1205"/>
      <c r="Z22" s="1245"/>
      <c r="AA22" s="1230"/>
      <c r="AB22" s="1230"/>
      <c r="AC22" s="1205"/>
      <c r="AD22" s="1245"/>
      <c r="AE22" s="1205"/>
      <c r="AF22" s="1205"/>
      <c r="AG22" s="1205"/>
      <c r="AH22" s="1245"/>
      <c r="AI22" s="1205"/>
      <c r="AJ22" s="1205"/>
      <c r="AK22" s="1205"/>
      <c r="AL22" s="1245"/>
      <c r="AM22" s="1205"/>
      <c r="AN22" s="1205"/>
      <c r="AO22" s="1205"/>
      <c r="AP22" s="1245"/>
      <c r="AQ22" s="1205"/>
      <c r="AR22" s="1205"/>
      <c r="AS22" s="1409"/>
      <c r="AT22" s="1245"/>
      <c r="AU22" s="1205"/>
      <c r="AV22" s="1205"/>
      <c r="AW22" s="1205"/>
      <c r="AX22" s="1245"/>
      <c r="AY22" s="1269"/>
      <c r="AZ22" s="1269"/>
      <c r="BA22" s="1269"/>
      <c r="BB22" s="1269"/>
      <c r="BC22" s="1265"/>
      <c r="BD22" s="1245"/>
      <c r="BE22" s="1245"/>
      <c r="BF22" s="1269"/>
      <c r="BG22" s="1265"/>
      <c r="BH22" s="1205"/>
      <c r="BI22" s="1205"/>
      <c r="BJ22" s="1269"/>
      <c r="BK22" s="1035"/>
      <c r="BL22" s="1201"/>
      <c r="BM22" s="1367">
        <v>48691</v>
      </c>
      <c r="BN22" s="1367">
        <v>37669</v>
      </c>
      <c r="BO22" s="1367">
        <v>36868</v>
      </c>
      <c r="BP22" s="1367">
        <v>37885</v>
      </c>
      <c r="BQ22" s="1234">
        <v>41100</v>
      </c>
      <c r="BR22" s="1234"/>
      <c r="BS22" s="1234"/>
      <c r="BT22" s="1234"/>
      <c r="BU22" s="2001"/>
      <c r="BV22" s="2001"/>
      <c r="BW22" s="2001"/>
      <c r="BX22" s="1317"/>
      <c r="BY22" s="1317"/>
      <c r="BZ22" s="2008"/>
      <c r="CA22" s="2008"/>
      <c r="CB22" s="2008"/>
      <c r="CC22" s="1145"/>
    </row>
    <row r="23" spans="1:81" ht="12.75" customHeight="1" x14ac:dyDescent="0.2">
      <c r="A23" s="948"/>
      <c r="B23" s="1201" t="s">
        <v>93</v>
      </c>
      <c r="C23" s="957">
        <v>-487</v>
      </c>
      <c r="D23" s="1035">
        <v>0.22619600557361821</v>
      </c>
      <c r="E23" s="920"/>
      <c r="F23" s="2015">
        <v>-2640</v>
      </c>
      <c r="G23" s="1159">
        <v>-2480</v>
      </c>
      <c r="H23" s="1205">
        <v>-1788</v>
      </c>
      <c r="I23" s="1205">
        <v>-1381</v>
      </c>
      <c r="J23" s="1245">
        <v>-2153</v>
      </c>
      <c r="K23" s="1205">
        <v>-1240</v>
      </c>
      <c r="L23" s="1205">
        <v>-1973</v>
      </c>
      <c r="M23" s="1205">
        <v>-1165</v>
      </c>
      <c r="N23" s="1245">
        <v>-2205</v>
      </c>
      <c r="O23" s="1205">
        <v>-2446</v>
      </c>
      <c r="P23" s="1205">
        <v>-2169</v>
      </c>
      <c r="Q23" s="1205">
        <v>-1282</v>
      </c>
      <c r="R23" s="1245">
        <v>-1936</v>
      </c>
      <c r="S23" s="1205">
        <v>-2544</v>
      </c>
      <c r="T23" s="1205">
        <v>-2209</v>
      </c>
      <c r="U23" s="1205">
        <v>-1715</v>
      </c>
      <c r="V23" s="1245">
        <v>-1559</v>
      </c>
      <c r="W23" s="1205">
        <v>-3608</v>
      </c>
      <c r="X23" s="1205">
        <v>-3625</v>
      </c>
      <c r="Y23" s="1205">
        <v>-2673</v>
      </c>
      <c r="Z23" s="1245">
        <v>-3047</v>
      </c>
      <c r="AA23" s="1205">
        <v>-3477</v>
      </c>
      <c r="AB23" s="1205">
        <v>-3342</v>
      </c>
      <c r="AC23" s="1205">
        <v>-3416</v>
      </c>
      <c r="AD23" s="1245">
        <v>-2996</v>
      </c>
      <c r="AE23" s="1205">
        <v>412</v>
      </c>
      <c r="AF23" s="1205">
        <v>379</v>
      </c>
      <c r="AG23" s="1205">
        <v>288</v>
      </c>
      <c r="AH23" s="1245">
        <v>367</v>
      </c>
      <c r="AI23" s="1205">
        <v>378</v>
      </c>
      <c r="AJ23" s="1205">
        <v>309</v>
      </c>
      <c r="AK23" s="1205">
        <v>345</v>
      </c>
      <c r="AL23" s="1245">
        <v>453</v>
      </c>
      <c r="AM23" s="1205">
        <v>540</v>
      </c>
      <c r="AN23" s="1205">
        <v>325</v>
      </c>
      <c r="AO23" s="1205">
        <v>536</v>
      </c>
      <c r="AP23" s="1245">
        <v>596</v>
      </c>
      <c r="AQ23" s="1205">
        <v>615</v>
      </c>
      <c r="AR23" s="1205">
        <v>569</v>
      </c>
      <c r="AS23" s="1409">
        <v>607</v>
      </c>
      <c r="AT23" s="1245">
        <v>298</v>
      </c>
      <c r="AU23" s="1205">
        <v>250</v>
      </c>
      <c r="AV23" s="1205">
        <v>265</v>
      </c>
      <c r="AW23" s="1205">
        <v>-7</v>
      </c>
      <c r="AX23" s="1245">
        <v>-68</v>
      </c>
      <c r="AY23" s="1269">
        <v>108</v>
      </c>
      <c r="AZ23" s="1269">
        <v>68</v>
      </c>
      <c r="BA23" s="1269">
        <v>185</v>
      </c>
      <c r="BB23" s="1269">
        <v>118</v>
      </c>
      <c r="BC23" s="1265">
        <v>63</v>
      </c>
      <c r="BD23" s="1245">
        <v>18</v>
      </c>
      <c r="BE23" s="1245">
        <v>47</v>
      </c>
      <c r="BF23" s="1269">
        <v>185</v>
      </c>
      <c r="BG23" s="1265"/>
      <c r="BH23" s="1205">
        <v>-7802</v>
      </c>
      <c r="BI23" s="1205">
        <v>-6583</v>
      </c>
      <c r="BJ23" s="1269">
        <v>-1219</v>
      </c>
      <c r="BK23" s="1035">
        <v>-0.18517393285735986</v>
      </c>
      <c r="BL23" s="1201"/>
      <c r="BM23" s="1413">
        <v>-7802</v>
      </c>
      <c r="BN23" s="1413">
        <v>-6583</v>
      </c>
      <c r="BO23" s="1413">
        <v>-7833</v>
      </c>
      <c r="BP23" s="1413">
        <v>-8027</v>
      </c>
      <c r="BQ23" s="1234">
        <v>-12953</v>
      </c>
      <c r="BR23" s="1234">
        <v>-13231</v>
      </c>
      <c r="BS23" s="1234">
        <v>1446</v>
      </c>
      <c r="BT23" s="1234">
        <v>1485</v>
      </c>
      <c r="BU23" s="2001">
        <v>1997</v>
      </c>
      <c r="BV23" s="2001">
        <v>2089</v>
      </c>
      <c r="BW23" s="2001">
        <v>440</v>
      </c>
      <c r="BX23" s="1317">
        <v>479</v>
      </c>
      <c r="BY23" s="1317">
        <v>313</v>
      </c>
      <c r="BZ23" s="2008">
        <v>1507</v>
      </c>
      <c r="CA23" s="2008">
        <v>1110</v>
      </c>
      <c r="CB23" s="2008">
        <v>12562</v>
      </c>
      <c r="CC23" s="1145"/>
    </row>
    <row r="24" spans="1:81" ht="12.75" customHeight="1" x14ac:dyDescent="0.2">
      <c r="A24" s="948"/>
      <c r="B24" s="1201" t="s">
        <v>66</v>
      </c>
      <c r="C24" s="957">
        <v>-210</v>
      </c>
      <c r="D24" s="1035">
        <v>-0.18181818181818182</v>
      </c>
      <c r="E24" s="920"/>
      <c r="F24" s="2015">
        <v>945</v>
      </c>
      <c r="G24" s="1159">
        <v>1594</v>
      </c>
      <c r="H24" s="1230">
        <v>1550</v>
      </c>
      <c r="I24" s="1230">
        <v>1200</v>
      </c>
      <c r="J24" s="1245">
        <v>1155</v>
      </c>
      <c r="K24" s="1230">
        <v>589</v>
      </c>
      <c r="L24" s="1230">
        <v>972</v>
      </c>
      <c r="M24" s="1230">
        <v>492</v>
      </c>
      <c r="N24" s="1245">
        <v>1095</v>
      </c>
      <c r="O24" s="1230">
        <v>1480</v>
      </c>
      <c r="P24" s="1230">
        <v>4021</v>
      </c>
      <c r="Q24" s="1205">
        <v>871</v>
      </c>
      <c r="R24" s="1245">
        <v>1168</v>
      </c>
      <c r="S24" s="1230">
        <v>1687</v>
      </c>
      <c r="T24" s="1230">
        <v>1136</v>
      </c>
      <c r="U24" s="1205">
        <v>1334</v>
      </c>
      <c r="V24" s="1245">
        <v>1105</v>
      </c>
      <c r="W24" s="1230">
        <v>1181</v>
      </c>
      <c r="X24" s="1230">
        <v>960</v>
      </c>
      <c r="Y24" s="1205">
        <v>847</v>
      </c>
      <c r="Z24" s="1245">
        <v>965</v>
      </c>
      <c r="AA24" s="1230">
        <v>1169</v>
      </c>
      <c r="AB24" s="1230">
        <v>1294</v>
      </c>
      <c r="AC24" s="1205">
        <v>1217</v>
      </c>
      <c r="AD24" s="1245">
        <v>1306</v>
      </c>
      <c r="AE24" s="1205">
        <v>1406</v>
      </c>
      <c r="AF24" s="1205">
        <v>1377</v>
      </c>
      <c r="AG24" s="1205">
        <v>1064</v>
      </c>
      <c r="AH24" s="1245">
        <v>1086</v>
      </c>
      <c r="AI24" s="1205">
        <v>1368</v>
      </c>
      <c r="AJ24" s="1205">
        <v>1283</v>
      </c>
      <c r="AK24" s="1205">
        <v>853</v>
      </c>
      <c r="AL24" s="1245">
        <v>1871</v>
      </c>
      <c r="AM24" s="1205">
        <v>1951</v>
      </c>
      <c r="AN24" s="1205">
        <v>1667</v>
      </c>
      <c r="AO24" s="1205">
        <v>1625</v>
      </c>
      <c r="AP24" s="1245">
        <v>1488</v>
      </c>
      <c r="AQ24" s="1205">
        <v>1290</v>
      </c>
      <c r="AR24" s="1205">
        <v>1170</v>
      </c>
      <c r="AS24" s="1409">
        <v>1057</v>
      </c>
      <c r="AT24" s="1245">
        <v>1047</v>
      </c>
      <c r="AU24" s="1205">
        <v>1476</v>
      </c>
      <c r="AV24" s="1205">
        <v>1595</v>
      </c>
      <c r="AW24" s="1205">
        <v>1151</v>
      </c>
      <c r="AX24" s="1245">
        <v>1285</v>
      </c>
      <c r="AY24" s="1269">
        <v>1273</v>
      </c>
      <c r="AZ24" s="1269">
        <v>1165</v>
      </c>
      <c r="BA24" s="1269">
        <v>1220</v>
      </c>
      <c r="BB24" s="1269">
        <v>1111</v>
      </c>
      <c r="BC24" s="1265">
        <v>1003</v>
      </c>
      <c r="BD24" s="1245">
        <v>1099</v>
      </c>
      <c r="BE24" s="1245">
        <v>1396</v>
      </c>
      <c r="BF24" s="1269">
        <v>1393</v>
      </c>
      <c r="BG24" s="1265"/>
      <c r="BH24" s="1205">
        <v>5499</v>
      </c>
      <c r="BI24" s="1205">
        <v>3148</v>
      </c>
      <c r="BJ24" s="1269">
        <v>2351</v>
      </c>
      <c r="BK24" s="1035">
        <v>0.74682337992376113</v>
      </c>
      <c r="BL24" s="1201"/>
      <c r="BM24" s="1367">
        <v>5499</v>
      </c>
      <c r="BN24" s="1367">
        <v>3148</v>
      </c>
      <c r="BO24" s="1367">
        <v>7540</v>
      </c>
      <c r="BP24" s="1367">
        <v>5262</v>
      </c>
      <c r="BQ24" s="1234">
        <v>3953</v>
      </c>
      <c r="BR24" s="1234">
        <v>4986</v>
      </c>
      <c r="BS24" s="1234">
        <v>4933</v>
      </c>
      <c r="BT24" s="1234">
        <v>5375</v>
      </c>
      <c r="BU24" s="2001">
        <v>6731</v>
      </c>
      <c r="BV24" s="2001">
        <v>4564</v>
      </c>
      <c r="BW24" s="2001">
        <v>5507</v>
      </c>
      <c r="BX24" s="1317">
        <v>4769</v>
      </c>
      <c r="BY24" s="1317">
        <v>4891</v>
      </c>
      <c r="BZ24" s="2008">
        <v>4493</v>
      </c>
      <c r="CA24" s="2008">
        <v>3216</v>
      </c>
      <c r="CB24" s="2008">
        <v>4039</v>
      </c>
      <c r="CC24" s="1145"/>
    </row>
    <row r="25" spans="1:81" ht="12.75" customHeight="1" x14ac:dyDescent="0.2">
      <c r="A25" s="948"/>
      <c r="B25" s="1201" t="s">
        <v>67</v>
      </c>
      <c r="C25" s="957">
        <v>-165</v>
      </c>
      <c r="D25" s="1035">
        <v>-0.11036789297658862</v>
      </c>
      <c r="E25" s="920"/>
      <c r="F25" s="2015">
        <v>1330</v>
      </c>
      <c r="G25" s="1159">
        <v>2138</v>
      </c>
      <c r="H25" s="1230">
        <v>839</v>
      </c>
      <c r="I25" s="1230">
        <v>1214</v>
      </c>
      <c r="J25" s="1245">
        <v>1495</v>
      </c>
      <c r="K25" s="1230">
        <v>1413</v>
      </c>
      <c r="L25" s="1230">
        <v>968</v>
      </c>
      <c r="M25" s="1230">
        <v>869</v>
      </c>
      <c r="N25" s="1245">
        <v>1528</v>
      </c>
      <c r="O25" s="1230">
        <v>1807</v>
      </c>
      <c r="P25" s="1230">
        <v>896</v>
      </c>
      <c r="Q25" s="1205">
        <v>1318</v>
      </c>
      <c r="R25" s="1245">
        <v>1401</v>
      </c>
      <c r="S25" s="1230">
        <v>1286</v>
      </c>
      <c r="T25" s="1230">
        <v>1351</v>
      </c>
      <c r="U25" s="1205">
        <v>1450</v>
      </c>
      <c r="V25" s="1245">
        <v>891</v>
      </c>
      <c r="W25" s="1230">
        <v>1201</v>
      </c>
      <c r="X25" s="1230">
        <v>1371</v>
      </c>
      <c r="Y25" s="1205">
        <v>1126</v>
      </c>
      <c r="Z25" s="1245">
        <v>1140</v>
      </c>
      <c r="AA25" s="1230">
        <v>1223</v>
      </c>
      <c r="AB25" s="1230">
        <v>1215</v>
      </c>
      <c r="AC25" s="1205">
        <v>1261</v>
      </c>
      <c r="AD25" s="1245">
        <v>850</v>
      </c>
      <c r="AE25" s="1205">
        <v>1117</v>
      </c>
      <c r="AF25" s="1205">
        <v>1175</v>
      </c>
      <c r="AG25" s="1205">
        <v>1173</v>
      </c>
      <c r="AH25" s="1245">
        <v>1289</v>
      </c>
      <c r="AI25" s="1205">
        <v>1194</v>
      </c>
      <c r="AJ25" s="1205">
        <v>1275</v>
      </c>
      <c r="AK25" s="1205">
        <v>1153</v>
      </c>
      <c r="AL25" s="1245">
        <v>1151</v>
      </c>
      <c r="AM25" s="1205">
        <v>1165</v>
      </c>
      <c r="AN25" s="1205">
        <v>824</v>
      </c>
      <c r="AO25" s="1205">
        <v>1253</v>
      </c>
      <c r="AP25" s="1245">
        <v>1073</v>
      </c>
      <c r="AQ25" s="1205">
        <v>1098</v>
      </c>
      <c r="AR25" s="1205">
        <v>1172</v>
      </c>
      <c r="AS25" s="1409">
        <v>1140</v>
      </c>
      <c r="AT25" s="1245">
        <v>1173</v>
      </c>
      <c r="AU25" s="1205">
        <v>1267</v>
      </c>
      <c r="AV25" s="1205">
        <v>1551</v>
      </c>
      <c r="AW25" s="1205">
        <v>1180</v>
      </c>
      <c r="AX25" s="1245">
        <v>1246</v>
      </c>
      <c r="AY25" s="1269">
        <v>1144</v>
      </c>
      <c r="AZ25" s="1269">
        <v>1004</v>
      </c>
      <c r="BA25" s="1269">
        <v>1278</v>
      </c>
      <c r="BB25" s="1269">
        <v>1190</v>
      </c>
      <c r="BC25" s="1265">
        <v>1227</v>
      </c>
      <c r="BD25" s="1245">
        <v>1240</v>
      </c>
      <c r="BE25" s="1245">
        <v>1286</v>
      </c>
      <c r="BF25" s="1269">
        <v>1034</v>
      </c>
      <c r="BG25" s="1265"/>
      <c r="BH25" s="1205">
        <v>5686</v>
      </c>
      <c r="BI25" s="1205">
        <v>4778</v>
      </c>
      <c r="BJ25" s="1269">
        <v>908</v>
      </c>
      <c r="BK25" s="1035">
        <v>0.1900376726663876</v>
      </c>
      <c r="BL25" s="1201"/>
      <c r="BM25" s="1367">
        <v>5686</v>
      </c>
      <c r="BN25" s="1367">
        <v>4778</v>
      </c>
      <c r="BO25" s="1367">
        <v>5422</v>
      </c>
      <c r="BP25" s="1367">
        <v>4978</v>
      </c>
      <c r="BQ25" s="1234">
        <v>4838</v>
      </c>
      <c r="BR25" s="1234">
        <v>4549</v>
      </c>
      <c r="BS25" s="1234">
        <v>4754</v>
      </c>
      <c r="BT25" s="1234">
        <v>4773</v>
      </c>
      <c r="BU25" s="2001">
        <v>4315</v>
      </c>
      <c r="BV25" s="2001">
        <v>4583</v>
      </c>
      <c r="BW25" s="2001">
        <v>5244</v>
      </c>
      <c r="BX25" s="1317">
        <v>4616</v>
      </c>
      <c r="BY25" s="1317">
        <v>4787</v>
      </c>
      <c r="BZ25" s="2008">
        <v>3805</v>
      </c>
      <c r="CA25" s="2008">
        <v>2966</v>
      </c>
      <c r="CB25" s="2008">
        <v>2594</v>
      </c>
      <c r="CC25" s="1145"/>
    </row>
    <row r="26" spans="1:81" ht="12.75" customHeight="1" x14ac:dyDescent="0.2">
      <c r="A26" s="948"/>
      <c r="B26" s="1201" t="s">
        <v>62</v>
      </c>
      <c r="C26" s="957">
        <v>1375</v>
      </c>
      <c r="D26" s="1035">
        <v>0.98495702005730656</v>
      </c>
      <c r="E26" s="920"/>
      <c r="F26" s="2015">
        <v>2771</v>
      </c>
      <c r="G26" s="1159">
        <v>2653</v>
      </c>
      <c r="H26" s="1230">
        <v>2624</v>
      </c>
      <c r="I26" s="1230">
        <v>4377</v>
      </c>
      <c r="J26" s="1245">
        <v>1396</v>
      </c>
      <c r="K26" s="1230">
        <v>2104</v>
      </c>
      <c r="L26" s="1230">
        <v>1183</v>
      </c>
      <c r="M26" s="1230">
        <v>1180</v>
      </c>
      <c r="N26" s="1245">
        <v>1758</v>
      </c>
      <c r="O26" s="1230">
        <v>1325</v>
      </c>
      <c r="P26" s="1230">
        <v>982</v>
      </c>
      <c r="Q26" s="1205">
        <v>239</v>
      </c>
      <c r="R26" s="1245">
        <v>350</v>
      </c>
      <c r="S26" s="1230">
        <v>374</v>
      </c>
      <c r="T26" s="1230">
        <v>352</v>
      </c>
      <c r="U26" s="1205">
        <v>356</v>
      </c>
      <c r="V26" s="1245">
        <v>357</v>
      </c>
      <c r="W26" s="1230">
        <v>361</v>
      </c>
      <c r="X26" s="1230">
        <v>417</v>
      </c>
      <c r="Y26" s="1205">
        <v>283</v>
      </c>
      <c r="Z26" s="1245">
        <v>357</v>
      </c>
      <c r="AA26" s="1230">
        <v>385</v>
      </c>
      <c r="AB26" s="1230">
        <v>559</v>
      </c>
      <c r="AC26" s="1205">
        <v>379</v>
      </c>
      <c r="AD26" s="1245">
        <v>368</v>
      </c>
      <c r="AE26" s="1205">
        <v>520</v>
      </c>
      <c r="AF26" s="1205">
        <v>381</v>
      </c>
      <c r="AG26" s="1205">
        <v>364</v>
      </c>
      <c r="AH26" s="1245">
        <v>541</v>
      </c>
      <c r="AI26" s="1205">
        <v>378</v>
      </c>
      <c r="AJ26" s="1205">
        <v>387</v>
      </c>
      <c r="AK26" s="1205">
        <v>373</v>
      </c>
      <c r="AL26" s="1245">
        <v>398</v>
      </c>
      <c r="AM26" s="1205">
        <v>427</v>
      </c>
      <c r="AN26" s="1205">
        <v>391</v>
      </c>
      <c r="AO26" s="1205">
        <v>361</v>
      </c>
      <c r="AP26" s="1245">
        <v>356</v>
      </c>
      <c r="AQ26" s="1205">
        <v>337</v>
      </c>
      <c r="AR26" s="1205">
        <v>290</v>
      </c>
      <c r="AS26" s="1409">
        <v>322</v>
      </c>
      <c r="AT26" s="1245">
        <v>442</v>
      </c>
      <c r="AU26" s="1205">
        <v>407</v>
      </c>
      <c r="AV26" s="1205">
        <v>538</v>
      </c>
      <c r="AW26" s="1205">
        <v>538</v>
      </c>
      <c r="AX26" s="1245">
        <v>562</v>
      </c>
      <c r="AY26" s="1269">
        <v>526</v>
      </c>
      <c r="AZ26" s="1269">
        <v>531</v>
      </c>
      <c r="BA26" s="1269">
        <v>625</v>
      </c>
      <c r="BB26" s="1269">
        <v>514</v>
      </c>
      <c r="BC26" s="1265">
        <v>-48</v>
      </c>
      <c r="BD26" s="1245">
        <v>-6</v>
      </c>
      <c r="BE26" s="1245">
        <v>79</v>
      </c>
      <c r="BF26" s="1269">
        <v>45</v>
      </c>
      <c r="BG26" s="1265"/>
      <c r="BH26" s="1205">
        <v>11050</v>
      </c>
      <c r="BI26" s="1205">
        <v>6225</v>
      </c>
      <c r="BJ26" s="1269">
        <v>4825</v>
      </c>
      <c r="BK26" s="1035">
        <v>0.77510040160642568</v>
      </c>
      <c r="BL26" s="1201"/>
      <c r="BM26" s="1367">
        <v>11050</v>
      </c>
      <c r="BN26" s="1367">
        <v>6225</v>
      </c>
      <c r="BO26" s="1367">
        <v>2896</v>
      </c>
      <c r="BP26" s="1367">
        <v>1439</v>
      </c>
      <c r="BQ26" s="1234">
        <v>1418</v>
      </c>
      <c r="BR26" s="1234">
        <v>1691</v>
      </c>
      <c r="BS26" s="1234">
        <v>1806</v>
      </c>
      <c r="BT26" s="1234">
        <v>1536</v>
      </c>
      <c r="BU26" s="2001">
        <v>1535</v>
      </c>
      <c r="BV26" s="2001">
        <v>1391</v>
      </c>
      <c r="BW26" s="2001">
        <v>2045</v>
      </c>
      <c r="BX26" s="1317">
        <v>2196</v>
      </c>
      <c r="BY26" s="1317">
        <v>70</v>
      </c>
      <c r="BZ26" s="2008">
        <v>1931</v>
      </c>
      <c r="CA26" s="2008">
        <v>3502</v>
      </c>
      <c r="CB26" s="2008">
        <v>3959</v>
      </c>
      <c r="CC26" s="1145"/>
    </row>
    <row r="27" spans="1:81" ht="12.75" customHeight="1" x14ac:dyDescent="0.2">
      <c r="A27" s="948"/>
      <c r="B27" s="1201" t="s">
        <v>68</v>
      </c>
      <c r="C27" s="957">
        <v>-174</v>
      </c>
      <c r="D27" s="1035">
        <v>-5.2111410601976639E-2</v>
      </c>
      <c r="E27" s="920"/>
      <c r="F27" s="2015">
        <v>3165</v>
      </c>
      <c r="G27" s="1159">
        <v>4078</v>
      </c>
      <c r="H27" s="1230">
        <v>3289</v>
      </c>
      <c r="I27" s="1230">
        <v>2657</v>
      </c>
      <c r="J27" s="1245">
        <v>3339</v>
      </c>
      <c r="K27" s="1230">
        <v>1356</v>
      </c>
      <c r="L27" s="1230">
        <v>3075</v>
      </c>
      <c r="M27" s="1230">
        <v>2421</v>
      </c>
      <c r="N27" s="1245">
        <v>2611</v>
      </c>
      <c r="O27" s="1230">
        <v>5905</v>
      </c>
      <c r="P27" s="1230">
        <v>2883</v>
      </c>
      <c r="Q27" s="1205">
        <v>2966</v>
      </c>
      <c r="R27" s="1245">
        <v>2675</v>
      </c>
      <c r="S27" s="1230">
        <v>2591</v>
      </c>
      <c r="T27" s="1230">
        <v>3889</v>
      </c>
      <c r="U27" s="1205">
        <v>2727</v>
      </c>
      <c r="V27" s="1245">
        <v>3806</v>
      </c>
      <c r="W27" s="1230">
        <v>3348</v>
      </c>
      <c r="X27" s="1230">
        <v>4039</v>
      </c>
      <c r="Y27" s="1205">
        <v>3092</v>
      </c>
      <c r="Z27" s="1245">
        <v>3495</v>
      </c>
      <c r="AA27" s="1230">
        <v>2169</v>
      </c>
      <c r="AB27" s="1230">
        <v>3309</v>
      </c>
      <c r="AC27" s="1205">
        <v>2778</v>
      </c>
      <c r="AD27" s="1245">
        <v>3085</v>
      </c>
      <c r="AE27" s="1205">
        <v>3229</v>
      </c>
      <c r="AF27" s="1205">
        <v>2825</v>
      </c>
      <c r="AG27" s="1205">
        <v>1268</v>
      </c>
      <c r="AH27" s="1245">
        <v>1787</v>
      </c>
      <c r="AI27" s="1205">
        <v>5300</v>
      </c>
      <c r="AJ27" s="1205">
        <v>3774</v>
      </c>
      <c r="AK27" s="1205">
        <v>3317</v>
      </c>
      <c r="AL27" s="1245">
        <v>3609</v>
      </c>
      <c r="AM27" s="1205">
        <v>5365</v>
      </c>
      <c r="AN27" s="1205">
        <v>3517</v>
      </c>
      <c r="AO27" s="1205">
        <v>3694</v>
      </c>
      <c r="AP27" s="1245">
        <v>3074</v>
      </c>
      <c r="AQ27" s="1205">
        <v>4645</v>
      </c>
      <c r="AR27" s="1205">
        <v>3707</v>
      </c>
      <c r="AS27" s="1409">
        <v>3993</v>
      </c>
      <c r="AT27" s="1245">
        <v>2101</v>
      </c>
      <c r="AU27" s="1205">
        <v>3469</v>
      </c>
      <c r="AV27" s="1205">
        <v>3128</v>
      </c>
      <c r="AW27" s="1205">
        <v>4162</v>
      </c>
      <c r="AX27" s="1245">
        <v>3270</v>
      </c>
      <c r="AY27" s="1269">
        <v>3650</v>
      </c>
      <c r="AZ27" s="1269">
        <v>5050</v>
      </c>
      <c r="BA27" s="1269">
        <v>3276</v>
      </c>
      <c r="BB27" s="1269">
        <v>4921</v>
      </c>
      <c r="BC27" s="1265">
        <v>3742</v>
      </c>
      <c r="BD27" s="1245">
        <v>3593</v>
      </c>
      <c r="BE27" s="1245">
        <v>3962</v>
      </c>
      <c r="BF27" s="1269">
        <v>4354</v>
      </c>
      <c r="BG27" s="1265"/>
      <c r="BH27" s="1205">
        <v>13363</v>
      </c>
      <c r="BI27" s="1205">
        <v>9463</v>
      </c>
      <c r="BJ27" s="1269">
        <v>3900</v>
      </c>
      <c r="BK27" s="1035">
        <v>0.41213145936806511</v>
      </c>
      <c r="BL27" s="1201"/>
      <c r="BM27" s="1367">
        <v>13363</v>
      </c>
      <c r="BN27" s="1367">
        <v>9463</v>
      </c>
      <c r="BO27" s="1367">
        <v>14429</v>
      </c>
      <c r="BP27" s="1367">
        <v>13013</v>
      </c>
      <c r="BQ27" s="1234">
        <v>13974</v>
      </c>
      <c r="BR27" s="1234">
        <v>11341</v>
      </c>
      <c r="BS27" s="1234">
        <v>9109</v>
      </c>
      <c r="BT27" s="1234">
        <v>16000</v>
      </c>
      <c r="BU27" s="2001">
        <v>15650</v>
      </c>
      <c r="BV27" s="2001">
        <v>14446</v>
      </c>
      <c r="BW27" s="2001">
        <v>14029</v>
      </c>
      <c r="BX27" s="1317">
        <v>16897</v>
      </c>
      <c r="BY27" s="1317">
        <v>15651</v>
      </c>
      <c r="BZ27" s="2008">
        <v>14067</v>
      </c>
      <c r="CA27" s="2008">
        <v>13643</v>
      </c>
      <c r="CB27" s="2008">
        <v>7931</v>
      </c>
      <c r="CC27" s="1145"/>
    </row>
    <row r="28" spans="1:81" ht="12.75" customHeight="1" x14ac:dyDescent="0.2">
      <c r="A28" s="948"/>
      <c r="B28" s="1201" t="s">
        <v>69</v>
      </c>
      <c r="C28" s="957">
        <v>-206</v>
      </c>
      <c r="D28" s="1035">
        <v>-0.63777089783281737</v>
      </c>
      <c r="E28" s="1166"/>
      <c r="F28" s="2015">
        <v>117</v>
      </c>
      <c r="G28" s="1159">
        <v>119</v>
      </c>
      <c r="H28" s="1230">
        <v>126</v>
      </c>
      <c r="I28" s="1230">
        <v>288</v>
      </c>
      <c r="J28" s="1245">
        <v>323</v>
      </c>
      <c r="K28" s="1230">
        <v>391</v>
      </c>
      <c r="L28" s="1230">
        <v>387</v>
      </c>
      <c r="M28" s="1230">
        <v>352</v>
      </c>
      <c r="N28" s="1245">
        <v>261</v>
      </c>
      <c r="O28" s="1230">
        <v>287</v>
      </c>
      <c r="P28" s="1230">
        <v>582</v>
      </c>
      <c r="Q28" s="1205">
        <v>251</v>
      </c>
      <c r="R28" s="1245">
        <v>251</v>
      </c>
      <c r="S28" s="1230">
        <v>294</v>
      </c>
      <c r="T28" s="1230">
        <v>311</v>
      </c>
      <c r="U28" s="1205">
        <v>277</v>
      </c>
      <c r="V28" s="1245">
        <v>278</v>
      </c>
      <c r="W28" s="1230">
        <v>613</v>
      </c>
      <c r="X28" s="1230">
        <v>463</v>
      </c>
      <c r="Y28" s="1205">
        <v>444</v>
      </c>
      <c r="Z28" s="1245">
        <v>400</v>
      </c>
      <c r="AA28" s="1230">
        <v>424</v>
      </c>
      <c r="AB28" s="1230">
        <v>478</v>
      </c>
      <c r="AC28" s="1205">
        <v>414</v>
      </c>
      <c r="AD28" s="1245">
        <v>466</v>
      </c>
      <c r="AE28" s="1205">
        <v>705</v>
      </c>
      <c r="AF28" s="1205">
        <v>498</v>
      </c>
      <c r="AG28" s="1205">
        <v>385</v>
      </c>
      <c r="AH28" s="1245">
        <v>382</v>
      </c>
      <c r="AI28" s="1205">
        <v>365</v>
      </c>
      <c r="AJ28" s="1205">
        <v>460</v>
      </c>
      <c r="AK28" s="1205">
        <v>336</v>
      </c>
      <c r="AL28" s="1245">
        <v>462</v>
      </c>
      <c r="AM28" s="1205">
        <v>561</v>
      </c>
      <c r="AN28" s="1205">
        <v>361</v>
      </c>
      <c r="AO28" s="1205">
        <v>343</v>
      </c>
      <c r="AP28" s="1245">
        <v>317</v>
      </c>
      <c r="AQ28" s="1205">
        <v>383</v>
      </c>
      <c r="AR28" s="1205">
        <v>364</v>
      </c>
      <c r="AS28" s="1409">
        <v>362</v>
      </c>
      <c r="AT28" s="1245">
        <v>361</v>
      </c>
      <c r="AU28" s="1205">
        <v>465</v>
      </c>
      <c r="AV28" s="1205">
        <v>702</v>
      </c>
      <c r="AW28" s="1205">
        <v>735</v>
      </c>
      <c r="AX28" s="1245">
        <v>721</v>
      </c>
      <c r="AY28" s="1269">
        <v>782</v>
      </c>
      <c r="AZ28" s="1269">
        <v>718</v>
      </c>
      <c r="BA28" s="1269">
        <v>689</v>
      </c>
      <c r="BB28" s="1269">
        <v>636</v>
      </c>
      <c r="BC28" s="1265">
        <v>666</v>
      </c>
      <c r="BD28" s="1245">
        <v>632</v>
      </c>
      <c r="BE28" s="1245">
        <v>655</v>
      </c>
      <c r="BF28" s="1269">
        <v>629</v>
      </c>
      <c r="BG28" s="1265"/>
      <c r="BH28" s="1205">
        <v>856</v>
      </c>
      <c r="BI28" s="1205">
        <v>1391</v>
      </c>
      <c r="BJ28" s="1269">
        <v>-535</v>
      </c>
      <c r="BK28" s="1035">
        <v>-0.38461538461538464</v>
      </c>
      <c r="BL28" s="1201"/>
      <c r="BM28" s="1367">
        <v>856</v>
      </c>
      <c r="BN28" s="1367">
        <v>1391</v>
      </c>
      <c r="BO28" s="1367">
        <v>1371</v>
      </c>
      <c r="BP28" s="1367">
        <v>1160</v>
      </c>
      <c r="BQ28" s="1234">
        <v>1920</v>
      </c>
      <c r="BR28" s="1234">
        <v>1782</v>
      </c>
      <c r="BS28" s="1234">
        <v>1970</v>
      </c>
      <c r="BT28" s="1234">
        <v>1623</v>
      </c>
      <c r="BU28" s="2001">
        <v>1582</v>
      </c>
      <c r="BV28" s="2001">
        <v>1470</v>
      </c>
      <c r="BW28" s="2001">
        <v>2623</v>
      </c>
      <c r="BX28" s="1317">
        <v>2825</v>
      </c>
      <c r="BY28" s="1317">
        <v>2582</v>
      </c>
      <c r="BZ28" s="2008">
        <v>1468</v>
      </c>
      <c r="CA28" s="2008">
        <v>894</v>
      </c>
      <c r="CB28" s="2008">
        <v>979</v>
      </c>
      <c r="CC28" s="1145"/>
    </row>
    <row r="29" spans="1:81" ht="12.75" customHeight="1" x14ac:dyDescent="0.2">
      <c r="A29" s="948"/>
      <c r="B29" s="1528" t="s">
        <v>684</v>
      </c>
      <c r="C29" s="957">
        <v>843</v>
      </c>
      <c r="D29" s="1035" t="s">
        <v>41</v>
      </c>
      <c r="E29" s="1166"/>
      <c r="F29" s="2015">
        <v>843</v>
      </c>
      <c r="G29" s="1159">
        <v>0</v>
      </c>
      <c r="H29" s="1007">
        <v>0</v>
      </c>
      <c r="I29" s="1007">
        <v>0</v>
      </c>
      <c r="J29" s="1245">
        <v>0</v>
      </c>
      <c r="K29" s="1159">
        <v>0</v>
      </c>
      <c r="L29" s="1007">
        <v>0</v>
      </c>
      <c r="M29" s="1007">
        <v>0</v>
      </c>
      <c r="N29" s="1245">
        <v>0</v>
      </c>
      <c r="O29" s="1230"/>
      <c r="P29" s="1230"/>
      <c r="Q29" s="1205"/>
      <c r="R29" s="1245"/>
      <c r="S29" s="1230"/>
      <c r="T29" s="1230"/>
      <c r="U29" s="1205"/>
      <c r="V29" s="1245"/>
      <c r="W29" s="1230"/>
      <c r="X29" s="1230"/>
      <c r="Y29" s="1205"/>
      <c r="Z29" s="1245"/>
      <c r="AA29" s="1230"/>
      <c r="AB29" s="1230"/>
      <c r="AC29" s="1205"/>
      <c r="AD29" s="1245"/>
      <c r="AE29" s="1205"/>
      <c r="AF29" s="1205"/>
      <c r="AG29" s="1205"/>
      <c r="AH29" s="1245"/>
      <c r="AI29" s="1205"/>
      <c r="AJ29" s="1205"/>
      <c r="AK29" s="1205"/>
      <c r="AL29" s="1245"/>
      <c r="AM29" s="1205"/>
      <c r="AN29" s="1205"/>
      <c r="AO29" s="1205"/>
      <c r="AP29" s="1245"/>
      <c r="AQ29" s="1205"/>
      <c r="AR29" s="1205"/>
      <c r="AS29" s="1409"/>
      <c r="AT29" s="1245"/>
      <c r="AU29" s="1205"/>
      <c r="AV29" s="1205"/>
      <c r="AW29" s="1205"/>
      <c r="AX29" s="1245"/>
      <c r="AY29" s="1269"/>
      <c r="AZ29" s="1269"/>
      <c r="BA29" s="1269"/>
      <c r="BB29" s="1269"/>
      <c r="BC29" s="1265"/>
      <c r="BD29" s="1245"/>
      <c r="BE29" s="1245"/>
      <c r="BF29" s="1269"/>
      <c r="BG29" s="1265"/>
      <c r="BH29" s="1205"/>
      <c r="BI29" s="1205"/>
      <c r="BJ29" s="1269"/>
      <c r="BK29" s="1035"/>
      <c r="BL29" s="1201"/>
      <c r="BM29" s="1917">
        <v>0</v>
      </c>
      <c r="BN29" s="1917">
        <v>0</v>
      </c>
      <c r="BO29" s="1917">
        <v>0</v>
      </c>
      <c r="BP29" s="1917">
        <v>0</v>
      </c>
      <c r="BQ29" s="1775">
        <v>0</v>
      </c>
      <c r="BR29" s="1234"/>
      <c r="BS29" s="1234"/>
      <c r="BT29" s="1234"/>
      <c r="BU29" s="2001"/>
      <c r="BV29" s="2001"/>
      <c r="BW29" s="2001"/>
      <c r="BX29" s="1317"/>
      <c r="BY29" s="1317"/>
      <c r="BZ29" s="2008"/>
      <c r="CA29" s="2008"/>
      <c r="CB29" s="2008"/>
      <c r="CC29" s="1145"/>
    </row>
    <row r="30" spans="1:81" x14ac:dyDescent="0.2">
      <c r="A30" s="948"/>
      <c r="B30" s="1201" t="s">
        <v>70</v>
      </c>
      <c r="C30" s="957">
        <v>46</v>
      </c>
      <c r="D30" s="1035">
        <v>1.2432432432432432</v>
      </c>
      <c r="E30" s="920"/>
      <c r="F30" s="2015">
        <v>83</v>
      </c>
      <c r="G30" s="1159">
        <v>37</v>
      </c>
      <c r="H30" s="1230">
        <v>44</v>
      </c>
      <c r="I30" s="1230">
        <v>37</v>
      </c>
      <c r="J30" s="1245">
        <v>37</v>
      </c>
      <c r="K30" s="1230">
        <v>52</v>
      </c>
      <c r="L30" s="1230">
        <v>39</v>
      </c>
      <c r="M30" s="1230">
        <v>39</v>
      </c>
      <c r="N30" s="1245">
        <v>71</v>
      </c>
      <c r="O30" s="1230">
        <v>2435</v>
      </c>
      <c r="P30" s="1230">
        <v>183</v>
      </c>
      <c r="Q30" s="1205">
        <v>47</v>
      </c>
      <c r="R30" s="1245">
        <v>343</v>
      </c>
      <c r="S30" s="1230">
        <v>7959</v>
      </c>
      <c r="T30" s="1230">
        <v>2693</v>
      </c>
      <c r="U30" s="1205">
        <v>363</v>
      </c>
      <c r="V30" s="1245">
        <v>334</v>
      </c>
      <c r="W30" s="1230">
        <v>5692</v>
      </c>
      <c r="X30" s="1230">
        <v>383</v>
      </c>
      <c r="Y30" s="1205">
        <v>337</v>
      </c>
      <c r="Z30" s="1245">
        <v>352</v>
      </c>
      <c r="AA30" s="1230">
        <v>426</v>
      </c>
      <c r="AB30" s="1230">
        <v>373</v>
      </c>
      <c r="AC30" s="1205">
        <v>382</v>
      </c>
      <c r="AD30" s="1245">
        <v>426</v>
      </c>
      <c r="AE30" s="1205">
        <v>504</v>
      </c>
      <c r="AF30" s="1205">
        <v>488</v>
      </c>
      <c r="AG30" s="1205">
        <v>509</v>
      </c>
      <c r="AH30" s="1245">
        <v>487</v>
      </c>
      <c r="AI30" s="1205">
        <v>495</v>
      </c>
      <c r="AJ30" s="1205">
        <v>561</v>
      </c>
      <c r="AK30" s="1205">
        <v>527</v>
      </c>
      <c r="AL30" s="1245">
        <v>401</v>
      </c>
      <c r="AM30" s="1205">
        <v>786</v>
      </c>
      <c r="AN30" s="1205">
        <v>587</v>
      </c>
      <c r="AO30" s="1205">
        <v>576</v>
      </c>
      <c r="AP30" s="1245">
        <v>370</v>
      </c>
      <c r="AQ30" s="1205">
        <v>1160</v>
      </c>
      <c r="AR30" s="1205">
        <v>1040</v>
      </c>
      <c r="AS30" s="1409">
        <v>1087</v>
      </c>
      <c r="AT30" s="1245">
        <v>1005</v>
      </c>
      <c r="AU30" s="1205">
        <v>1381</v>
      </c>
      <c r="AV30" s="1205">
        <v>1175</v>
      </c>
      <c r="AW30" s="1205">
        <v>1323</v>
      </c>
      <c r="AX30" s="1245">
        <v>1773</v>
      </c>
      <c r="AY30" s="1269">
        <v>1641</v>
      </c>
      <c r="AZ30" s="1269">
        <v>1288</v>
      </c>
      <c r="BA30" s="1269">
        <v>1243</v>
      </c>
      <c r="BB30" s="1269">
        <v>1509</v>
      </c>
      <c r="BC30" s="1265">
        <v>1308</v>
      </c>
      <c r="BD30" s="1245">
        <v>1121</v>
      </c>
      <c r="BE30" s="1245">
        <v>962</v>
      </c>
      <c r="BF30" s="1269">
        <v>1059</v>
      </c>
      <c r="BG30" s="1265"/>
      <c r="BH30" s="1205">
        <v>155</v>
      </c>
      <c r="BI30" s="1205">
        <v>201</v>
      </c>
      <c r="BJ30" s="1269">
        <v>-46</v>
      </c>
      <c r="BK30" s="1035">
        <v>-0.22885572139303484</v>
      </c>
      <c r="BL30" s="1201"/>
      <c r="BM30" s="1367">
        <v>155</v>
      </c>
      <c r="BN30" s="1367">
        <v>201</v>
      </c>
      <c r="BO30" s="1367">
        <v>3008</v>
      </c>
      <c r="BP30" s="1367">
        <v>11349</v>
      </c>
      <c r="BQ30" s="1234">
        <v>6764</v>
      </c>
      <c r="BR30" s="1234">
        <v>1607</v>
      </c>
      <c r="BS30" s="1234">
        <v>1988</v>
      </c>
      <c r="BT30" s="1234">
        <v>1984</v>
      </c>
      <c r="BU30" s="2001">
        <v>2319</v>
      </c>
      <c r="BV30" s="2001">
        <v>4292</v>
      </c>
      <c r="BW30" s="2001">
        <v>5652</v>
      </c>
      <c r="BX30" s="1317">
        <v>5681</v>
      </c>
      <c r="BY30" s="1317">
        <v>4450</v>
      </c>
      <c r="BZ30" s="2008">
        <v>4256</v>
      </c>
      <c r="CA30" s="2008">
        <v>4444</v>
      </c>
      <c r="CB30" s="2008">
        <v>4143</v>
      </c>
      <c r="CC30" s="1145"/>
    </row>
    <row r="31" spans="1:81" s="1919" customFormat="1" x14ac:dyDescent="0.2">
      <c r="A31" s="946"/>
      <c r="B31" s="946" t="s">
        <v>164</v>
      </c>
      <c r="C31" s="957">
        <v>0</v>
      </c>
      <c r="D31" s="1035">
        <v>0</v>
      </c>
      <c r="E31" s="920"/>
      <c r="F31" s="2015">
        <v>0</v>
      </c>
      <c r="G31" s="1159">
        <v>0</v>
      </c>
      <c r="H31" s="1007">
        <v>0</v>
      </c>
      <c r="I31" s="1007">
        <v>0</v>
      </c>
      <c r="J31" s="1245">
        <v>0</v>
      </c>
      <c r="K31" s="1007">
        <v>0</v>
      </c>
      <c r="L31" s="1007">
        <v>0</v>
      </c>
      <c r="M31" s="1007">
        <v>0</v>
      </c>
      <c r="N31" s="1245">
        <v>0</v>
      </c>
      <c r="O31" s="1007">
        <v>0</v>
      </c>
      <c r="P31" s="1007">
        <v>0</v>
      </c>
      <c r="Q31" s="1269">
        <v>0</v>
      </c>
      <c r="R31" s="1245">
        <v>0</v>
      </c>
      <c r="S31" s="1007">
        <v>4582</v>
      </c>
      <c r="T31" s="1007">
        <v>1300</v>
      </c>
      <c r="U31" s="1269">
        <v>0</v>
      </c>
      <c r="V31" s="1245">
        <v>0</v>
      </c>
      <c r="W31" s="1007">
        <v>1433</v>
      </c>
      <c r="X31" s="1007">
        <v>0</v>
      </c>
      <c r="Y31" s="1269">
        <v>0</v>
      </c>
      <c r="Z31" s="1245">
        <v>1600</v>
      </c>
      <c r="AA31" s="1007">
        <v>0</v>
      </c>
      <c r="AB31" s="1007">
        <v>0</v>
      </c>
      <c r="AC31" s="1269">
        <v>0</v>
      </c>
      <c r="AD31" s="1245">
        <v>0</v>
      </c>
      <c r="AE31" s="1269">
        <v>0</v>
      </c>
      <c r="AF31" s="1269">
        <v>0</v>
      </c>
      <c r="AG31" s="1269">
        <v>900</v>
      </c>
      <c r="AH31" s="1245">
        <v>0</v>
      </c>
      <c r="AI31" s="1269">
        <v>275</v>
      </c>
      <c r="AJ31" s="1269">
        <v>5000</v>
      </c>
      <c r="AK31" s="1269">
        <v>0</v>
      </c>
      <c r="AL31" s="1245">
        <v>0</v>
      </c>
      <c r="AM31" s="1269">
        <v>0</v>
      </c>
      <c r="AN31" s="1269">
        <v>0</v>
      </c>
      <c r="AO31" s="1269">
        <v>0</v>
      </c>
      <c r="AP31" s="1245">
        <v>0</v>
      </c>
      <c r="AQ31" s="1269">
        <v>0</v>
      </c>
      <c r="AR31" s="1269">
        <v>0</v>
      </c>
      <c r="AS31" s="1245">
        <v>0</v>
      </c>
      <c r="AT31" s="1245">
        <v>0</v>
      </c>
      <c r="AU31" s="1205">
        <v>120</v>
      </c>
      <c r="AV31" s="1205">
        <v>1391</v>
      </c>
      <c r="AW31" s="1269">
        <v>0</v>
      </c>
      <c r="AX31" s="1245">
        <v>0</v>
      </c>
      <c r="AY31" s="1269">
        <v>2300</v>
      </c>
      <c r="AZ31" s="1269">
        <v>0</v>
      </c>
      <c r="BA31" s="1269">
        <v>0</v>
      </c>
      <c r="BB31" s="1245">
        <v>0</v>
      </c>
      <c r="BC31" s="1265">
        <v>0</v>
      </c>
      <c r="BD31" s="1245">
        <v>0</v>
      </c>
      <c r="BE31" s="1245"/>
      <c r="BF31" s="1269"/>
      <c r="BG31" s="1265"/>
      <c r="BH31" s="1205">
        <v>0</v>
      </c>
      <c r="BI31" s="1205">
        <v>0</v>
      </c>
      <c r="BJ31" s="1269">
        <v>0</v>
      </c>
      <c r="BK31" s="1035">
        <v>0</v>
      </c>
      <c r="BL31" s="1201"/>
      <c r="BM31" s="1917">
        <v>0</v>
      </c>
      <c r="BN31" s="1917">
        <v>0</v>
      </c>
      <c r="BO31" s="1917">
        <v>0</v>
      </c>
      <c r="BP31" s="1367">
        <v>5882</v>
      </c>
      <c r="BQ31" s="1234">
        <v>3033</v>
      </c>
      <c r="BR31" s="1234">
        <v>0</v>
      </c>
      <c r="BS31" s="1234">
        <v>900</v>
      </c>
      <c r="BT31" s="1234">
        <v>5275</v>
      </c>
      <c r="BU31" s="2001">
        <v>0</v>
      </c>
      <c r="BV31" s="2001">
        <v>0</v>
      </c>
      <c r="BW31" s="1317">
        <v>1511</v>
      </c>
      <c r="BX31" s="2033">
        <v>2300</v>
      </c>
      <c r="BY31" s="2033">
        <v>0</v>
      </c>
      <c r="BZ31" s="2008">
        <v>0</v>
      </c>
      <c r="CA31" s="2008">
        <v>0</v>
      </c>
      <c r="CB31" s="2008">
        <v>0</v>
      </c>
      <c r="CC31" s="1802"/>
    </row>
    <row r="32" spans="1:81" hidden="1" x14ac:dyDescent="0.2">
      <c r="A32" s="948"/>
      <c r="B32" s="1201" t="s">
        <v>185</v>
      </c>
      <c r="C32" s="957">
        <v>0</v>
      </c>
      <c r="D32" s="1035">
        <v>0</v>
      </c>
      <c r="E32" s="920"/>
      <c r="F32" s="2015">
        <v>0</v>
      </c>
      <c r="G32" s="1159">
        <v>0</v>
      </c>
      <c r="H32" s="1007">
        <v>0</v>
      </c>
      <c r="I32" s="1007"/>
      <c r="J32" s="1245"/>
      <c r="K32" s="1007"/>
      <c r="L32" s="1007"/>
      <c r="M32" s="1007"/>
      <c r="N32" s="1245"/>
      <c r="O32" s="1007"/>
      <c r="P32" s="1007">
        <v>0</v>
      </c>
      <c r="Q32" s="1269">
        <v>0</v>
      </c>
      <c r="R32" s="1245">
        <v>0</v>
      </c>
      <c r="S32" s="1007">
        <v>0</v>
      </c>
      <c r="T32" s="1007">
        <v>0</v>
      </c>
      <c r="U32" s="1269">
        <v>0</v>
      </c>
      <c r="V32" s="1245">
        <v>0</v>
      </c>
      <c r="W32" s="1007">
        <v>0</v>
      </c>
      <c r="X32" s="1007">
        <v>0</v>
      </c>
      <c r="Y32" s="1269">
        <v>0</v>
      </c>
      <c r="Z32" s="1245">
        <v>0</v>
      </c>
      <c r="AA32" s="1007">
        <v>0</v>
      </c>
      <c r="AB32" s="1007">
        <v>0</v>
      </c>
      <c r="AC32" s="1269">
        <v>0</v>
      </c>
      <c r="AD32" s="1245">
        <v>0</v>
      </c>
      <c r="AE32" s="1269">
        <v>0</v>
      </c>
      <c r="AF32" s="1269">
        <v>0</v>
      </c>
      <c r="AG32" s="1269">
        <v>0</v>
      </c>
      <c r="AH32" s="1245">
        <v>0</v>
      </c>
      <c r="AI32" s="1269">
        <v>0</v>
      </c>
      <c r="AJ32" s="1269">
        <v>0</v>
      </c>
      <c r="AK32" s="1269">
        <v>1513</v>
      </c>
      <c r="AL32" s="1245">
        <v>0</v>
      </c>
      <c r="AM32" s="1269">
        <v>0</v>
      </c>
      <c r="AN32" s="1269">
        <v>0</v>
      </c>
      <c r="AO32" s="1269">
        <v>0</v>
      </c>
      <c r="AP32" s="1245">
        <v>0</v>
      </c>
      <c r="AQ32" s="1269">
        <v>0</v>
      </c>
      <c r="AR32" s="1269">
        <v>0</v>
      </c>
      <c r="AS32" s="1245">
        <v>0</v>
      </c>
      <c r="AT32" s="1245">
        <v>0</v>
      </c>
      <c r="AU32" s="1269">
        <v>0</v>
      </c>
      <c r="AV32" s="1269">
        <v>0</v>
      </c>
      <c r="AW32" s="1269">
        <v>0</v>
      </c>
      <c r="AX32" s="1245">
        <v>0</v>
      </c>
      <c r="AY32" s="1269">
        <v>0</v>
      </c>
      <c r="AZ32" s="1269">
        <v>0</v>
      </c>
      <c r="BA32" s="1269">
        <v>0</v>
      </c>
      <c r="BB32" s="1245">
        <v>0</v>
      </c>
      <c r="BC32" s="1265">
        <v>0</v>
      </c>
      <c r="BD32" s="1245">
        <v>0</v>
      </c>
      <c r="BE32" s="1245">
        <v>0</v>
      </c>
      <c r="BF32" s="1269">
        <v>0</v>
      </c>
      <c r="BG32" s="1265"/>
      <c r="BH32" s="1205">
        <v>0</v>
      </c>
      <c r="BI32" s="1205">
        <v>0</v>
      </c>
      <c r="BJ32" s="1269">
        <v>0</v>
      </c>
      <c r="BK32" s="1035">
        <v>0</v>
      </c>
      <c r="BL32" s="1201"/>
      <c r="BM32" s="1917">
        <v>0</v>
      </c>
      <c r="BN32" s="1917">
        <v>0</v>
      </c>
      <c r="BO32" s="1917">
        <v>0</v>
      </c>
      <c r="BP32" s="1917">
        <v>0</v>
      </c>
      <c r="BQ32" s="1234">
        <v>0</v>
      </c>
      <c r="BR32" s="1234">
        <v>0</v>
      </c>
      <c r="BS32" s="1234">
        <v>0</v>
      </c>
      <c r="BT32" s="1234">
        <v>1513</v>
      </c>
      <c r="BU32" s="2001">
        <v>0</v>
      </c>
      <c r="BV32" s="2001">
        <v>0</v>
      </c>
      <c r="BW32" s="2001">
        <v>0</v>
      </c>
      <c r="BX32" s="2001">
        <v>0</v>
      </c>
      <c r="BY32" s="2001">
        <v>0</v>
      </c>
      <c r="BZ32" s="2008">
        <v>-1633</v>
      </c>
      <c r="CA32" s="2008">
        <v>0</v>
      </c>
      <c r="CB32" s="2008">
        <v>0</v>
      </c>
      <c r="CC32" s="1145"/>
    </row>
    <row r="33" spans="1:81" ht="12" hidden="1" customHeight="1" x14ac:dyDescent="0.2">
      <c r="A33" s="946"/>
      <c r="B33" s="1201" t="s">
        <v>71</v>
      </c>
      <c r="C33" s="957">
        <v>0</v>
      </c>
      <c r="D33" s="1035" t="e">
        <v>#DIV/0!</v>
      </c>
      <c r="E33" s="920"/>
      <c r="F33" s="2015">
        <v>0</v>
      </c>
      <c r="G33" s="1159">
        <v>0</v>
      </c>
      <c r="H33" s="1007"/>
      <c r="I33" s="1007"/>
      <c r="J33" s="1245"/>
      <c r="K33" s="1007"/>
      <c r="L33" s="1007"/>
      <c r="M33" s="1007"/>
      <c r="N33" s="1245"/>
      <c r="O33" s="1007"/>
      <c r="P33" s="1007"/>
      <c r="Q33" s="1269"/>
      <c r="R33" s="1245"/>
      <c r="S33" s="1007"/>
      <c r="T33" s="1007"/>
      <c r="U33" s="1269"/>
      <c r="V33" s="1245"/>
      <c r="W33" s="1007"/>
      <c r="X33" s="1007"/>
      <c r="Y33" s="1269"/>
      <c r="Z33" s="1245"/>
      <c r="AA33" s="1007"/>
      <c r="AB33" s="1007"/>
      <c r="AC33" s="1269"/>
      <c r="AD33" s="1245"/>
      <c r="AE33" s="1269"/>
      <c r="AF33" s="1269"/>
      <c r="AG33" s="1269"/>
      <c r="AH33" s="1245"/>
      <c r="AI33" s="1269"/>
      <c r="AJ33" s="1269">
        <v>0</v>
      </c>
      <c r="AK33" s="1269">
        <v>0</v>
      </c>
      <c r="AL33" s="1245">
        <v>0</v>
      </c>
      <c r="AM33" s="1269">
        <v>0</v>
      </c>
      <c r="AN33" s="1269">
        <v>0</v>
      </c>
      <c r="AO33" s="1269">
        <v>0</v>
      </c>
      <c r="AP33" s="1245">
        <v>0</v>
      </c>
      <c r="AQ33" s="1269">
        <v>0</v>
      </c>
      <c r="AR33" s="1269">
        <v>0</v>
      </c>
      <c r="AS33" s="1245">
        <v>0</v>
      </c>
      <c r="AT33" s="1245">
        <v>0</v>
      </c>
      <c r="AU33" s="1269">
        <v>0</v>
      </c>
      <c r="AV33" s="1269">
        <v>6700</v>
      </c>
      <c r="AW33" s="1269">
        <v>0</v>
      </c>
      <c r="AX33" s="1245">
        <v>0</v>
      </c>
      <c r="AY33" s="1269">
        <v>3189</v>
      </c>
      <c r="AZ33" s="1269">
        <v>3125</v>
      </c>
      <c r="BA33" s="1269">
        <v>3253</v>
      </c>
      <c r="BB33" s="1245">
        <v>0</v>
      </c>
      <c r="BC33" s="1265">
        <v>0</v>
      </c>
      <c r="BD33" s="1245">
        <v>0</v>
      </c>
      <c r="BE33" s="1245">
        <v>0</v>
      </c>
      <c r="BF33" s="1269">
        <v>0</v>
      </c>
      <c r="BG33" s="1265"/>
      <c r="BH33" s="1205">
        <v>0</v>
      </c>
      <c r="BI33" s="1205">
        <v>0</v>
      </c>
      <c r="BJ33" s="1269"/>
      <c r="BK33" s="1035"/>
      <c r="BL33" s="1201"/>
      <c r="BM33" s="1367">
        <v>0</v>
      </c>
      <c r="BN33" s="1261">
        <v>0</v>
      </c>
      <c r="BO33" s="1261">
        <v>0</v>
      </c>
      <c r="BP33" s="1234"/>
      <c r="BQ33" s="1234"/>
      <c r="BR33" s="1234"/>
      <c r="BS33" s="1234"/>
      <c r="BT33" s="1234"/>
      <c r="BU33" s="2001">
        <v>0</v>
      </c>
      <c r="BV33" s="2001">
        <v>0</v>
      </c>
      <c r="BW33" s="2001">
        <v>6700</v>
      </c>
      <c r="BX33" s="1317">
        <v>9567</v>
      </c>
      <c r="BY33" s="2001">
        <v>0</v>
      </c>
      <c r="BZ33" s="2008">
        <v>0</v>
      </c>
      <c r="CA33" s="2008">
        <v>0</v>
      </c>
      <c r="CB33" s="2008">
        <v>0</v>
      </c>
      <c r="CC33" s="1145"/>
    </row>
    <row r="34" spans="1:81" ht="13.5" x14ac:dyDescent="0.2">
      <c r="A34" s="946"/>
      <c r="B34" s="1201" t="s">
        <v>621</v>
      </c>
      <c r="C34" s="957">
        <v>0</v>
      </c>
      <c r="D34" s="1035">
        <v>0</v>
      </c>
      <c r="E34" s="920"/>
      <c r="F34" s="2015">
        <v>0</v>
      </c>
      <c r="G34" s="1159">
        <v>0</v>
      </c>
      <c r="H34" s="1007">
        <v>0</v>
      </c>
      <c r="I34" s="1007">
        <v>0</v>
      </c>
      <c r="J34" s="1245">
        <v>0</v>
      </c>
      <c r="K34" s="1007">
        <v>1898</v>
      </c>
      <c r="L34" s="1007">
        <v>0</v>
      </c>
      <c r="M34" s="1007">
        <v>0</v>
      </c>
      <c r="N34" s="1245">
        <v>0</v>
      </c>
      <c r="O34" s="1007">
        <v>0</v>
      </c>
      <c r="P34" s="1007">
        <v>0</v>
      </c>
      <c r="Q34" s="1269">
        <v>0</v>
      </c>
      <c r="R34" s="1245">
        <v>0</v>
      </c>
      <c r="S34" s="1007">
        <v>0</v>
      </c>
      <c r="T34" s="1007"/>
      <c r="U34" s="1269"/>
      <c r="V34" s="1245"/>
      <c r="W34" s="1007"/>
      <c r="X34" s="1007"/>
      <c r="Y34" s="1269"/>
      <c r="Z34" s="1245"/>
      <c r="AA34" s="1007"/>
      <c r="AB34" s="1007"/>
      <c r="AC34" s="1269"/>
      <c r="AD34" s="1245"/>
      <c r="AE34" s="1269"/>
      <c r="AF34" s="1269"/>
      <c r="AG34" s="1269"/>
      <c r="AH34" s="1245"/>
      <c r="AI34" s="1269"/>
      <c r="AJ34" s="1269"/>
      <c r="AK34" s="1269"/>
      <c r="AL34" s="1245"/>
      <c r="AM34" s="1269"/>
      <c r="AN34" s="1269"/>
      <c r="AO34" s="1269"/>
      <c r="AP34" s="1245"/>
      <c r="AQ34" s="1269"/>
      <c r="AR34" s="1269"/>
      <c r="AS34" s="1245"/>
      <c r="AT34" s="1245"/>
      <c r="AU34" s="1269"/>
      <c r="AV34" s="1269"/>
      <c r="AW34" s="1269"/>
      <c r="AX34" s="1245"/>
      <c r="AY34" s="1269"/>
      <c r="AZ34" s="1269"/>
      <c r="BA34" s="1269"/>
      <c r="BB34" s="1269"/>
      <c r="BC34" s="1265"/>
      <c r="BD34" s="1245"/>
      <c r="BE34" s="1245"/>
      <c r="BF34" s="1269"/>
      <c r="BG34" s="1265"/>
      <c r="BH34" s="1205">
        <v>0</v>
      </c>
      <c r="BI34" s="1205">
        <v>1898</v>
      </c>
      <c r="BJ34" s="1269">
        <v>-1898</v>
      </c>
      <c r="BK34" s="1035">
        <v>0</v>
      </c>
      <c r="BL34" s="1201"/>
      <c r="BM34" s="1413">
        <v>0</v>
      </c>
      <c r="BN34" s="1261">
        <v>1898</v>
      </c>
      <c r="BO34" s="1261">
        <v>0</v>
      </c>
      <c r="BP34" s="1234">
        <v>0</v>
      </c>
      <c r="BQ34" s="1234">
        <v>0</v>
      </c>
      <c r="BR34" s="1233">
        <v>0</v>
      </c>
      <c r="BS34" s="1233"/>
      <c r="BT34" s="1233"/>
      <c r="BU34" s="1950"/>
      <c r="BV34" s="1950"/>
      <c r="BW34" s="2001"/>
      <c r="BX34" s="1317"/>
      <c r="BY34" s="2001"/>
      <c r="BZ34" s="2008"/>
      <c r="CA34" s="2008"/>
      <c r="CB34" s="2008"/>
      <c r="CC34" s="1145"/>
    </row>
    <row r="35" spans="1:81" ht="13.5" x14ac:dyDescent="0.2">
      <c r="A35" s="946"/>
      <c r="B35" s="1194" t="s">
        <v>668</v>
      </c>
      <c r="C35" s="957">
        <v>0</v>
      </c>
      <c r="D35" s="1035">
        <v>0</v>
      </c>
      <c r="E35" s="920"/>
      <c r="F35" s="2015">
        <v>0</v>
      </c>
      <c r="G35" s="1159">
        <v>0</v>
      </c>
      <c r="H35" s="1007">
        <v>0</v>
      </c>
      <c r="I35" s="1007">
        <v>8608</v>
      </c>
      <c r="J35" s="1245">
        <v>0</v>
      </c>
      <c r="K35" s="1007">
        <v>0</v>
      </c>
      <c r="L35" s="1007">
        <v>0</v>
      </c>
      <c r="M35" s="1007">
        <v>0</v>
      </c>
      <c r="N35" s="1245">
        <v>0</v>
      </c>
      <c r="O35" s="1007">
        <v>0</v>
      </c>
      <c r="P35" s="1007">
        <v>0</v>
      </c>
      <c r="Q35" s="1269">
        <v>0</v>
      </c>
      <c r="R35" s="1245">
        <v>0</v>
      </c>
      <c r="S35" s="1007"/>
      <c r="T35" s="1007"/>
      <c r="U35" s="1269"/>
      <c r="V35" s="1245"/>
      <c r="W35" s="1007"/>
      <c r="X35" s="1007"/>
      <c r="Y35" s="1269"/>
      <c r="Z35" s="1245"/>
      <c r="AA35" s="1007"/>
      <c r="AB35" s="1007"/>
      <c r="AC35" s="1269"/>
      <c r="AD35" s="1245"/>
      <c r="AE35" s="1269"/>
      <c r="AF35" s="1269"/>
      <c r="AG35" s="1269"/>
      <c r="AH35" s="1245"/>
      <c r="AI35" s="1269"/>
      <c r="AJ35" s="1269"/>
      <c r="AK35" s="1269"/>
      <c r="AL35" s="1245"/>
      <c r="AM35" s="1269"/>
      <c r="AN35" s="1269"/>
      <c r="AO35" s="1269"/>
      <c r="AP35" s="1245"/>
      <c r="AQ35" s="1269"/>
      <c r="AR35" s="1269"/>
      <c r="AS35" s="1245"/>
      <c r="AT35" s="1245"/>
      <c r="AU35" s="1269"/>
      <c r="AV35" s="1269"/>
      <c r="AW35" s="1269"/>
      <c r="AX35" s="1245"/>
      <c r="AY35" s="1269"/>
      <c r="AZ35" s="1269"/>
      <c r="BA35" s="1269"/>
      <c r="BB35" s="1269"/>
      <c r="BC35" s="1265"/>
      <c r="BD35" s="1245"/>
      <c r="BE35" s="1245"/>
      <c r="BF35" s="1269"/>
      <c r="BG35" s="1265"/>
      <c r="BH35" s="1205">
        <v>8608</v>
      </c>
      <c r="BI35" s="1205">
        <v>0</v>
      </c>
      <c r="BJ35" s="1269">
        <v>8608</v>
      </c>
      <c r="BK35" s="1035" t="s">
        <v>41</v>
      </c>
      <c r="BL35" s="1201"/>
      <c r="BM35" s="1413">
        <v>8608</v>
      </c>
      <c r="BN35" s="1261">
        <v>0</v>
      </c>
      <c r="BO35" s="1261">
        <v>0</v>
      </c>
      <c r="BP35" s="1234">
        <v>0</v>
      </c>
      <c r="BQ35" s="1234">
        <v>0</v>
      </c>
      <c r="BR35" s="1233">
        <v>0</v>
      </c>
      <c r="BS35" s="1233"/>
      <c r="BT35" s="1233"/>
      <c r="BU35" s="1950"/>
      <c r="BV35" s="1950"/>
      <c r="BW35" s="2001"/>
      <c r="BX35" s="1317"/>
      <c r="BY35" s="2001"/>
      <c r="BZ35" s="2008"/>
      <c r="CA35" s="2008"/>
      <c r="CB35" s="2008"/>
      <c r="CC35" s="1145"/>
    </row>
    <row r="36" spans="1:81" x14ac:dyDescent="0.2">
      <c r="A36" s="946"/>
      <c r="B36" s="946" t="s">
        <v>530</v>
      </c>
      <c r="C36" s="957">
        <v>258</v>
      </c>
      <c r="D36" s="1035" t="s">
        <v>41</v>
      </c>
      <c r="E36" s="920"/>
      <c r="F36" s="2015">
        <v>269</v>
      </c>
      <c r="G36" s="1159">
        <v>-111</v>
      </c>
      <c r="H36" s="1007">
        <v>157</v>
      </c>
      <c r="I36" s="1007">
        <v>247</v>
      </c>
      <c r="J36" s="1245">
        <v>11</v>
      </c>
      <c r="K36" s="1007">
        <v>-4</v>
      </c>
      <c r="L36" s="1007">
        <v>94</v>
      </c>
      <c r="M36" s="1007">
        <v>208</v>
      </c>
      <c r="N36" s="1245">
        <v>0</v>
      </c>
      <c r="O36" s="1007">
        <v>0</v>
      </c>
      <c r="P36" s="1007">
        <v>0</v>
      </c>
      <c r="Q36" s="1269">
        <v>0</v>
      </c>
      <c r="R36" s="1245">
        <v>0</v>
      </c>
      <c r="S36" s="1007">
        <v>0</v>
      </c>
      <c r="T36" s="1007">
        <v>0</v>
      </c>
      <c r="U36" s="1269">
        <v>0</v>
      </c>
      <c r="V36" s="1245">
        <v>0</v>
      </c>
      <c r="W36" s="1007"/>
      <c r="X36" s="1007"/>
      <c r="Y36" s="1269"/>
      <c r="Z36" s="1245"/>
      <c r="AA36" s="1007"/>
      <c r="AB36" s="1007"/>
      <c r="AC36" s="1269"/>
      <c r="AD36" s="1245"/>
      <c r="AE36" s="1269"/>
      <c r="AF36" s="1269"/>
      <c r="AG36" s="1269"/>
      <c r="AH36" s="1245"/>
      <c r="AI36" s="1269"/>
      <c r="AJ36" s="1269"/>
      <c r="AK36" s="1269"/>
      <c r="AL36" s="1245"/>
      <c r="AM36" s="1269"/>
      <c r="AN36" s="1269"/>
      <c r="AO36" s="1269"/>
      <c r="AP36" s="1245"/>
      <c r="AQ36" s="1269"/>
      <c r="AR36" s="1269"/>
      <c r="AS36" s="1245"/>
      <c r="AT36" s="1245"/>
      <c r="AU36" s="1269"/>
      <c r="AV36" s="1269"/>
      <c r="AW36" s="1269"/>
      <c r="AX36" s="1245"/>
      <c r="AY36" s="1269"/>
      <c r="AZ36" s="1269"/>
      <c r="BA36" s="1269"/>
      <c r="BB36" s="1269"/>
      <c r="BC36" s="1265"/>
      <c r="BD36" s="1245"/>
      <c r="BE36" s="1245"/>
      <c r="BF36" s="1269"/>
      <c r="BG36" s="1265"/>
      <c r="BH36" s="1205">
        <v>304</v>
      </c>
      <c r="BI36" s="1205">
        <v>298</v>
      </c>
      <c r="BJ36" s="1269">
        <v>6</v>
      </c>
      <c r="BK36" s="1035">
        <v>2.0134228187919462E-2</v>
      </c>
      <c r="BL36" s="1201"/>
      <c r="BM36" s="1413">
        <v>304</v>
      </c>
      <c r="BN36" s="2523">
        <v>298</v>
      </c>
      <c r="BO36" s="2523">
        <v>0</v>
      </c>
      <c r="BP36" s="1234">
        <v>0</v>
      </c>
      <c r="BQ36" s="1234">
        <v>0</v>
      </c>
      <c r="BR36" s="1233">
        <v>0</v>
      </c>
      <c r="BS36" s="1233">
        <v>0</v>
      </c>
      <c r="BT36" s="1233"/>
      <c r="BU36" s="1950"/>
      <c r="BV36" s="1950"/>
      <c r="BW36" s="2001"/>
      <c r="BX36" s="1317"/>
      <c r="BY36" s="2001"/>
      <c r="BZ36" s="2008"/>
      <c r="CA36" s="2008"/>
      <c r="CB36" s="2008"/>
      <c r="CC36" s="1145"/>
    </row>
    <row r="37" spans="1:81" ht="12.75" customHeight="1" x14ac:dyDescent="0.2">
      <c r="A37" s="948"/>
      <c r="B37" s="946"/>
      <c r="C37" s="1189">
        <v>3939</v>
      </c>
      <c r="D37" s="1190">
        <v>0.2533607769987779</v>
      </c>
      <c r="E37" s="920"/>
      <c r="F37" s="2054">
        <v>19486</v>
      </c>
      <c r="G37" s="1455">
        <v>22723</v>
      </c>
      <c r="H37" s="1455">
        <v>19206</v>
      </c>
      <c r="I37" s="1455">
        <v>28934</v>
      </c>
      <c r="J37" s="1382">
        <v>15547</v>
      </c>
      <c r="K37" s="1381">
        <v>16715</v>
      </c>
      <c r="L37" s="1455">
        <v>15073</v>
      </c>
      <c r="M37" s="1455">
        <v>12276</v>
      </c>
      <c r="N37" s="1382">
        <v>14424</v>
      </c>
      <c r="O37" s="1381">
        <v>18591</v>
      </c>
      <c r="P37" s="1455">
        <v>18755</v>
      </c>
      <c r="Q37" s="1381">
        <v>13645</v>
      </c>
      <c r="R37" s="1382">
        <v>12710</v>
      </c>
      <c r="S37" s="1381">
        <v>27582</v>
      </c>
      <c r="T37" s="1381">
        <v>17451</v>
      </c>
      <c r="U37" s="1381">
        <v>13258</v>
      </c>
      <c r="V37" s="1382">
        <v>14650</v>
      </c>
      <c r="W37" s="1381">
        <v>22502</v>
      </c>
      <c r="X37" s="1381">
        <v>11773</v>
      </c>
      <c r="Y37" s="1381">
        <v>14577</v>
      </c>
      <c r="Z37" s="1382">
        <v>15195</v>
      </c>
      <c r="AA37" s="1381">
        <v>14301</v>
      </c>
      <c r="AB37" s="1381">
        <v>14113</v>
      </c>
      <c r="AC37" s="1381">
        <v>10859</v>
      </c>
      <c r="AD37" s="1382">
        <v>11815</v>
      </c>
      <c r="AE37" s="1381">
        <v>17861</v>
      </c>
      <c r="AF37" s="1381">
        <v>16806</v>
      </c>
      <c r="AG37" s="1381">
        <v>13059</v>
      </c>
      <c r="AH37" s="1382">
        <v>13912</v>
      </c>
      <c r="AI37" s="1381">
        <v>20353</v>
      </c>
      <c r="AJ37" s="1381">
        <v>22418</v>
      </c>
      <c r="AK37" s="1381">
        <v>17057</v>
      </c>
      <c r="AL37" s="1382">
        <v>19546</v>
      </c>
      <c r="AM37" s="1381">
        <v>26472</v>
      </c>
      <c r="AN37" s="1381">
        <v>22610</v>
      </c>
      <c r="AO37" s="1381">
        <v>18461</v>
      </c>
      <c r="AP37" s="1382">
        <v>18221</v>
      </c>
      <c r="AQ37" s="1381">
        <v>19487</v>
      </c>
      <c r="AR37" s="1381">
        <v>20730</v>
      </c>
      <c r="AS37" s="1382">
        <v>16652</v>
      </c>
      <c r="AT37" s="1382">
        <v>17168</v>
      </c>
      <c r="AU37" s="1381">
        <v>16804</v>
      </c>
      <c r="AV37" s="1381">
        <v>23639</v>
      </c>
      <c r="AW37" s="1381">
        <v>16744</v>
      </c>
      <c r="AX37" s="1382">
        <v>19476</v>
      </c>
      <c r="AY37" s="1381">
        <v>20260</v>
      </c>
      <c r="AZ37" s="1381">
        <v>23462</v>
      </c>
      <c r="BA37" s="1381">
        <v>21574</v>
      </c>
      <c r="BB37" s="1266">
        <v>23723</v>
      </c>
      <c r="BC37" s="1243">
        <v>20053</v>
      </c>
      <c r="BD37" s="1240">
        <v>19182</v>
      </c>
      <c r="BE37" s="1240">
        <v>18732</v>
      </c>
      <c r="BF37" s="1266">
        <v>20213</v>
      </c>
      <c r="BG37" s="1034"/>
      <c r="BH37" s="1266">
        <v>86410</v>
      </c>
      <c r="BI37" s="1266">
        <v>58488</v>
      </c>
      <c r="BJ37" s="1863">
        <v>27922</v>
      </c>
      <c r="BK37" s="1344">
        <v>0.47739707290384353</v>
      </c>
      <c r="BL37" s="1059"/>
      <c r="BM37" s="1403">
        <v>86410</v>
      </c>
      <c r="BN37" s="1243">
        <v>58488</v>
      </c>
      <c r="BO37" s="1266">
        <v>63701</v>
      </c>
      <c r="BP37" s="1243">
        <v>72941</v>
      </c>
      <c r="BQ37" s="1243">
        <v>64047</v>
      </c>
      <c r="BR37" s="1382">
        <v>51088</v>
      </c>
      <c r="BS37" s="1382">
        <v>61638</v>
      </c>
      <c r="BT37" s="1382">
        <v>79374</v>
      </c>
      <c r="BU37" s="1955">
        <v>85764</v>
      </c>
      <c r="BV37" s="1956">
        <v>74037</v>
      </c>
      <c r="BW37" s="1329">
        <v>76663</v>
      </c>
      <c r="BX37" s="1329">
        <v>89019</v>
      </c>
      <c r="BY37" s="1329">
        <v>78180</v>
      </c>
      <c r="BZ37" s="2162">
        <v>68726</v>
      </c>
      <c r="CA37" s="2162">
        <v>58783</v>
      </c>
      <c r="CB37" s="2011">
        <v>66472</v>
      </c>
      <c r="CC37" s="1145"/>
    </row>
    <row r="38" spans="1:81" s="2304" customFormat="1" ht="24.75" customHeight="1" thickBot="1" x14ac:dyDescent="0.25">
      <c r="A38" s="3199" t="s">
        <v>199</v>
      </c>
      <c r="B38" s="3200"/>
      <c r="C38" s="1189">
        <v>-3570</v>
      </c>
      <c r="D38" s="1190">
        <v>0.35096342902084154</v>
      </c>
      <c r="E38" s="920"/>
      <c r="F38" s="2012">
        <v>-13742</v>
      </c>
      <c r="G38" s="1172">
        <v>-15092</v>
      </c>
      <c r="H38" s="1276">
        <v>-12958</v>
      </c>
      <c r="I38" s="1276">
        <v>-23758</v>
      </c>
      <c r="J38" s="1277">
        <v>-10172</v>
      </c>
      <c r="K38" s="1276">
        <v>-11700</v>
      </c>
      <c r="L38" s="1276">
        <v>-11207</v>
      </c>
      <c r="M38" s="1276">
        <v>-9172</v>
      </c>
      <c r="N38" s="1277">
        <v>-11353</v>
      </c>
      <c r="O38" s="1276">
        <v>-13788</v>
      </c>
      <c r="P38" s="1276">
        <v>-15283</v>
      </c>
      <c r="Q38" s="1276">
        <v>-10738</v>
      </c>
      <c r="R38" s="1277">
        <v>-9848</v>
      </c>
      <c r="S38" s="1276">
        <v>-25683</v>
      </c>
      <c r="T38" s="1276">
        <v>-18415</v>
      </c>
      <c r="U38" s="1276">
        <v>-9361</v>
      </c>
      <c r="V38" s="1277">
        <v>-10514</v>
      </c>
      <c r="W38" s="1195">
        <v>-18167</v>
      </c>
      <c r="X38" s="1276">
        <v>-7400</v>
      </c>
      <c r="Y38" s="1276">
        <v>-10344</v>
      </c>
      <c r="Z38" s="1277">
        <v>-11368</v>
      </c>
      <c r="AA38" s="1195">
        <v>-12448</v>
      </c>
      <c r="AB38" s="1276">
        <v>-9125</v>
      </c>
      <c r="AC38" s="1276">
        <v>-4487</v>
      </c>
      <c r="AD38" s="1277">
        <v>-9610</v>
      </c>
      <c r="AE38" s="1195">
        <v>-12816</v>
      </c>
      <c r="AF38" s="1276">
        <v>-12271</v>
      </c>
      <c r="AG38" s="1276">
        <v>-3056</v>
      </c>
      <c r="AH38" s="1277">
        <v>-9018</v>
      </c>
      <c r="AI38" s="1195">
        <v>-10252</v>
      </c>
      <c r="AJ38" s="1276">
        <v>-12681</v>
      </c>
      <c r="AK38" s="1276">
        <v>-14421</v>
      </c>
      <c r="AL38" s="1240">
        <v>-11923</v>
      </c>
      <c r="AM38" s="1381">
        <v>-15352</v>
      </c>
      <c r="AN38" s="1381">
        <v>-14133</v>
      </c>
      <c r="AO38" s="1270">
        <v>-10678</v>
      </c>
      <c r="AP38" s="1382">
        <v>-13663</v>
      </c>
      <c r="AQ38" s="1270">
        <v>-14840</v>
      </c>
      <c r="AR38" s="1381">
        <v>-15356</v>
      </c>
      <c r="AS38" s="1270">
        <v>-11521</v>
      </c>
      <c r="AT38" s="1382">
        <v>-5387</v>
      </c>
      <c r="AU38" s="1381">
        <v>-12035</v>
      </c>
      <c r="AV38" s="1381">
        <v>-19233</v>
      </c>
      <c r="AW38" s="1381">
        <v>-8095</v>
      </c>
      <c r="AX38" s="1382">
        <v>-9414</v>
      </c>
      <c r="AY38" s="1456">
        <v>-9242</v>
      </c>
      <c r="AZ38" s="1240">
        <v>-10857</v>
      </c>
      <c r="BA38" s="1240">
        <v>-9191</v>
      </c>
      <c r="BB38" s="1266">
        <v>-8959</v>
      </c>
      <c r="BC38" s="1266">
        <v>-9637</v>
      </c>
      <c r="BD38" s="1266">
        <v>-11127</v>
      </c>
      <c r="BE38" s="1266">
        <v>-11360</v>
      </c>
      <c r="BF38" s="1266">
        <v>-11478</v>
      </c>
      <c r="BG38" s="1034"/>
      <c r="BH38" s="1303">
        <v>-61980</v>
      </c>
      <c r="BI38" s="1385">
        <v>-43432</v>
      </c>
      <c r="BJ38" s="1743">
        <v>-18548</v>
      </c>
      <c r="BK38" s="1190">
        <v>-0.42705839012709523</v>
      </c>
      <c r="BL38" s="1059"/>
      <c r="BM38" s="1403">
        <v>-61980</v>
      </c>
      <c r="BN38" s="1275">
        <v>-43432</v>
      </c>
      <c r="BO38" s="1303">
        <v>-49657</v>
      </c>
      <c r="BP38" s="1275">
        <v>-63973</v>
      </c>
      <c r="BQ38" s="1268">
        <v>-47279</v>
      </c>
      <c r="BR38" s="1268">
        <v>-35670</v>
      </c>
      <c r="BS38" s="1268">
        <v>-37161</v>
      </c>
      <c r="BT38" s="1268">
        <v>-49277</v>
      </c>
      <c r="BU38" s="2012">
        <v>-53826</v>
      </c>
      <c r="BV38" s="2036">
        <v>-47104</v>
      </c>
      <c r="BW38" s="2036">
        <v>-48777</v>
      </c>
      <c r="BX38" s="1958">
        <v>-38249</v>
      </c>
      <c r="BY38" s="1958">
        <v>-43602</v>
      </c>
      <c r="BZ38" s="2024">
        <v>-44171</v>
      </c>
      <c r="CA38" s="2024">
        <v>-43835</v>
      </c>
      <c r="CB38" s="2168">
        <v>-52056</v>
      </c>
      <c r="CC38" s="1153"/>
    </row>
    <row r="39" spans="1:81" s="2304" customFormat="1" ht="13.5" thickTop="1" x14ac:dyDescent="0.2">
      <c r="A39" s="2551"/>
      <c r="B39" s="2526" t="s">
        <v>332</v>
      </c>
      <c r="C39" s="1189">
        <v>-906</v>
      </c>
      <c r="D39" s="1190">
        <v>-0.11840041819132253</v>
      </c>
      <c r="E39" s="920"/>
      <c r="F39" s="2015">
        <v>-8558</v>
      </c>
      <c r="G39" s="1159">
        <v>-10065</v>
      </c>
      <c r="H39" s="1205">
        <v>-7658</v>
      </c>
      <c r="I39" s="1205">
        <v>-7781</v>
      </c>
      <c r="J39" s="1409">
        <v>-7652</v>
      </c>
      <c r="K39" s="1205">
        <v>-7736</v>
      </c>
      <c r="L39" s="1205">
        <v>-7502</v>
      </c>
      <c r="M39" s="1205">
        <v>-7960</v>
      </c>
      <c r="N39" s="1409">
        <v>-8855</v>
      </c>
      <c r="O39" s="1205">
        <v>-9443</v>
      </c>
      <c r="P39" s="1205">
        <v>-9710</v>
      </c>
      <c r="Q39" s="1205">
        <v>-8650</v>
      </c>
      <c r="R39" s="1409">
        <v>-7203</v>
      </c>
      <c r="S39" s="1205">
        <v>-10816</v>
      </c>
      <c r="T39" s="1205">
        <v>-9132</v>
      </c>
      <c r="U39" s="1205">
        <v>-9885</v>
      </c>
      <c r="V39" s="1409">
        <v>-9108</v>
      </c>
      <c r="W39" s="1205">
        <v>-8708</v>
      </c>
      <c r="X39" s="1205">
        <v>-7427</v>
      </c>
      <c r="Y39" s="1205">
        <v>-9367</v>
      </c>
      <c r="Z39" s="1409">
        <v>-8091</v>
      </c>
      <c r="AA39" s="1417">
        <v>-8879</v>
      </c>
      <c r="AB39" s="1205">
        <v>-8738</v>
      </c>
      <c r="AC39" s="1205">
        <v>-6895</v>
      </c>
      <c r="AD39" s="1409">
        <v>-5772</v>
      </c>
      <c r="AE39" s="1205">
        <v>-6966</v>
      </c>
      <c r="AF39" s="1205">
        <v>-7226</v>
      </c>
      <c r="AG39" s="1205">
        <v>-7824</v>
      </c>
      <c r="AH39" s="1409">
        <v>-8287</v>
      </c>
      <c r="AI39" s="1205">
        <v>-9221</v>
      </c>
      <c r="AJ39" s="1205">
        <v>-6997</v>
      </c>
      <c r="AK39" s="1205">
        <v>-6806</v>
      </c>
      <c r="AL39" s="1418">
        <v>-7518</v>
      </c>
      <c r="AM39" s="1398"/>
      <c r="AN39" s="1398"/>
      <c r="AO39" s="1398"/>
      <c r="AP39" s="1397"/>
      <c r="AQ39" s="1398"/>
      <c r="AR39" s="1398"/>
      <c r="AS39" s="1397"/>
      <c r="AT39" s="1397"/>
      <c r="AU39" s="1410"/>
      <c r="AV39" s="1410"/>
      <c r="AW39" s="1411"/>
      <c r="AX39" s="1411"/>
      <c r="AY39" s="1433"/>
      <c r="AZ39" s="1411"/>
      <c r="BA39" s="1411"/>
      <c r="BB39" s="1410"/>
      <c r="BC39" s="1410"/>
      <c r="BD39" s="1410"/>
      <c r="BE39" s="1410"/>
      <c r="BF39" s="1410"/>
      <c r="BG39" s="1830"/>
      <c r="BH39" s="1205">
        <v>-33156</v>
      </c>
      <c r="BI39" s="1205">
        <v>-32053</v>
      </c>
      <c r="BJ39" s="1205">
        <v>-1103</v>
      </c>
      <c r="BK39" s="1190">
        <v>-3.4411755529903595E-2</v>
      </c>
      <c r="BL39" s="2917"/>
      <c r="BM39" s="1403">
        <v>-33156</v>
      </c>
      <c r="BN39" s="1413">
        <v>-32053</v>
      </c>
      <c r="BO39" s="1205">
        <v>-35006</v>
      </c>
      <c r="BP39" s="1413">
        <v>-38941</v>
      </c>
      <c r="BQ39" s="1870">
        <v>-33593</v>
      </c>
      <c r="BR39" s="1871">
        <v>-33256</v>
      </c>
      <c r="BS39" s="1871">
        <v>-45797</v>
      </c>
      <c r="BT39" s="1871">
        <v>-47604</v>
      </c>
      <c r="BU39" s="1960">
        <v>-47507</v>
      </c>
      <c r="BV39" s="2045">
        <v>-45355</v>
      </c>
      <c r="BW39" s="2044" t="s">
        <v>181</v>
      </c>
      <c r="BX39" s="2044"/>
      <c r="BY39" s="2039"/>
      <c r="BZ39" s="2042"/>
      <c r="CA39" s="2042"/>
      <c r="CB39" s="915"/>
      <c r="CC39" s="1145"/>
    </row>
    <row r="40" spans="1:81" s="2304" customFormat="1" ht="13.5" thickBot="1" x14ac:dyDescent="0.25">
      <c r="A40" s="2528" t="s">
        <v>72</v>
      </c>
      <c r="B40" s="947"/>
      <c r="C40" s="1189">
        <v>-2664</v>
      </c>
      <c r="D40" s="1190">
        <v>-1.0571428571428572</v>
      </c>
      <c r="E40" s="920"/>
      <c r="F40" s="1443">
        <v>-5184</v>
      </c>
      <c r="G40" s="1332">
        <v>-5027</v>
      </c>
      <c r="H40" s="1435">
        <v>-5300</v>
      </c>
      <c r="I40" s="1435">
        <v>-15977</v>
      </c>
      <c r="J40" s="1439">
        <v>-2520</v>
      </c>
      <c r="K40" s="1435">
        <v>-3964</v>
      </c>
      <c r="L40" s="1435">
        <v>-3705</v>
      </c>
      <c r="M40" s="1435">
        <v>-1212</v>
      </c>
      <c r="N40" s="1439">
        <v>-2498</v>
      </c>
      <c r="O40" s="1435">
        <v>-4345</v>
      </c>
      <c r="P40" s="1435">
        <v>-5573</v>
      </c>
      <c r="Q40" s="1435">
        <v>-2088</v>
      </c>
      <c r="R40" s="1439">
        <v>-2645</v>
      </c>
      <c r="S40" s="1435">
        <v>-14867</v>
      </c>
      <c r="T40" s="1435">
        <v>-9283</v>
      </c>
      <c r="U40" s="1435">
        <v>524</v>
      </c>
      <c r="V40" s="1439">
        <v>-1406</v>
      </c>
      <c r="W40" s="1435">
        <v>-9459</v>
      </c>
      <c r="X40" s="1435">
        <v>27</v>
      </c>
      <c r="Y40" s="1435">
        <v>-977</v>
      </c>
      <c r="Z40" s="1439">
        <v>-3277</v>
      </c>
      <c r="AA40" s="1435">
        <v>-3569</v>
      </c>
      <c r="AB40" s="1435">
        <v>-387</v>
      </c>
      <c r="AC40" s="1435">
        <v>2408</v>
      </c>
      <c r="AD40" s="1439">
        <v>-3838</v>
      </c>
      <c r="AE40" s="1435">
        <v>-5850</v>
      </c>
      <c r="AF40" s="1435">
        <v>-5045</v>
      </c>
      <c r="AG40" s="1435">
        <v>4768</v>
      </c>
      <c r="AH40" s="1439">
        <v>-731</v>
      </c>
      <c r="AI40" s="1435">
        <v>-1031</v>
      </c>
      <c r="AJ40" s="1435">
        <v>-5684</v>
      </c>
      <c r="AK40" s="1435">
        <v>-7615</v>
      </c>
      <c r="AL40" s="1438">
        <v>-4405</v>
      </c>
      <c r="AM40" s="1437" t="e">
        <v>#REF!</v>
      </c>
      <c r="AN40" s="1437" t="e">
        <v>#REF!</v>
      </c>
      <c r="AO40" s="1437" t="e">
        <v>#REF!</v>
      </c>
      <c r="AP40" s="1438" t="e">
        <v>#REF!</v>
      </c>
      <c r="AQ40" s="1437">
        <v>-2915</v>
      </c>
      <c r="AR40" s="1437">
        <v>-3212</v>
      </c>
      <c r="AS40" s="1438">
        <v>-1111</v>
      </c>
      <c r="AT40" s="1438">
        <v>5489</v>
      </c>
      <c r="AU40" s="1440" t="s">
        <v>181</v>
      </c>
      <c r="AV40" s="1440" t="s">
        <v>181</v>
      </c>
      <c r="AW40" s="1441" t="s">
        <v>181</v>
      </c>
      <c r="AX40" s="1441" t="s">
        <v>181</v>
      </c>
      <c r="AY40" s="1832" t="s">
        <v>181</v>
      </c>
      <c r="AZ40" s="1411"/>
      <c r="BA40" s="1411"/>
      <c r="BB40" s="1410"/>
      <c r="BC40" s="1410"/>
      <c r="BD40" s="1410"/>
      <c r="BE40" s="1410"/>
      <c r="BF40" s="1410"/>
      <c r="BG40" s="1830"/>
      <c r="BH40" s="1435">
        <v>-28824</v>
      </c>
      <c r="BI40" s="1435">
        <v>-11379</v>
      </c>
      <c r="BJ40" s="1435">
        <v>-17445</v>
      </c>
      <c r="BK40" s="1190" t="s">
        <v>41</v>
      </c>
      <c r="BL40" s="2917"/>
      <c r="BM40" s="1443">
        <v>-28824</v>
      </c>
      <c r="BN40" s="1443">
        <v>-11379</v>
      </c>
      <c r="BO40" s="1435">
        <v>-14651</v>
      </c>
      <c r="BP40" s="1443">
        <v>-25032</v>
      </c>
      <c r="BQ40" s="1443">
        <v>-13686</v>
      </c>
      <c r="BR40" s="1439">
        <v>-2414</v>
      </c>
      <c r="BS40" s="1438">
        <v>8636</v>
      </c>
      <c r="BT40" s="1439">
        <v>-1673</v>
      </c>
      <c r="BU40" s="1963">
        <v>-6319</v>
      </c>
      <c r="BV40" s="2048">
        <v>-1749</v>
      </c>
      <c r="BW40" s="2169" t="s">
        <v>181</v>
      </c>
      <c r="BX40" s="2169" t="s">
        <v>181</v>
      </c>
      <c r="BY40" s="2047" t="s">
        <v>181</v>
      </c>
      <c r="BZ40" s="2050" t="s">
        <v>181</v>
      </c>
      <c r="CA40" s="2050" t="s">
        <v>181</v>
      </c>
      <c r="CB40" s="915"/>
      <c r="CC40" s="1145"/>
    </row>
    <row r="41" spans="1:81" s="2304" customFormat="1" ht="12.75" hidden="1" customHeight="1" thickTop="1" x14ac:dyDescent="0.2">
      <c r="A41" s="948"/>
      <c r="B41" s="946"/>
      <c r="C41" s="957">
        <v>0</v>
      </c>
      <c r="D41" s="1035"/>
      <c r="E41" s="908"/>
      <c r="F41" s="1321"/>
      <c r="G41" s="1321"/>
      <c r="H41" s="1398"/>
      <c r="I41" s="1398"/>
      <c r="J41" s="1397"/>
      <c r="K41" s="1398"/>
      <c r="L41" s="1398"/>
      <c r="M41" s="1398"/>
      <c r="N41" s="1397"/>
      <c r="O41" s="1398"/>
      <c r="P41" s="1398"/>
      <c r="Q41" s="1398"/>
      <c r="R41" s="1397"/>
      <c r="S41" s="1398"/>
      <c r="T41" s="1398"/>
      <c r="U41" s="1398"/>
      <c r="V41" s="1397"/>
      <c r="W41" s="1398"/>
      <c r="X41" s="1398"/>
      <c r="Y41" s="1398"/>
      <c r="Z41" s="1397"/>
      <c r="AA41" s="1398"/>
      <c r="AB41" s="1398"/>
      <c r="AC41" s="1398"/>
      <c r="AD41" s="1397"/>
      <c r="AE41" s="1398"/>
      <c r="AF41" s="1398"/>
      <c r="AG41" s="1398"/>
      <c r="AH41" s="1397"/>
      <c r="AI41" s="1398"/>
      <c r="AJ41" s="1398"/>
      <c r="AK41" s="1398"/>
      <c r="AL41" s="1397"/>
      <c r="AM41" s="1398"/>
      <c r="AN41" s="1398"/>
      <c r="AO41" s="1398"/>
      <c r="AP41" s="1397"/>
      <c r="AQ41" s="1398"/>
      <c r="AR41" s="1398"/>
      <c r="AS41" s="1398"/>
      <c r="AT41" s="1397"/>
      <c r="AU41" s="1398"/>
      <c r="AV41" s="1398"/>
      <c r="AW41" s="1398"/>
      <c r="AX41" s="1397"/>
      <c r="AY41" s="1367"/>
      <c r="AZ41" s="1411"/>
      <c r="BA41" s="1411"/>
      <c r="BB41" s="1410"/>
      <c r="BC41" s="1410"/>
      <c r="BD41" s="1410"/>
      <c r="BE41" s="1410"/>
      <c r="BF41" s="1410"/>
      <c r="BG41" s="1293"/>
      <c r="BH41" s="1398"/>
      <c r="BI41" s="1398"/>
      <c r="BJ41" s="1009"/>
      <c r="BK41" s="952"/>
      <c r="BL41" s="1830"/>
      <c r="BM41" s="1410">
        <v>0</v>
      </c>
      <c r="BN41" s="1410">
        <v>0</v>
      </c>
      <c r="BO41" s="1410"/>
      <c r="BP41" s="1410"/>
      <c r="BQ41" s="1410"/>
      <c r="BR41" s="1410"/>
      <c r="BS41" s="1410"/>
      <c r="BT41" s="1410"/>
      <c r="BU41" s="2038"/>
      <c r="BV41" s="2038"/>
      <c r="BW41" s="1317"/>
      <c r="BX41" s="1957"/>
      <c r="BY41" s="1957"/>
      <c r="BZ41" s="916"/>
      <c r="CA41" s="926"/>
      <c r="CB41" s="915"/>
      <c r="CC41" s="1145"/>
    </row>
    <row r="42" spans="1:81" s="2304" customFormat="1" ht="12.75" hidden="1" customHeight="1" x14ac:dyDescent="0.2">
      <c r="A42" s="1201"/>
      <c r="B42" s="1201" t="s">
        <v>6</v>
      </c>
      <c r="C42" s="957">
        <v>0</v>
      </c>
      <c r="D42" s="1035">
        <v>0</v>
      </c>
      <c r="E42" s="908"/>
      <c r="F42" s="1321"/>
      <c r="G42" s="1321"/>
      <c r="H42" s="1398"/>
      <c r="I42" s="1398"/>
      <c r="J42" s="1397"/>
      <c r="K42" s="1398"/>
      <c r="L42" s="1398"/>
      <c r="M42" s="1398"/>
      <c r="N42" s="1397"/>
      <c r="O42" s="1398"/>
      <c r="P42" s="1398"/>
      <c r="Q42" s="1398"/>
      <c r="R42" s="1397"/>
      <c r="S42" s="1398"/>
      <c r="T42" s="1398"/>
      <c r="U42" s="1398"/>
      <c r="V42" s="1397"/>
      <c r="W42" s="1398"/>
      <c r="X42" s="1398"/>
      <c r="Y42" s="1398"/>
      <c r="Z42" s="1397"/>
      <c r="AA42" s="1398"/>
      <c r="AB42" s="1398"/>
      <c r="AC42" s="1398"/>
      <c r="AD42" s="1397"/>
      <c r="AE42" s="1398"/>
      <c r="AF42" s="1398"/>
      <c r="AG42" s="1398"/>
      <c r="AH42" s="1397"/>
      <c r="AI42" s="1398"/>
      <c r="AJ42" s="1398"/>
      <c r="AK42" s="1398"/>
      <c r="AL42" s="1397"/>
      <c r="AM42" s="1398"/>
      <c r="AN42" s="1398"/>
      <c r="AO42" s="1398"/>
      <c r="AP42" s="1397"/>
      <c r="AQ42" s="1398"/>
      <c r="AR42" s="1398">
        <v>-875</v>
      </c>
      <c r="AS42" s="1398">
        <v>20</v>
      </c>
      <c r="AT42" s="1397">
        <v>2277</v>
      </c>
      <c r="AU42" s="1398">
        <v>491</v>
      </c>
      <c r="AV42" s="1398">
        <v>-2942</v>
      </c>
      <c r="AW42" s="1398">
        <v>1904</v>
      </c>
      <c r="AX42" s="1397">
        <v>1525</v>
      </c>
      <c r="AY42" s="1367">
        <v>141</v>
      </c>
      <c r="AZ42" s="1411"/>
      <c r="BA42" s="1411"/>
      <c r="BB42" s="1410"/>
      <c r="BC42" s="1410"/>
      <c r="BD42" s="1410"/>
      <c r="BE42" s="1410"/>
      <c r="BF42" s="1410"/>
      <c r="BG42" s="1293"/>
      <c r="BH42" s="1398"/>
      <c r="BI42" s="1398"/>
      <c r="BJ42" s="1009">
        <v>1422</v>
      </c>
      <c r="BK42" s="952" t="e">
        <v>#DIV/0!</v>
      </c>
      <c r="BL42" s="1830"/>
      <c r="BM42" s="1410">
        <v>0</v>
      </c>
      <c r="BN42" s="1410">
        <v>0</v>
      </c>
      <c r="BO42" s="1410"/>
      <c r="BP42" s="1410"/>
      <c r="BQ42" s="1410"/>
      <c r="BR42" s="1410"/>
      <c r="BS42" s="1410"/>
      <c r="BT42" s="1410"/>
      <c r="BU42" s="2038">
        <v>1422</v>
      </c>
      <c r="BV42" s="2038"/>
      <c r="BW42" s="1317">
        <v>932</v>
      </c>
      <c r="BX42" s="1957">
        <v>-1912</v>
      </c>
      <c r="BY42" s="1957">
        <v>-4538</v>
      </c>
      <c r="BZ42" s="916">
        <v>-3087</v>
      </c>
      <c r="CA42" s="926">
        <v>-2784</v>
      </c>
      <c r="CB42" s="915"/>
      <c r="CC42" s="1145"/>
    </row>
    <row r="43" spans="1:81" s="2304" customFormat="1" ht="12.75" hidden="1" customHeight="1" x14ac:dyDescent="0.2">
      <c r="A43" s="1201"/>
      <c r="B43" s="1201"/>
      <c r="C43" s="957">
        <v>0</v>
      </c>
      <c r="D43" s="1035"/>
      <c r="E43" s="908"/>
      <c r="F43" s="1328"/>
      <c r="G43" s="1328"/>
      <c r="H43" s="1420"/>
      <c r="I43" s="1420"/>
      <c r="J43" s="1397"/>
      <c r="K43" s="1420"/>
      <c r="L43" s="1420"/>
      <c r="M43" s="1420"/>
      <c r="N43" s="1397"/>
      <c r="O43" s="1420"/>
      <c r="P43" s="1420"/>
      <c r="Q43" s="1420"/>
      <c r="R43" s="1397"/>
      <c r="S43" s="1420"/>
      <c r="T43" s="1420"/>
      <c r="U43" s="1420"/>
      <c r="V43" s="1397"/>
      <c r="W43" s="1420"/>
      <c r="X43" s="1420"/>
      <c r="Y43" s="1420"/>
      <c r="Z43" s="1397"/>
      <c r="AA43" s="1420"/>
      <c r="AB43" s="1420"/>
      <c r="AC43" s="1420"/>
      <c r="AD43" s="1397"/>
      <c r="AE43" s="1420"/>
      <c r="AF43" s="1420"/>
      <c r="AG43" s="1420"/>
      <c r="AH43" s="1397"/>
      <c r="AI43" s="1398"/>
      <c r="AJ43" s="1420"/>
      <c r="AK43" s="1420"/>
      <c r="AL43" s="1397"/>
      <c r="AM43" s="1398"/>
      <c r="AN43" s="1420"/>
      <c r="AO43" s="1398"/>
      <c r="AP43" s="1397"/>
      <c r="AQ43" s="1398"/>
      <c r="AR43" s="1420"/>
      <c r="AS43" s="1398"/>
      <c r="AT43" s="1397"/>
      <c r="AU43" s="1398"/>
      <c r="AV43" s="1398"/>
      <c r="AW43" s="1398"/>
      <c r="AX43" s="1397"/>
      <c r="AY43" s="1367"/>
      <c r="AZ43" s="1411"/>
      <c r="BA43" s="1411"/>
      <c r="BB43" s="1410"/>
      <c r="BC43" s="1410"/>
      <c r="BD43" s="1410"/>
      <c r="BE43" s="1410"/>
      <c r="BF43" s="1410"/>
      <c r="BG43" s="1293"/>
      <c r="BH43" s="1398"/>
      <c r="BI43" s="1420"/>
      <c r="BJ43" s="1009"/>
      <c r="BK43" s="952"/>
      <c r="BL43" s="1830"/>
      <c r="BM43" s="1410">
        <v>0</v>
      </c>
      <c r="BN43" s="1410">
        <v>0</v>
      </c>
      <c r="BO43" s="1410"/>
      <c r="BP43" s="1410"/>
      <c r="BQ43" s="1410"/>
      <c r="BR43" s="1410"/>
      <c r="BS43" s="1410"/>
      <c r="BT43" s="1410"/>
      <c r="BU43" s="2038"/>
      <c r="BV43" s="2038"/>
      <c r="BW43" s="1317"/>
      <c r="BX43" s="1957"/>
      <c r="BY43" s="1957"/>
      <c r="BZ43" s="916"/>
      <c r="CA43" s="926"/>
      <c r="CB43" s="915"/>
      <c r="CC43" s="1145"/>
    </row>
    <row r="44" spans="1:81" s="2304" customFormat="1" ht="12.75" hidden="1" customHeight="1" thickBot="1" x14ac:dyDescent="0.25">
      <c r="A44" s="2528" t="s">
        <v>73</v>
      </c>
      <c r="B44" s="1201"/>
      <c r="C44" s="957">
        <v>0</v>
      </c>
      <c r="D44" s="1200">
        <v>0</v>
      </c>
      <c r="E44" s="908"/>
      <c r="F44" s="1837"/>
      <c r="G44" s="1837"/>
      <c r="H44" s="1852"/>
      <c r="I44" s="1852"/>
      <c r="J44" s="1438"/>
      <c r="K44" s="1852"/>
      <c r="L44" s="1852"/>
      <c r="M44" s="1852"/>
      <c r="N44" s="1438"/>
      <c r="O44" s="1852"/>
      <c r="P44" s="1852"/>
      <c r="Q44" s="1852"/>
      <c r="R44" s="1438"/>
      <c r="S44" s="1852"/>
      <c r="T44" s="1852"/>
      <c r="U44" s="1852"/>
      <c r="V44" s="1438"/>
      <c r="W44" s="1852"/>
      <c r="X44" s="1852"/>
      <c r="Y44" s="1852"/>
      <c r="Z44" s="1438"/>
      <c r="AA44" s="1852"/>
      <c r="AB44" s="1852"/>
      <c r="AC44" s="1852"/>
      <c r="AD44" s="1438"/>
      <c r="AE44" s="1852"/>
      <c r="AF44" s="1852"/>
      <c r="AG44" s="1852"/>
      <c r="AH44" s="1438"/>
      <c r="AI44" s="1437"/>
      <c r="AJ44" s="1852"/>
      <c r="AK44" s="1852"/>
      <c r="AL44" s="1438"/>
      <c r="AM44" s="1437"/>
      <c r="AN44" s="1852"/>
      <c r="AO44" s="1437"/>
      <c r="AP44" s="1438"/>
      <c r="AQ44" s="1437">
        <v>-2915</v>
      </c>
      <c r="AR44" s="1852">
        <v>-2337</v>
      </c>
      <c r="AS44" s="1437">
        <v>-1131</v>
      </c>
      <c r="AT44" s="1438">
        <v>3212</v>
      </c>
      <c r="AU44" s="1437" t="e">
        <v>#VALUE!</v>
      </c>
      <c r="AV44" s="1437" t="e">
        <v>#VALUE!</v>
      </c>
      <c r="AW44" s="1437" t="e">
        <v>#VALUE!</v>
      </c>
      <c r="AX44" s="1438" t="e">
        <v>#VALUE!</v>
      </c>
      <c r="AY44" s="1444" t="e">
        <v>#VALUE!</v>
      </c>
      <c r="AZ44" s="1441" t="s">
        <v>181</v>
      </c>
      <c r="BA44" s="1441" t="s">
        <v>181</v>
      </c>
      <c r="BB44" s="1440"/>
      <c r="BC44" s="1440"/>
      <c r="BD44" s="1440"/>
      <c r="BE44" s="1440"/>
      <c r="BF44" s="1440"/>
      <c r="BG44" s="1293"/>
      <c r="BH44" s="1437"/>
      <c r="BI44" s="1852"/>
      <c r="BJ44" s="1404">
        <v>-3171</v>
      </c>
      <c r="BK44" s="1872" t="e">
        <v>#DIV/0!</v>
      </c>
      <c r="BL44" s="1830"/>
      <c r="BM44" s="1440">
        <v>0</v>
      </c>
      <c r="BN44" s="1440">
        <v>0</v>
      </c>
      <c r="BO44" s="1440"/>
      <c r="BP44" s="1440"/>
      <c r="BQ44" s="1440"/>
      <c r="BR44" s="1440"/>
      <c r="BS44" s="1440"/>
      <c r="BT44" s="1440"/>
      <c r="BU44" s="2046">
        <v>-3171</v>
      </c>
      <c r="BV44" s="2046"/>
      <c r="BW44" s="2049" t="e">
        <v>#VALUE!</v>
      </c>
      <c r="BX44" s="1962" t="e">
        <v>#VALUE!</v>
      </c>
      <c r="BY44" s="1962" t="e">
        <v>#VALUE!</v>
      </c>
      <c r="BZ44" s="2037" t="e">
        <v>#VALUE!</v>
      </c>
      <c r="CA44" s="2051" t="e">
        <v>#VALUE!</v>
      </c>
      <c r="CB44" s="915"/>
      <c r="CC44" s="1145"/>
    </row>
    <row r="45" spans="1:81" ht="12.75" customHeight="1" thickTop="1" x14ac:dyDescent="0.2">
      <c r="A45" s="1201"/>
      <c r="B45" s="1201"/>
      <c r="C45" s="1006"/>
      <c r="D45" s="952"/>
      <c r="E45" s="908"/>
      <c r="F45" s="908"/>
      <c r="G45" s="908"/>
      <c r="H45" s="952"/>
      <c r="I45" s="952"/>
      <c r="J45" s="946"/>
      <c r="K45" s="952"/>
      <c r="L45" s="952"/>
      <c r="M45" s="952"/>
      <c r="N45" s="946"/>
      <c r="O45" s="952"/>
      <c r="P45" s="952"/>
      <c r="Q45" s="952"/>
      <c r="R45" s="946"/>
      <c r="S45" s="952"/>
      <c r="T45" s="952"/>
      <c r="U45" s="952"/>
      <c r="V45" s="946"/>
      <c r="W45" s="952"/>
      <c r="X45" s="952"/>
      <c r="Y45" s="952"/>
      <c r="Z45" s="946"/>
      <c r="AA45" s="952"/>
      <c r="AB45" s="952"/>
      <c r="AC45" s="952"/>
      <c r="AD45" s="946"/>
      <c r="AE45" s="952"/>
      <c r="AF45" s="952"/>
      <c r="AG45" s="952"/>
      <c r="AH45" s="946"/>
      <c r="AI45" s="952"/>
      <c r="AJ45" s="952"/>
      <c r="AK45" s="952"/>
      <c r="AL45" s="946"/>
      <c r="AM45" s="952"/>
      <c r="AN45" s="952"/>
      <c r="AO45" s="952"/>
      <c r="AP45" s="946"/>
      <c r="AQ45" s="952"/>
      <c r="AR45" s="952"/>
      <c r="AS45" s="952"/>
      <c r="AT45" s="946"/>
      <c r="AU45" s="952"/>
      <c r="AV45" s="952"/>
      <c r="AW45" s="952"/>
      <c r="AX45" s="946"/>
      <c r="AY45" s="1201"/>
      <c r="AZ45" s="1201"/>
      <c r="BA45" s="1201"/>
      <c r="BB45" s="1270"/>
      <c r="BC45" s="1270"/>
      <c r="BD45" s="1270"/>
      <c r="BE45" s="1270"/>
      <c r="BF45" s="1270"/>
      <c r="BG45" s="946"/>
      <c r="BH45" s="952"/>
      <c r="BI45" s="952"/>
      <c r="BJ45" s="1006"/>
      <c r="BK45" s="952"/>
      <c r="BL45" s="946"/>
      <c r="BM45" s="946"/>
      <c r="BN45" s="946"/>
      <c r="BO45" s="946"/>
      <c r="BP45" s="1208"/>
      <c r="BQ45" s="1208"/>
      <c r="BR45" s="1208"/>
      <c r="BS45" s="1208"/>
      <c r="BT45" s="1208"/>
      <c r="BU45" s="1153"/>
      <c r="BV45" s="1153"/>
      <c r="BW45" s="1153"/>
      <c r="BX45" s="914"/>
      <c r="BY45" s="914"/>
      <c r="BZ45" s="915"/>
      <c r="CA45" s="915"/>
      <c r="CB45" s="915"/>
      <c r="CC45" s="1145"/>
    </row>
    <row r="46" spans="1:81" ht="12.75" customHeight="1" x14ac:dyDescent="0.2">
      <c r="A46" s="1204" t="s">
        <v>89</v>
      </c>
      <c r="B46" s="959"/>
      <c r="C46" s="1006">
        <v>24</v>
      </c>
      <c r="D46" s="952">
        <v>8.247422680412371E-2</v>
      </c>
      <c r="E46" s="908"/>
      <c r="F46" s="914">
        <v>315</v>
      </c>
      <c r="G46" s="914">
        <v>308</v>
      </c>
      <c r="H46" s="1006">
        <v>303</v>
      </c>
      <c r="I46" s="1006">
        <v>294</v>
      </c>
      <c r="J46" s="1006">
        <v>291</v>
      </c>
      <c r="K46" s="1006">
        <v>288</v>
      </c>
      <c r="L46" s="1006">
        <v>282</v>
      </c>
      <c r="M46" s="1006">
        <v>276</v>
      </c>
      <c r="N46" s="1006">
        <v>274</v>
      </c>
      <c r="O46" s="1006">
        <v>279</v>
      </c>
      <c r="P46" s="1006">
        <v>281</v>
      </c>
      <c r="Q46" s="1006">
        <v>274</v>
      </c>
      <c r="R46" s="1006">
        <v>277</v>
      </c>
      <c r="S46" s="1006">
        <v>288</v>
      </c>
      <c r="T46" s="1006">
        <v>326</v>
      </c>
      <c r="U46" s="1006">
        <v>322</v>
      </c>
      <c r="V46" s="1006">
        <v>319</v>
      </c>
      <c r="W46" s="1006">
        <v>324</v>
      </c>
      <c r="X46" s="1006">
        <v>316</v>
      </c>
      <c r="Y46" s="1006">
        <v>315</v>
      </c>
      <c r="Z46" s="1006">
        <v>320</v>
      </c>
      <c r="AA46" s="1006">
        <v>316</v>
      </c>
      <c r="AB46" s="1006">
        <v>319</v>
      </c>
      <c r="AC46" s="1006">
        <v>320</v>
      </c>
      <c r="AD46" s="1006">
        <v>323</v>
      </c>
      <c r="AE46" s="1006">
        <v>332</v>
      </c>
      <c r="AF46" s="1006">
        <v>332</v>
      </c>
      <c r="AG46" s="1006">
        <v>343</v>
      </c>
      <c r="AH46" s="1006">
        <v>376</v>
      </c>
      <c r="AI46" s="1006">
        <v>378</v>
      </c>
      <c r="AJ46" s="1006">
        <v>386</v>
      </c>
      <c r="AK46" s="1006">
        <v>384</v>
      </c>
      <c r="AL46" s="1006">
        <v>382</v>
      </c>
      <c r="AM46" s="1006">
        <v>373</v>
      </c>
      <c r="AN46" s="1006">
        <v>365</v>
      </c>
      <c r="AO46" s="1006">
        <v>369</v>
      </c>
      <c r="AP46" s="1006">
        <v>371</v>
      </c>
      <c r="AQ46" s="1006">
        <v>364</v>
      </c>
      <c r="AR46" s="1006">
        <v>360</v>
      </c>
      <c r="AS46" s="1006">
        <v>359</v>
      </c>
      <c r="AT46" s="1006">
        <v>352</v>
      </c>
      <c r="AU46" s="1006">
        <v>356</v>
      </c>
      <c r="AV46" s="1006">
        <v>365</v>
      </c>
      <c r="AW46" s="1006">
        <v>393</v>
      </c>
      <c r="AX46" s="1006">
        <v>393</v>
      </c>
      <c r="AY46" s="1006">
        <v>380</v>
      </c>
      <c r="AZ46" s="1006">
        <v>373</v>
      </c>
      <c r="BA46" s="1006">
        <v>370</v>
      </c>
      <c r="BB46" s="1006">
        <v>366</v>
      </c>
      <c r="BC46" s="1006">
        <v>360</v>
      </c>
      <c r="BD46" s="1006">
        <v>348</v>
      </c>
      <c r="BE46" s="1006">
        <v>349</v>
      </c>
      <c r="BF46" s="1006">
        <v>343</v>
      </c>
      <c r="BG46" s="946"/>
      <c r="BH46" s="1006">
        <v>308</v>
      </c>
      <c r="BI46" s="1006">
        <v>288</v>
      </c>
      <c r="BJ46" s="1006">
        <v>20</v>
      </c>
      <c r="BK46" s="952">
        <v>6.9444444444444448E-2</v>
      </c>
      <c r="BL46" s="946"/>
      <c r="BM46" s="1006">
        <v>308</v>
      </c>
      <c r="BN46" s="1006">
        <v>288</v>
      </c>
      <c r="BO46" s="1006">
        <v>279</v>
      </c>
      <c r="BP46" s="1006">
        <v>288</v>
      </c>
      <c r="BQ46" s="1006">
        <v>324</v>
      </c>
      <c r="BR46" s="1006">
        <v>316</v>
      </c>
      <c r="BS46" s="1006">
        <v>332</v>
      </c>
      <c r="BT46" s="1006">
        <v>378</v>
      </c>
      <c r="BU46" s="914">
        <v>373</v>
      </c>
      <c r="BV46" s="914">
        <v>364</v>
      </c>
      <c r="BW46" s="914">
        <v>356</v>
      </c>
      <c r="BX46" s="914">
        <v>380</v>
      </c>
      <c r="BY46" s="914">
        <v>360</v>
      </c>
      <c r="BZ46" s="915">
        <v>335</v>
      </c>
      <c r="CA46" s="915">
        <v>324</v>
      </c>
      <c r="CB46" s="915">
        <v>296</v>
      </c>
      <c r="CC46" s="1145"/>
    </row>
    <row r="47" spans="1:81" ht="12.75" customHeight="1" x14ac:dyDescent="0.2">
      <c r="A47" s="1204"/>
      <c r="B47" s="1204"/>
      <c r="C47" s="1006"/>
      <c r="D47" s="952"/>
      <c r="E47" s="908"/>
      <c r="F47" s="914"/>
      <c r="G47" s="914"/>
      <c r="H47" s="1006"/>
      <c r="I47" s="1006"/>
      <c r="J47" s="1006"/>
      <c r="K47" s="1006"/>
      <c r="L47" s="1006"/>
      <c r="M47" s="1006"/>
      <c r="N47" s="1006"/>
      <c r="O47" s="1006"/>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946"/>
      <c r="BH47" s="1006"/>
      <c r="BI47" s="1006"/>
      <c r="BJ47" s="1006"/>
      <c r="BK47" s="952"/>
      <c r="BL47" s="946"/>
      <c r="BM47" s="1006"/>
      <c r="BN47" s="1006"/>
      <c r="BO47" s="1006"/>
      <c r="BP47" s="1006"/>
      <c r="BQ47" s="1006"/>
      <c r="BR47" s="1006"/>
      <c r="BS47" s="1006"/>
      <c r="BT47" s="1006"/>
      <c r="BU47" s="914"/>
      <c r="BV47" s="914"/>
      <c r="BW47" s="914"/>
      <c r="BX47" s="914"/>
      <c r="BY47" s="914"/>
      <c r="BZ47" s="915"/>
      <c r="CA47" s="915"/>
      <c r="CB47" s="915"/>
      <c r="CC47" s="1145"/>
    </row>
    <row r="48" spans="1:81" ht="12.75" customHeight="1" x14ac:dyDescent="0.2">
      <c r="A48" s="946"/>
      <c r="B48" s="946"/>
      <c r="C48" s="946"/>
      <c r="D48" s="946"/>
      <c r="E48" s="900"/>
      <c r="F48" s="900"/>
      <c r="G48" s="900"/>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c r="AU48" s="946"/>
      <c r="AV48" s="946"/>
      <c r="AW48" s="946"/>
      <c r="AX48" s="946"/>
      <c r="AY48" s="946"/>
      <c r="AZ48" s="946"/>
      <c r="BA48" s="946"/>
      <c r="BB48" s="946"/>
      <c r="BC48" s="946"/>
      <c r="BD48" s="946"/>
      <c r="BE48" s="946"/>
      <c r="BF48" s="946"/>
      <c r="BG48" s="946"/>
      <c r="BH48" s="946"/>
      <c r="BI48" s="946"/>
      <c r="BJ48" s="946"/>
      <c r="BK48" s="946"/>
      <c r="BL48" s="946"/>
      <c r="BM48" s="946"/>
      <c r="BN48" s="946"/>
      <c r="BO48" s="946"/>
      <c r="BP48" s="1208"/>
      <c r="BQ48" s="1208"/>
      <c r="BR48" s="1208"/>
      <c r="BS48" s="1208"/>
      <c r="BT48" s="1208"/>
      <c r="BU48" s="1153"/>
      <c r="BV48" s="1153"/>
      <c r="BW48" s="1153"/>
      <c r="BX48" s="1153"/>
      <c r="BY48" s="1153"/>
      <c r="BZ48" s="1164"/>
      <c r="CA48" s="1164"/>
      <c r="CB48" s="1164"/>
      <c r="CC48" s="1145"/>
    </row>
    <row r="49" spans="1:81" ht="18" customHeight="1" x14ac:dyDescent="0.2">
      <c r="A49" s="1349" t="s">
        <v>619</v>
      </c>
      <c r="B49" s="946"/>
      <c r="C49" s="1201"/>
      <c r="D49" s="1201"/>
      <c r="E49" s="1153"/>
      <c r="F49" s="1153"/>
      <c r="G49" s="1153"/>
      <c r="H49" s="1208"/>
      <c r="I49" s="1208"/>
      <c r="J49" s="1208"/>
      <c r="K49" s="1208"/>
      <c r="L49" s="946"/>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8"/>
      <c r="AQ49" s="1208"/>
      <c r="AR49" s="1208"/>
      <c r="AS49" s="1208"/>
      <c r="AT49" s="1208"/>
      <c r="AU49" s="1208"/>
      <c r="AV49" s="1208"/>
      <c r="AW49" s="1208"/>
      <c r="AX49" s="1208"/>
      <c r="AY49" s="1208"/>
      <c r="AZ49" s="1208"/>
      <c r="BA49" s="1193"/>
      <c r="BB49" s="1193"/>
      <c r="BC49" s="1193"/>
      <c r="BD49" s="1193"/>
      <c r="BE49" s="1193"/>
      <c r="BF49" s="1193"/>
      <c r="BG49" s="1208"/>
      <c r="BH49" s="1208"/>
      <c r="BI49" s="1208"/>
      <c r="BJ49" s="1208"/>
      <c r="BK49" s="1208"/>
      <c r="BL49" s="1193"/>
      <c r="BM49" s="1873"/>
      <c r="BN49" s="1873"/>
      <c r="BO49" s="1873"/>
      <c r="BP49" s="1873"/>
      <c r="BQ49" s="1873"/>
      <c r="BR49" s="1873"/>
      <c r="BS49" s="1193"/>
      <c r="BT49" s="1193"/>
      <c r="BU49" s="1154"/>
      <c r="BV49" s="1154"/>
      <c r="BW49" s="1154"/>
      <c r="BX49" s="1154"/>
      <c r="BY49" s="1154"/>
      <c r="BZ49" s="2020"/>
      <c r="CA49" s="2020"/>
      <c r="CB49" s="2020"/>
      <c r="CC49" s="1145"/>
    </row>
    <row r="50" spans="1:81" ht="18" customHeight="1" x14ac:dyDescent="0.2">
      <c r="A50" s="1349"/>
      <c r="B50" s="946"/>
      <c r="C50" s="1201"/>
      <c r="D50" s="1201"/>
      <c r="E50" s="1153"/>
      <c r="F50" s="1153"/>
      <c r="G50" s="1153"/>
      <c r="H50" s="1208"/>
      <c r="I50" s="1208"/>
      <c r="J50" s="1208"/>
      <c r="K50" s="1208"/>
      <c r="L50" s="946"/>
      <c r="M50" s="1208"/>
      <c r="N50" s="1208"/>
      <c r="O50" s="1208"/>
      <c r="P50" s="1208"/>
      <c r="Q50" s="1208"/>
      <c r="R50" s="1208"/>
      <c r="S50" s="1208"/>
      <c r="T50" s="1208"/>
      <c r="U50" s="1208"/>
      <c r="V50" s="1208"/>
      <c r="W50" s="1208"/>
      <c r="X50" s="1208"/>
      <c r="Y50" s="1208"/>
      <c r="Z50" s="1208"/>
      <c r="AA50" s="1208"/>
      <c r="AB50" s="1208"/>
      <c r="AC50" s="1208"/>
      <c r="AD50" s="1208"/>
      <c r="AE50" s="1208"/>
      <c r="AF50" s="1208"/>
      <c r="AG50" s="1208"/>
      <c r="AH50" s="1208"/>
      <c r="AI50" s="1208"/>
      <c r="AJ50" s="1208"/>
      <c r="AK50" s="1208"/>
      <c r="AL50" s="1208"/>
      <c r="AM50" s="1208"/>
      <c r="AN50" s="1208"/>
      <c r="AO50" s="1208"/>
      <c r="AP50" s="1208"/>
      <c r="AQ50" s="1208"/>
      <c r="AR50" s="1208"/>
      <c r="AS50" s="1208"/>
      <c r="AT50" s="1208"/>
      <c r="AU50" s="1208"/>
      <c r="AV50" s="1208"/>
      <c r="AW50" s="1208"/>
      <c r="AX50" s="1208"/>
      <c r="AY50" s="1208"/>
      <c r="AZ50" s="1208"/>
      <c r="BA50" s="1193"/>
      <c r="BB50" s="1193"/>
      <c r="BC50" s="1193"/>
      <c r="BD50" s="1193"/>
      <c r="BE50" s="1193"/>
      <c r="BF50" s="1193"/>
      <c r="BG50" s="1208"/>
      <c r="BH50" s="1208"/>
      <c r="BI50" s="1208"/>
      <c r="BJ50" s="1208"/>
      <c r="BK50" s="1208"/>
      <c r="BL50" s="1193"/>
      <c r="BM50" s="1873"/>
      <c r="BN50" s="1873"/>
      <c r="BO50" s="1873"/>
      <c r="BP50" s="1873"/>
      <c r="BQ50" s="1873"/>
      <c r="BR50" s="1873"/>
      <c r="BS50" s="1193"/>
      <c r="BT50" s="1193"/>
      <c r="BU50" s="1154"/>
      <c r="BV50" s="1154"/>
      <c r="BW50" s="1154"/>
      <c r="BX50" s="1154"/>
      <c r="BY50" s="1154"/>
      <c r="BZ50" s="2020"/>
      <c r="CA50" s="2020"/>
      <c r="CB50" s="2020"/>
      <c r="CC50" s="1145"/>
    </row>
    <row r="51" spans="1:81" ht="12.75" customHeight="1" x14ac:dyDescent="0.2">
      <c r="A51" s="1350"/>
      <c r="B51" s="946"/>
      <c r="C51" s="1201"/>
      <c r="D51" s="1201"/>
      <c r="E51" s="1153"/>
      <c r="F51" s="1153"/>
      <c r="G51" s="1153"/>
      <c r="H51" s="1208"/>
      <c r="I51" s="1208"/>
      <c r="J51" s="1208"/>
      <c r="K51" s="1208"/>
      <c r="L51" s="946"/>
      <c r="M51" s="1208"/>
      <c r="N51" s="1208"/>
      <c r="O51" s="1208"/>
      <c r="P51" s="1208"/>
      <c r="Q51" s="1208"/>
      <c r="R51" s="1208"/>
      <c r="S51" s="1208"/>
      <c r="T51" s="1208"/>
      <c r="U51" s="1208"/>
      <c r="V51" s="1208"/>
      <c r="W51" s="1208"/>
      <c r="X51" s="1208"/>
      <c r="Y51" s="1208"/>
      <c r="Z51" s="1208"/>
      <c r="AA51" s="1208"/>
      <c r="AB51" s="1208"/>
      <c r="AC51" s="1208"/>
      <c r="AD51" s="1208"/>
      <c r="AE51" s="1208"/>
      <c r="AF51" s="1208"/>
      <c r="AG51" s="1208"/>
      <c r="AH51" s="1208"/>
      <c r="AI51" s="1451"/>
      <c r="AJ51" s="1208"/>
      <c r="AK51" s="1208"/>
      <c r="AL51" s="1208"/>
      <c r="AM51" s="1451"/>
      <c r="AN51" s="1208"/>
      <c r="AO51" s="1451"/>
      <c r="AP51" s="1208"/>
      <c r="AQ51" s="1451"/>
      <c r="AR51" s="1208"/>
      <c r="AS51" s="1451"/>
      <c r="AT51" s="1208"/>
      <c r="AU51" s="1451"/>
      <c r="AV51" s="1208"/>
      <c r="AW51" s="1208"/>
      <c r="AX51" s="1208"/>
      <c r="AY51" s="1208"/>
      <c r="AZ51" s="1208"/>
      <c r="BA51" s="1193"/>
      <c r="BB51" s="1193"/>
      <c r="BC51" s="1193"/>
      <c r="BD51" s="1193"/>
      <c r="BE51" s="1193"/>
      <c r="BF51" s="1193"/>
      <c r="BG51" s="1208"/>
      <c r="BH51" s="1451"/>
      <c r="BI51" s="1208"/>
      <c r="BJ51" s="1208"/>
      <c r="BK51" s="1208"/>
      <c r="BL51" s="1193"/>
      <c r="BM51" s="1193"/>
      <c r="BN51" s="1193"/>
      <c r="BO51" s="1193"/>
      <c r="BP51" s="1193"/>
      <c r="BQ51" s="1193"/>
      <c r="BR51" s="1193"/>
      <c r="BS51" s="1193"/>
      <c r="BT51" s="1193"/>
      <c r="BU51" s="1154"/>
      <c r="BV51" s="1154"/>
      <c r="BW51" s="1154"/>
      <c r="BX51" s="1154"/>
      <c r="BY51" s="1154"/>
      <c r="BZ51" s="2020"/>
      <c r="CA51" s="2020"/>
      <c r="CB51" s="2020"/>
      <c r="CC51" s="1145"/>
    </row>
    <row r="52" spans="1:81" ht="12.75" customHeight="1" x14ac:dyDescent="0.2">
      <c r="A52" s="945"/>
      <c r="B52" s="1806"/>
      <c r="C52" s="3073" t="s">
        <v>671</v>
      </c>
      <c r="D52" s="3074"/>
      <c r="E52" s="901"/>
      <c r="F52" s="2958"/>
      <c r="G52" s="902"/>
      <c r="H52" s="982"/>
      <c r="I52" s="982"/>
      <c r="J52" s="1218"/>
      <c r="K52" s="982"/>
      <c r="L52" s="982"/>
      <c r="M52" s="982"/>
      <c r="N52" s="1218"/>
      <c r="O52" s="982"/>
      <c r="P52" s="982"/>
      <c r="Q52" s="982"/>
      <c r="R52" s="1218"/>
      <c r="S52" s="982"/>
      <c r="T52" s="982"/>
      <c r="U52" s="982"/>
      <c r="V52" s="1218"/>
      <c r="W52" s="982"/>
      <c r="X52" s="982"/>
      <c r="Y52" s="982"/>
      <c r="Z52" s="1218"/>
      <c r="AA52" s="982"/>
      <c r="AB52" s="982"/>
      <c r="AC52" s="982"/>
      <c r="AD52" s="1218"/>
      <c r="AE52" s="982"/>
      <c r="AF52" s="982"/>
      <c r="AG52" s="982"/>
      <c r="AH52" s="1218"/>
      <c r="AI52" s="1219"/>
      <c r="AJ52" s="1220"/>
      <c r="AK52" s="982"/>
      <c r="AL52" s="1218"/>
      <c r="AM52" s="1219"/>
      <c r="AN52" s="1220"/>
      <c r="AO52" s="982"/>
      <c r="AP52" s="1218"/>
      <c r="AQ52" s="1184"/>
      <c r="AR52" s="1220"/>
      <c r="AS52" s="941"/>
      <c r="AT52" s="1218"/>
      <c r="AU52" s="1220"/>
      <c r="AV52" s="1184"/>
      <c r="AW52" s="982"/>
      <c r="AX52" s="1218"/>
      <c r="AY52" s="1220"/>
      <c r="AZ52" s="1220"/>
      <c r="BA52" s="1220"/>
      <c r="BB52" s="1220"/>
      <c r="BC52" s="1221"/>
      <c r="BD52" s="1218"/>
      <c r="BE52" s="1218"/>
      <c r="BF52" s="1218"/>
      <c r="BG52" s="1222"/>
      <c r="BH52" s="988" t="s">
        <v>660</v>
      </c>
      <c r="BI52" s="988"/>
      <c r="BJ52" s="988" t="s">
        <v>563</v>
      </c>
      <c r="BK52" s="989"/>
      <c r="BL52" s="990"/>
      <c r="BM52" s="991"/>
      <c r="BN52" s="991"/>
      <c r="BO52" s="991"/>
      <c r="BP52" s="991"/>
      <c r="BQ52" s="991"/>
      <c r="BR52" s="991"/>
      <c r="BS52" s="991"/>
      <c r="BT52" s="991"/>
      <c r="BU52" s="1992"/>
      <c r="BV52" s="1992"/>
      <c r="BW52" s="1992"/>
      <c r="BX52" s="2052"/>
      <c r="BY52" s="2053"/>
      <c r="BZ52" s="1992"/>
      <c r="CA52" s="1992"/>
      <c r="CB52" s="1992"/>
      <c r="CC52" s="1150"/>
    </row>
    <row r="53" spans="1:81" ht="12.75" customHeight="1" x14ac:dyDescent="0.2">
      <c r="A53" s="945" t="s">
        <v>2</v>
      </c>
      <c r="B53" s="946"/>
      <c r="C53" s="3184" t="s">
        <v>38</v>
      </c>
      <c r="D53" s="3185"/>
      <c r="E53" s="906"/>
      <c r="F53" s="1993" t="s">
        <v>670</v>
      </c>
      <c r="G53" s="907" t="s">
        <v>558</v>
      </c>
      <c r="H53" s="992" t="s">
        <v>559</v>
      </c>
      <c r="I53" s="992" t="s">
        <v>560</v>
      </c>
      <c r="J53" s="993" t="s">
        <v>561</v>
      </c>
      <c r="K53" s="992" t="s">
        <v>508</v>
      </c>
      <c r="L53" s="992" t="s">
        <v>507</v>
      </c>
      <c r="M53" s="992" t="s">
        <v>506</v>
      </c>
      <c r="N53" s="993" t="s">
        <v>505</v>
      </c>
      <c r="O53" s="992" t="s">
        <v>382</v>
      </c>
      <c r="P53" s="992" t="s">
        <v>383</v>
      </c>
      <c r="Q53" s="992" t="s">
        <v>384</v>
      </c>
      <c r="R53" s="993" t="s">
        <v>385</v>
      </c>
      <c r="S53" s="992" t="s">
        <v>368</v>
      </c>
      <c r="T53" s="992" t="s">
        <v>367</v>
      </c>
      <c r="U53" s="992" t="s">
        <v>366</v>
      </c>
      <c r="V53" s="993" t="s">
        <v>364</v>
      </c>
      <c r="W53" s="992" t="s">
        <v>348</v>
      </c>
      <c r="X53" s="992" t="s">
        <v>349</v>
      </c>
      <c r="Y53" s="992" t="s">
        <v>350</v>
      </c>
      <c r="Z53" s="993" t="s">
        <v>351</v>
      </c>
      <c r="AA53" s="992" t="s">
        <v>315</v>
      </c>
      <c r="AB53" s="992" t="s">
        <v>314</v>
      </c>
      <c r="AC53" s="992" t="s">
        <v>313</v>
      </c>
      <c r="AD53" s="993" t="s">
        <v>311</v>
      </c>
      <c r="AE53" s="992" t="s">
        <v>270</v>
      </c>
      <c r="AF53" s="992" t="s">
        <v>271</v>
      </c>
      <c r="AG53" s="992" t="s">
        <v>272</v>
      </c>
      <c r="AH53" s="993" t="s">
        <v>273</v>
      </c>
      <c r="AI53" s="994" t="s">
        <v>223</v>
      </c>
      <c r="AJ53" s="992" t="s">
        <v>224</v>
      </c>
      <c r="AK53" s="992" t="s">
        <v>225</v>
      </c>
      <c r="AL53" s="993" t="s">
        <v>222</v>
      </c>
      <c r="AM53" s="994" t="s">
        <v>189</v>
      </c>
      <c r="AN53" s="992" t="s">
        <v>190</v>
      </c>
      <c r="AO53" s="992" t="s">
        <v>191</v>
      </c>
      <c r="AP53" s="993" t="s">
        <v>192</v>
      </c>
      <c r="AQ53" s="992" t="s">
        <v>121</v>
      </c>
      <c r="AR53" s="992" t="s">
        <v>120</v>
      </c>
      <c r="AS53" s="992" t="s">
        <v>119</v>
      </c>
      <c r="AT53" s="993" t="s">
        <v>118</v>
      </c>
      <c r="AU53" s="992" t="s">
        <v>81</v>
      </c>
      <c r="AV53" s="992" t="s">
        <v>82</v>
      </c>
      <c r="AW53" s="992" t="s">
        <v>83</v>
      </c>
      <c r="AX53" s="993" t="s">
        <v>29</v>
      </c>
      <c r="AY53" s="992" t="s">
        <v>30</v>
      </c>
      <c r="AZ53" s="992" t="s">
        <v>31</v>
      </c>
      <c r="BA53" s="992" t="s">
        <v>32</v>
      </c>
      <c r="BB53" s="992" t="s">
        <v>33</v>
      </c>
      <c r="BC53" s="995" t="s">
        <v>34</v>
      </c>
      <c r="BD53" s="993" t="s">
        <v>35</v>
      </c>
      <c r="BE53" s="993" t="s">
        <v>36</v>
      </c>
      <c r="BF53" s="993" t="s">
        <v>37</v>
      </c>
      <c r="BG53" s="996"/>
      <c r="BH53" s="990" t="s">
        <v>558</v>
      </c>
      <c r="BI53" s="990" t="s">
        <v>508</v>
      </c>
      <c r="BJ53" s="3071" t="s">
        <v>38</v>
      </c>
      <c r="BK53" s="3072"/>
      <c r="BL53" s="1293"/>
      <c r="BM53" s="1808" t="s">
        <v>562</v>
      </c>
      <c r="BN53" s="994" t="s">
        <v>509</v>
      </c>
      <c r="BO53" s="994" t="s">
        <v>502</v>
      </c>
      <c r="BP53" s="994" t="s">
        <v>379</v>
      </c>
      <c r="BQ53" s="994" t="s">
        <v>360</v>
      </c>
      <c r="BR53" s="994" t="s">
        <v>317</v>
      </c>
      <c r="BS53" s="994" t="s">
        <v>275</v>
      </c>
      <c r="BT53" s="994" t="s">
        <v>227</v>
      </c>
      <c r="BU53" s="1948" t="s">
        <v>123</v>
      </c>
      <c r="BV53" s="1948" t="s">
        <v>122</v>
      </c>
      <c r="BW53" s="1948" t="s">
        <v>42</v>
      </c>
      <c r="BX53" s="1948" t="s">
        <v>39</v>
      </c>
      <c r="BY53" s="1993" t="s">
        <v>40</v>
      </c>
      <c r="BZ53" s="1993" t="s">
        <v>142</v>
      </c>
      <c r="CA53" s="1993" t="s">
        <v>143</v>
      </c>
      <c r="CB53" s="1993" t="s">
        <v>144</v>
      </c>
      <c r="CC53" s="1150"/>
    </row>
    <row r="54" spans="1:81" ht="12.75" customHeight="1" x14ac:dyDescent="0.2">
      <c r="A54" s="1207"/>
      <c r="B54" s="1208" t="s">
        <v>4</v>
      </c>
      <c r="C54" s="1341">
        <v>369</v>
      </c>
      <c r="D54" s="1210">
        <v>6.8651162790697676E-2</v>
      </c>
      <c r="E54" s="1147"/>
      <c r="F54" s="2006">
        <v>5744</v>
      </c>
      <c r="G54" s="1160">
        <v>7631</v>
      </c>
      <c r="H54" s="1246">
        <v>6248</v>
      </c>
      <c r="I54" s="1246">
        <v>5176</v>
      </c>
      <c r="J54" s="1248">
        <v>5375</v>
      </c>
      <c r="K54" s="1246">
        <v>5015</v>
      </c>
      <c r="L54" s="1269">
        <v>3866</v>
      </c>
      <c r="M54" s="1246">
        <v>3104</v>
      </c>
      <c r="N54" s="1248">
        <v>3071</v>
      </c>
      <c r="O54" s="1246">
        <v>4803</v>
      </c>
      <c r="P54" s="1246">
        <v>3472</v>
      </c>
      <c r="Q54" s="1246">
        <v>2907</v>
      </c>
      <c r="R54" s="1248">
        <v>2862</v>
      </c>
      <c r="S54" s="1246">
        <v>1899</v>
      </c>
      <c r="T54" s="1246">
        <v>-964</v>
      </c>
      <c r="U54" s="1246">
        <v>3897</v>
      </c>
      <c r="V54" s="1248">
        <v>4136</v>
      </c>
      <c r="W54" s="1246">
        <v>4335</v>
      </c>
      <c r="X54" s="1246">
        <v>4373</v>
      </c>
      <c r="Y54" s="1246">
        <v>4233</v>
      </c>
      <c r="Z54" s="1248">
        <v>3827</v>
      </c>
      <c r="AA54" s="1235">
        <v>1853</v>
      </c>
      <c r="AB54" s="1235">
        <v>4988</v>
      </c>
      <c r="AC54" s="1246">
        <v>6372</v>
      </c>
      <c r="AD54" s="1248">
        <v>2205</v>
      </c>
      <c r="AE54" s="1246">
        <v>5045</v>
      </c>
      <c r="AF54" s="1246">
        <v>4535</v>
      </c>
      <c r="AG54" s="1246">
        <v>10003</v>
      </c>
      <c r="AH54" s="1248">
        <v>4894</v>
      </c>
      <c r="AI54" s="1246">
        <v>10101</v>
      </c>
      <c r="AJ54" s="1246">
        <v>9737</v>
      </c>
      <c r="AK54" s="1246">
        <v>2636</v>
      </c>
      <c r="AL54" s="1248">
        <v>7623</v>
      </c>
      <c r="AM54" s="1246">
        <v>11120</v>
      </c>
      <c r="AN54" s="1246">
        <v>8477</v>
      </c>
      <c r="AO54" s="1246">
        <v>7783</v>
      </c>
      <c r="AP54" s="1248">
        <v>4558</v>
      </c>
      <c r="AQ54" s="1246">
        <v>4647</v>
      </c>
      <c r="AR54" s="1246">
        <v>5374</v>
      </c>
      <c r="AS54" s="1248">
        <v>5131</v>
      </c>
      <c r="AT54" s="1248">
        <v>11781</v>
      </c>
      <c r="AU54" s="1463">
        <v>4769</v>
      </c>
      <c r="AV54" s="1246">
        <v>4406</v>
      </c>
      <c r="AW54" s="1246">
        <v>8649</v>
      </c>
      <c r="AX54" s="1248">
        <v>10062</v>
      </c>
      <c r="AY54" s="1407">
        <v>11018</v>
      </c>
      <c r="AZ54" s="1407">
        <v>12605</v>
      </c>
      <c r="BA54" s="1407">
        <v>12383</v>
      </c>
      <c r="BB54" s="1424">
        <v>14764</v>
      </c>
      <c r="BC54" s="1393">
        <v>10416</v>
      </c>
      <c r="BD54" s="1424">
        <v>8055</v>
      </c>
      <c r="BE54" s="1424">
        <v>7372</v>
      </c>
      <c r="BF54" s="1424">
        <v>8735</v>
      </c>
      <c r="BG54" s="1476"/>
      <c r="BH54" s="1408">
        <v>24430</v>
      </c>
      <c r="BI54" s="1407">
        <v>15056</v>
      </c>
      <c r="BJ54" s="1353">
        <v>9374</v>
      </c>
      <c r="BK54" s="1296">
        <v>0.62260892667375134</v>
      </c>
      <c r="BL54" s="1193"/>
      <c r="BM54" s="1426">
        <v>24430</v>
      </c>
      <c r="BN54" s="1399">
        <v>15056</v>
      </c>
      <c r="BO54" s="1426">
        <v>14044</v>
      </c>
      <c r="BP54" s="1426">
        <v>8968</v>
      </c>
      <c r="BQ54" s="1234">
        <v>16768</v>
      </c>
      <c r="BR54" s="1234">
        <v>15418</v>
      </c>
      <c r="BS54" s="1234">
        <v>24477</v>
      </c>
      <c r="BT54" s="1234">
        <v>30097</v>
      </c>
      <c r="BU54" s="2006">
        <v>31938</v>
      </c>
      <c r="BV54" s="2006">
        <v>26933</v>
      </c>
      <c r="BW54" s="2006">
        <v>27886</v>
      </c>
      <c r="BX54" s="1317">
        <v>50770</v>
      </c>
      <c r="BY54" s="1317">
        <v>34578</v>
      </c>
      <c r="BZ54" s="2162">
        <v>24555</v>
      </c>
      <c r="CA54" s="2162">
        <v>14948</v>
      </c>
      <c r="CB54" s="2162">
        <v>14416</v>
      </c>
      <c r="CC54" s="1145"/>
    </row>
    <row r="55" spans="1:81" ht="12.75" customHeight="1" x14ac:dyDescent="0.2">
      <c r="A55" s="1193"/>
      <c r="B55" s="1208" t="s">
        <v>80</v>
      </c>
      <c r="C55" s="957">
        <v>3939</v>
      </c>
      <c r="D55" s="1035">
        <v>0.2533607769987779</v>
      </c>
      <c r="E55" s="2564"/>
      <c r="F55" s="2010">
        <v>19486</v>
      </c>
      <c r="G55" s="1169">
        <v>22723</v>
      </c>
      <c r="H55" s="1270">
        <v>19206</v>
      </c>
      <c r="I55" s="1269">
        <v>20326</v>
      </c>
      <c r="J55" s="1248">
        <v>15547</v>
      </c>
      <c r="K55" s="1269">
        <v>14817</v>
      </c>
      <c r="L55" s="1269">
        <v>15073</v>
      </c>
      <c r="M55" s="1269">
        <v>12276</v>
      </c>
      <c r="N55" s="1248">
        <v>14424</v>
      </c>
      <c r="O55" s="1269">
        <v>18591</v>
      </c>
      <c r="P55" s="1269">
        <v>18755</v>
      </c>
      <c r="Q55" s="1269">
        <v>13645</v>
      </c>
      <c r="R55" s="1248">
        <v>12710</v>
      </c>
      <c r="S55" s="1269">
        <v>16096</v>
      </c>
      <c r="T55" s="1269">
        <v>16151</v>
      </c>
      <c r="U55" s="1269">
        <v>13258</v>
      </c>
      <c r="V55" s="1248">
        <v>14650</v>
      </c>
      <c r="W55" s="1269">
        <v>15869</v>
      </c>
      <c r="X55" s="1269">
        <v>11773</v>
      </c>
      <c r="Y55" s="1269">
        <v>14577</v>
      </c>
      <c r="Z55" s="1248">
        <v>13595</v>
      </c>
      <c r="AA55" s="1262">
        <v>14301</v>
      </c>
      <c r="AB55" s="1262">
        <v>14113</v>
      </c>
      <c r="AC55" s="1269">
        <v>10859</v>
      </c>
      <c r="AD55" s="1248">
        <v>11815</v>
      </c>
      <c r="AE55" s="1269">
        <v>17861</v>
      </c>
      <c r="AF55" s="1269">
        <v>16806</v>
      </c>
      <c r="AG55" s="1269">
        <v>12159</v>
      </c>
      <c r="AH55" s="1248">
        <v>13912</v>
      </c>
      <c r="AI55" s="1269">
        <v>20078</v>
      </c>
      <c r="AJ55" s="1269">
        <v>17418</v>
      </c>
      <c r="AK55" s="1269">
        <v>15544</v>
      </c>
      <c r="AL55" s="1248">
        <v>19546</v>
      </c>
      <c r="AM55" s="1269">
        <v>26472</v>
      </c>
      <c r="AN55" s="1269">
        <v>22610</v>
      </c>
      <c r="AO55" s="1269">
        <v>18461</v>
      </c>
      <c r="AP55" s="1248">
        <v>18221</v>
      </c>
      <c r="AQ55" s="1269">
        <v>19487</v>
      </c>
      <c r="AR55" s="1269">
        <v>20730</v>
      </c>
      <c r="AS55" s="1245">
        <v>16652</v>
      </c>
      <c r="AT55" s="1248">
        <v>17168</v>
      </c>
      <c r="AU55" s="1269">
        <v>16684</v>
      </c>
      <c r="AV55" s="1269">
        <v>15548</v>
      </c>
      <c r="AW55" s="1269">
        <v>16744</v>
      </c>
      <c r="AX55" s="1248">
        <v>19476</v>
      </c>
      <c r="AY55" s="1205">
        <v>14771</v>
      </c>
      <c r="AZ55" s="1205">
        <v>20337</v>
      </c>
      <c r="BA55" s="1205">
        <v>18321</v>
      </c>
      <c r="BB55" s="1409">
        <v>23723</v>
      </c>
      <c r="BC55" s="1413">
        <v>20053</v>
      </c>
      <c r="BD55" s="1409">
        <v>19182</v>
      </c>
      <c r="BE55" s="1409">
        <v>18732</v>
      </c>
      <c r="BF55" s="1409">
        <v>20213</v>
      </c>
      <c r="BG55" s="1476"/>
      <c r="BH55" s="1396">
        <v>77802</v>
      </c>
      <c r="BI55" s="1205">
        <v>56590</v>
      </c>
      <c r="BJ55" s="1209">
        <v>21212</v>
      </c>
      <c r="BK55" s="1299">
        <v>0.3748365435589327</v>
      </c>
      <c r="BL55" s="1193"/>
      <c r="BM55" s="1367">
        <v>77802</v>
      </c>
      <c r="BN55" s="1397">
        <v>56590</v>
      </c>
      <c r="BO55" s="1367">
        <v>63701</v>
      </c>
      <c r="BP55" s="1367">
        <v>60155</v>
      </c>
      <c r="BQ55" s="1234">
        <v>55814</v>
      </c>
      <c r="BR55" s="1234">
        <v>51088</v>
      </c>
      <c r="BS55" s="1234">
        <v>60738</v>
      </c>
      <c r="BT55" s="1234">
        <v>72586</v>
      </c>
      <c r="BU55" s="2006">
        <v>85764</v>
      </c>
      <c r="BV55" s="2006">
        <v>74037</v>
      </c>
      <c r="BW55" s="2006">
        <v>68452</v>
      </c>
      <c r="BX55" s="1317">
        <v>77152</v>
      </c>
      <c r="BY55" s="1317">
        <v>78180</v>
      </c>
      <c r="BZ55" s="2003">
        <v>68726</v>
      </c>
      <c r="CA55" s="2003">
        <v>58783</v>
      </c>
      <c r="CB55" s="2003">
        <v>66472</v>
      </c>
      <c r="CC55" s="1145"/>
    </row>
    <row r="56" spans="1:81" ht="12.75" customHeight="1" x14ac:dyDescent="0.2">
      <c r="A56" s="1193"/>
      <c r="B56" s="1343" t="s">
        <v>332</v>
      </c>
      <c r="C56" s="957">
        <v>-906</v>
      </c>
      <c r="D56" s="1035">
        <v>-0.11840041819132253</v>
      </c>
      <c r="E56" s="2564"/>
      <c r="F56" s="2010">
        <v>-8558</v>
      </c>
      <c r="G56" s="1169">
        <v>-10065</v>
      </c>
      <c r="H56" s="1269">
        <v>-7658</v>
      </c>
      <c r="I56" s="1269">
        <v>-7781</v>
      </c>
      <c r="J56" s="1248">
        <v>-7652</v>
      </c>
      <c r="K56" s="1269">
        <v>-7736</v>
      </c>
      <c r="L56" s="1269">
        <v>-7502</v>
      </c>
      <c r="M56" s="1269">
        <v>-7960</v>
      </c>
      <c r="N56" s="1248">
        <v>-8855</v>
      </c>
      <c r="O56" s="1269">
        <v>-9443</v>
      </c>
      <c r="P56" s="1269">
        <v>-9710</v>
      </c>
      <c r="Q56" s="1269">
        <v>-8650</v>
      </c>
      <c r="R56" s="1248">
        <v>-7203</v>
      </c>
      <c r="S56" s="1269">
        <v>-10816</v>
      </c>
      <c r="T56" s="1269">
        <v>-9132</v>
      </c>
      <c r="U56" s="1269">
        <v>-9885</v>
      </c>
      <c r="V56" s="1248">
        <v>-9108</v>
      </c>
      <c r="W56" s="1269">
        <v>-8708</v>
      </c>
      <c r="X56" s="1269">
        <v>-7427</v>
      </c>
      <c r="Y56" s="1269"/>
      <c r="Z56" s="1248"/>
      <c r="AA56" s="1262"/>
      <c r="AB56" s="1262"/>
      <c r="AC56" s="1269"/>
      <c r="AD56" s="1248"/>
      <c r="AE56" s="1269"/>
      <c r="AF56" s="1269"/>
      <c r="AG56" s="1269"/>
      <c r="AH56" s="1248"/>
      <c r="AI56" s="1269"/>
      <c r="AJ56" s="1269"/>
      <c r="AK56" s="1269"/>
      <c r="AL56" s="1248"/>
      <c r="AM56" s="1269"/>
      <c r="AN56" s="1269"/>
      <c r="AO56" s="1269"/>
      <c r="AP56" s="1248"/>
      <c r="AQ56" s="1269"/>
      <c r="AR56" s="1269"/>
      <c r="AS56" s="1245"/>
      <c r="AT56" s="1248"/>
      <c r="AU56" s="1269"/>
      <c r="AV56" s="1269"/>
      <c r="AW56" s="1269"/>
      <c r="AX56" s="1248"/>
      <c r="AY56" s="1205"/>
      <c r="AZ56" s="1205"/>
      <c r="BA56" s="1205"/>
      <c r="BB56" s="1409"/>
      <c r="BC56" s="1413"/>
      <c r="BD56" s="1409"/>
      <c r="BE56" s="1409"/>
      <c r="BF56" s="1409"/>
      <c r="BG56" s="1476"/>
      <c r="BH56" s="1396">
        <v>-33156</v>
      </c>
      <c r="BI56" s="1205">
        <v>-32053</v>
      </c>
      <c r="BJ56" s="1209">
        <v>-1103</v>
      </c>
      <c r="BK56" s="1299">
        <v>-3.4411755529903595E-2</v>
      </c>
      <c r="BL56" s="1193"/>
      <c r="BM56" s="1413">
        <v>-33156</v>
      </c>
      <c r="BN56" s="1409">
        <v>-32053</v>
      </c>
      <c r="BO56" s="1413">
        <v>-35006</v>
      </c>
      <c r="BP56" s="1413">
        <v>-38941</v>
      </c>
      <c r="BQ56" s="1234">
        <v>-33593</v>
      </c>
      <c r="BR56" s="1234">
        <v>-33256</v>
      </c>
      <c r="BS56" s="1234">
        <v>-45797</v>
      </c>
      <c r="BT56" s="1234">
        <v>-47604</v>
      </c>
      <c r="BU56" s="2006"/>
      <c r="BV56" s="2006"/>
      <c r="BW56" s="2006"/>
      <c r="BX56" s="1317"/>
      <c r="BY56" s="1317"/>
      <c r="BZ56" s="2003"/>
      <c r="CA56" s="2003"/>
      <c r="CB56" s="2003"/>
      <c r="CC56" s="1145"/>
    </row>
    <row r="57" spans="1:81" x14ac:dyDescent="0.2">
      <c r="A57" s="1193"/>
      <c r="B57" s="1343" t="s">
        <v>394</v>
      </c>
      <c r="C57" s="1191">
        <v>-2664</v>
      </c>
      <c r="D57" s="1192">
        <v>-1.0571428571428572</v>
      </c>
      <c r="E57" s="2564"/>
      <c r="F57" s="2031">
        <v>-5184</v>
      </c>
      <c r="G57" s="1163">
        <v>-5027</v>
      </c>
      <c r="H57" s="1254">
        <v>-5300</v>
      </c>
      <c r="I57" s="1254">
        <v>-7369</v>
      </c>
      <c r="J57" s="1458">
        <v>-2520</v>
      </c>
      <c r="K57" s="1254">
        <v>-2066</v>
      </c>
      <c r="L57" s="1304">
        <v>-3705</v>
      </c>
      <c r="M57" s="1254">
        <v>-1212</v>
      </c>
      <c r="N57" s="1458">
        <v>-2498</v>
      </c>
      <c r="O57" s="1254">
        <v>-4345</v>
      </c>
      <c r="P57" s="1254">
        <v>-5573</v>
      </c>
      <c r="Q57" s="1254">
        <v>-2088</v>
      </c>
      <c r="R57" s="1458">
        <v>-2645</v>
      </c>
      <c r="S57" s="1254">
        <v>-3381</v>
      </c>
      <c r="T57" s="1254">
        <v>-7983</v>
      </c>
      <c r="U57" s="1254">
        <v>524</v>
      </c>
      <c r="V57" s="1458">
        <v>-1406</v>
      </c>
      <c r="W57" s="1254">
        <v>-2826</v>
      </c>
      <c r="X57" s="1254">
        <v>27</v>
      </c>
      <c r="Y57" s="1254">
        <v>-977</v>
      </c>
      <c r="Z57" s="1458">
        <v>-1677</v>
      </c>
      <c r="AA57" s="1304">
        <v>-3569</v>
      </c>
      <c r="AB57" s="1304">
        <v>-387</v>
      </c>
      <c r="AC57" s="1254" t="e">
        <v>#REF!</v>
      </c>
      <c r="AD57" s="1458" t="e">
        <v>#REF!</v>
      </c>
      <c r="AE57" s="1304" t="e">
        <v>#REF!</v>
      </c>
      <c r="AF57" s="1304" t="e">
        <v>#REF!</v>
      </c>
      <c r="AG57" s="1304" t="e">
        <v>#REF!</v>
      </c>
      <c r="AH57" s="1458" t="e">
        <v>#REF!</v>
      </c>
      <c r="AI57" s="1304" t="e">
        <v>#REF!</v>
      </c>
      <c r="AJ57" s="1304" t="e">
        <v>#REF!</v>
      </c>
      <c r="AK57" s="1304" t="e">
        <v>#REF!</v>
      </c>
      <c r="AL57" s="1458" t="e">
        <v>#REF!</v>
      </c>
      <c r="AM57" s="1304" t="e">
        <v>#REF!</v>
      </c>
      <c r="AN57" s="1304" t="e">
        <v>#REF!</v>
      </c>
      <c r="AO57" s="1304"/>
      <c r="AP57" s="1458"/>
      <c r="AQ57" s="1304"/>
      <c r="AR57" s="1304"/>
      <c r="AS57" s="1253"/>
      <c r="AT57" s="1458"/>
      <c r="AU57" s="1304"/>
      <c r="AV57" s="1304"/>
      <c r="AW57" s="1304"/>
      <c r="AX57" s="1458"/>
      <c r="AY57" s="1252"/>
      <c r="AZ57" s="1252"/>
      <c r="BA57" s="1252"/>
      <c r="BB57" s="1430"/>
      <c r="BC57" s="1477"/>
      <c r="BD57" s="1430"/>
      <c r="BE57" s="1430"/>
      <c r="BF57" s="1430"/>
      <c r="BG57" s="1476"/>
      <c r="BH57" s="1429">
        <v>-20216</v>
      </c>
      <c r="BI57" s="1252">
        <v>-9481</v>
      </c>
      <c r="BJ57" s="1211">
        <v>-10735</v>
      </c>
      <c r="BK57" s="1354">
        <v>-1.1322645290581161</v>
      </c>
      <c r="BL57" s="1193"/>
      <c r="BM57" s="1477">
        <v>-20216</v>
      </c>
      <c r="BN57" s="1253">
        <v>-9481</v>
      </c>
      <c r="BO57" s="1274">
        <v>-14651</v>
      </c>
      <c r="BP57" s="1274">
        <v>-12246</v>
      </c>
      <c r="BQ57" s="1478">
        <v>-5453</v>
      </c>
      <c r="BR57" s="1478">
        <v>-2414</v>
      </c>
      <c r="BS57" s="1461">
        <v>9536</v>
      </c>
      <c r="BT57" s="1461">
        <v>5115</v>
      </c>
      <c r="BU57" s="2031">
        <v>-6319</v>
      </c>
      <c r="BV57" s="2031" t="e">
        <v>#REF!</v>
      </c>
      <c r="BW57" s="2031" t="e">
        <v>#REF!</v>
      </c>
      <c r="BX57" s="2029" t="e">
        <v>#REF!</v>
      </c>
      <c r="BY57" s="2029"/>
      <c r="BZ57" s="2018"/>
      <c r="CA57" s="2018"/>
      <c r="CB57" s="2018"/>
      <c r="CC57" s="1145"/>
    </row>
    <row r="58" spans="1:81" x14ac:dyDescent="0.2">
      <c r="A58" s="1193"/>
      <c r="B58" s="1343"/>
      <c r="C58" s="1007"/>
      <c r="D58" s="959"/>
      <c r="E58" s="929"/>
      <c r="F58" s="929"/>
      <c r="G58" s="929"/>
      <c r="H58" s="959"/>
      <c r="I58" s="959"/>
      <c r="J58" s="959"/>
      <c r="K58" s="959"/>
      <c r="L58" s="959"/>
      <c r="M58" s="959"/>
      <c r="N58" s="959"/>
      <c r="O58" s="959"/>
      <c r="P58" s="959"/>
      <c r="Q58" s="959"/>
      <c r="R58" s="959"/>
      <c r="S58" s="1262"/>
      <c r="T58" s="1262"/>
      <c r="U58" s="1262"/>
      <c r="V58" s="1235"/>
      <c r="W58" s="1262"/>
      <c r="X58" s="1262"/>
      <c r="Y58" s="1262"/>
      <c r="Z58" s="1235"/>
      <c r="AA58" s="1262"/>
      <c r="AB58" s="1262"/>
      <c r="AC58" s="1262"/>
      <c r="AD58" s="1235"/>
      <c r="AE58" s="1262"/>
      <c r="AF58" s="1262"/>
      <c r="AG58" s="1262"/>
      <c r="AH58" s="1235"/>
      <c r="AI58" s="1262"/>
      <c r="AJ58" s="1262"/>
      <c r="AK58" s="1262"/>
      <c r="AL58" s="1235"/>
      <c r="AM58" s="1262"/>
      <c r="AN58" s="1262"/>
      <c r="AO58" s="1262"/>
      <c r="AP58" s="1235"/>
      <c r="AQ58" s="1262"/>
      <c r="AR58" s="1262"/>
      <c r="AS58" s="1262"/>
      <c r="AT58" s="1235"/>
      <c r="AU58" s="1262"/>
      <c r="AV58" s="1262"/>
      <c r="AW58" s="1262"/>
      <c r="AX58" s="1235"/>
      <c r="AY58" s="1398"/>
      <c r="AZ58" s="1398"/>
      <c r="BA58" s="1398"/>
      <c r="BB58" s="1398"/>
      <c r="BC58" s="1398"/>
      <c r="BD58" s="1398"/>
      <c r="BE58" s="1398"/>
      <c r="BF58" s="1398"/>
      <c r="BG58" s="1208"/>
      <c r="BH58" s="1208"/>
      <c r="BI58" s="1208"/>
      <c r="BJ58" s="1007"/>
      <c r="BK58" s="1874"/>
      <c r="BL58" s="1193"/>
      <c r="BM58" s="1193"/>
      <c r="BN58" s="1235"/>
      <c r="BO58" s="1235"/>
      <c r="BP58" s="1235"/>
      <c r="BQ58" s="1235"/>
      <c r="BR58" s="1235"/>
      <c r="BS58" s="1235"/>
      <c r="BT58" s="1235"/>
      <c r="BU58" s="1156"/>
      <c r="BV58" s="1156"/>
      <c r="BW58" s="1156"/>
      <c r="BX58" s="1321"/>
      <c r="BY58" s="1321"/>
      <c r="BZ58" s="914"/>
      <c r="CA58" s="914"/>
      <c r="CB58" s="914"/>
      <c r="CC58" s="1145"/>
    </row>
    <row r="59" spans="1:81" x14ac:dyDescent="0.2">
      <c r="A59" s="946" t="s">
        <v>357</v>
      </c>
      <c r="B59" s="1343"/>
      <c r="C59" s="1007"/>
      <c r="D59" s="1077"/>
      <c r="E59" s="1929"/>
      <c r="F59" s="1929"/>
      <c r="G59" s="1929"/>
      <c r="H59" s="1077"/>
      <c r="I59" s="1077"/>
      <c r="J59" s="1077"/>
      <c r="K59" s="1077"/>
      <c r="L59" s="1077"/>
      <c r="M59" s="1077"/>
      <c r="N59" s="1077"/>
      <c r="O59" s="1077"/>
      <c r="P59" s="1077"/>
      <c r="Q59" s="1077"/>
      <c r="R59" s="1077"/>
      <c r="S59" s="1077"/>
      <c r="T59" s="1077"/>
      <c r="U59" s="1077"/>
      <c r="V59" s="1924"/>
      <c r="W59" s="1077"/>
      <c r="X59" s="1077"/>
      <c r="Y59" s="1077"/>
      <c r="Z59" s="1924"/>
      <c r="AA59" s="1077"/>
      <c r="AB59" s="1077"/>
      <c r="AC59" s="1077"/>
      <c r="AD59" s="1924"/>
      <c r="AE59" s="1077"/>
      <c r="AF59" s="1077"/>
      <c r="AG59" s="1077"/>
      <c r="AH59" s="1924"/>
      <c r="AI59" s="1077"/>
      <c r="AJ59" s="1077"/>
      <c r="AK59" s="1077"/>
      <c r="AL59" s="1924"/>
      <c r="AM59" s="1077"/>
      <c r="AN59" s="1077"/>
      <c r="AO59" s="1077"/>
      <c r="AP59" s="1924"/>
      <c r="AQ59" s="1077"/>
      <c r="AR59" s="1077"/>
      <c r="AS59" s="1077"/>
      <c r="AT59" s="1924"/>
      <c r="AU59" s="1077"/>
      <c r="AV59" s="1077"/>
      <c r="AW59" s="1077"/>
      <c r="AX59" s="1924"/>
      <c r="AY59" s="1065"/>
      <c r="AZ59" s="1065"/>
      <c r="BA59" s="1065"/>
      <c r="BB59" s="1065"/>
      <c r="BC59" s="1065"/>
      <c r="BD59" s="1065"/>
      <c r="BE59" s="1065"/>
      <c r="BF59" s="1065"/>
      <c r="BG59" s="1924"/>
      <c r="BH59" s="1924"/>
      <c r="BI59" s="1924"/>
      <c r="BJ59" s="1077"/>
      <c r="BK59" s="1065"/>
      <c r="BL59" s="1450"/>
      <c r="BM59" s="1450"/>
      <c r="BN59" s="1924"/>
      <c r="BO59" s="1924"/>
      <c r="BP59" s="1924"/>
      <c r="BQ59" s="1924"/>
      <c r="BR59" s="1924"/>
      <c r="BS59" s="1924"/>
      <c r="BT59" s="1924"/>
      <c r="BU59" s="2212"/>
      <c r="BV59" s="2212"/>
      <c r="BW59" s="2212"/>
      <c r="BX59" s="1961"/>
      <c r="BY59" s="1961"/>
      <c r="BZ59" s="1929"/>
      <c r="CA59" s="1929"/>
      <c r="CB59" s="1929"/>
      <c r="CC59" s="1315"/>
    </row>
    <row r="60" spans="1:81" x14ac:dyDescent="0.2">
      <c r="A60" s="971" t="s">
        <v>28</v>
      </c>
      <c r="B60" s="1184"/>
      <c r="C60" s="1184"/>
      <c r="D60" s="1357"/>
      <c r="S60" s="1077"/>
      <c r="T60" s="1077"/>
      <c r="U60" s="1077"/>
      <c r="V60" s="1077"/>
      <c r="W60" s="1077"/>
      <c r="X60" s="1077"/>
      <c r="Y60" s="1077"/>
      <c r="Z60" s="1077"/>
      <c r="AA60" s="1077"/>
      <c r="AB60" s="1077"/>
      <c r="AC60" s="1077"/>
      <c r="AD60" s="1077"/>
      <c r="AE60" s="1077"/>
      <c r="AF60" s="1077"/>
      <c r="AG60" s="1077"/>
      <c r="AH60" s="1077"/>
      <c r="AI60" s="1077"/>
      <c r="AJ60" s="1077"/>
      <c r="AK60" s="1077"/>
      <c r="AL60" s="1077"/>
      <c r="AM60" s="1077"/>
      <c r="AN60" s="1077"/>
      <c r="AO60" s="1077"/>
      <c r="AP60" s="1077"/>
      <c r="AQ60" s="1077"/>
      <c r="AR60" s="1077"/>
      <c r="AS60" s="1077"/>
      <c r="AT60" s="1077"/>
      <c r="AU60" s="1077"/>
      <c r="AV60" s="1077"/>
      <c r="AW60" s="1077"/>
      <c r="AX60" s="1077"/>
      <c r="AY60" s="1077"/>
      <c r="AZ60" s="1077"/>
      <c r="BA60" s="1077"/>
      <c r="BB60" s="1077"/>
      <c r="BC60" s="1077"/>
      <c r="BD60" s="1077"/>
      <c r="BE60" s="1077"/>
      <c r="BF60" s="1077"/>
      <c r="BG60" s="1077"/>
      <c r="BH60" s="1077"/>
      <c r="BI60" s="1077"/>
      <c r="BJ60" s="1077"/>
      <c r="BK60" s="1077"/>
      <c r="BL60" s="1077"/>
      <c r="BM60" s="1077"/>
      <c r="BN60" s="1077"/>
      <c r="BO60" s="1077"/>
      <c r="BP60" s="1077"/>
      <c r="BQ60" s="1077"/>
      <c r="BR60" s="1077"/>
      <c r="BS60" s="1077"/>
      <c r="BT60" s="1077"/>
      <c r="BU60" s="1929"/>
      <c r="BV60" s="1929"/>
      <c r="BW60" s="1929"/>
      <c r="BX60" s="1929"/>
      <c r="BY60" s="1929"/>
      <c r="BZ60" s="1929"/>
    </row>
    <row r="61" spans="1:81" x14ac:dyDescent="0.2">
      <c r="A61" s="941"/>
      <c r="V61" s="1920"/>
      <c r="Z61" s="1920"/>
      <c r="AD61" s="1920"/>
      <c r="AH61" s="1920"/>
      <c r="AL61" s="1920"/>
      <c r="AP61" s="1920"/>
      <c r="AT61" s="1920"/>
      <c r="BF61" s="1077"/>
      <c r="BH61" s="1357"/>
      <c r="BI61" s="1357"/>
      <c r="BX61" s="1929"/>
      <c r="BY61" s="1929"/>
    </row>
    <row r="62" spans="1:81" x14ac:dyDescent="0.2">
      <c r="A62" s="946" t="s">
        <v>709</v>
      </c>
      <c r="V62" s="1920"/>
      <c r="Z62" s="1920"/>
      <c r="AD62" s="1920"/>
      <c r="AH62" s="1920"/>
      <c r="AL62" s="1920"/>
      <c r="AP62" s="1920"/>
      <c r="AT62" s="1920"/>
      <c r="BF62" s="1077"/>
      <c r="BH62" s="1357"/>
      <c r="BI62" s="1357"/>
      <c r="BX62" s="1929"/>
      <c r="BY62" s="1929"/>
    </row>
    <row r="63" spans="1:81" x14ac:dyDescent="0.2">
      <c r="V63" s="1920"/>
      <c r="Z63" s="1920"/>
      <c r="AD63" s="1920"/>
      <c r="AH63" s="1920"/>
      <c r="AL63" s="1920"/>
      <c r="AP63" s="1920"/>
      <c r="AT63" s="1920"/>
      <c r="BF63" s="1077"/>
      <c r="BH63" s="1357"/>
      <c r="BI63" s="1357"/>
      <c r="BX63" s="1929"/>
      <c r="BY63" s="1929"/>
    </row>
    <row r="64" spans="1:81" x14ac:dyDescent="0.2">
      <c r="V64" s="1920"/>
      <c r="Z64" s="1920"/>
      <c r="AD64" s="1920"/>
      <c r="AH64" s="1920"/>
      <c r="AL64" s="1920"/>
      <c r="AP64" s="1920"/>
      <c r="AT64" s="1920"/>
      <c r="BF64" s="1077"/>
      <c r="BH64" s="1357"/>
      <c r="BI64" s="1357"/>
      <c r="BX64" s="2568"/>
      <c r="BY64" s="2568"/>
    </row>
    <row r="65" spans="22:77" x14ac:dyDescent="0.2">
      <c r="V65" s="1920"/>
      <c r="Z65" s="1920"/>
      <c r="AD65" s="1920"/>
      <c r="AH65" s="1920"/>
      <c r="AL65" s="1920"/>
      <c r="AP65" s="1920"/>
      <c r="AT65" s="1920"/>
      <c r="BF65" s="1077"/>
      <c r="BH65" s="1357"/>
      <c r="BI65" s="1357"/>
      <c r="BX65" s="1929"/>
      <c r="BY65" s="1929"/>
    </row>
    <row r="66" spans="22:77" x14ac:dyDescent="0.2">
      <c r="V66" s="1077"/>
      <c r="Z66" s="1077"/>
      <c r="AD66" s="1077"/>
      <c r="AH66" s="1077"/>
      <c r="AL66" s="1077"/>
      <c r="AP66" s="1077"/>
      <c r="AT66" s="1077"/>
      <c r="AX66" s="1077"/>
      <c r="BF66" s="1077"/>
      <c r="BH66" s="1357"/>
      <c r="BI66" s="1357"/>
      <c r="BX66" s="2568"/>
      <c r="BY66" s="2568"/>
    </row>
    <row r="67" spans="22:77" x14ac:dyDescent="0.2">
      <c r="V67" s="1311"/>
      <c r="Z67" s="1311"/>
      <c r="AD67" s="1311"/>
      <c r="AH67" s="1311"/>
      <c r="AL67" s="1311"/>
      <c r="AP67" s="1311"/>
      <c r="AT67" s="1311"/>
      <c r="AX67" s="1311"/>
      <c r="BF67" s="1311"/>
      <c r="BH67" s="1357"/>
      <c r="BI67" s="1357"/>
      <c r="BX67" s="2568"/>
      <c r="BY67" s="2568"/>
    </row>
    <row r="68" spans="22:77" x14ac:dyDescent="0.2">
      <c r="V68" s="1311"/>
      <c r="Z68" s="1311"/>
      <c r="AD68" s="1311"/>
      <c r="AH68" s="1311"/>
      <c r="AL68" s="1311"/>
      <c r="AP68" s="1311"/>
      <c r="AT68" s="1311"/>
      <c r="AX68" s="1311"/>
      <c r="AY68" s="1311"/>
      <c r="BB68" s="1311"/>
      <c r="BD68" s="1311"/>
      <c r="BE68" s="1311"/>
      <c r="BF68" s="1311"/>
      <c r="BH68" s="1357"/>
      <c r="BI68" s="1357"/>
      <c r="BX68" s="2729"/>
      <c r="BY68" s="2729"/>
    </row>
    <row r="69" spans="22:77" x14ac:dyDescent="0.2">
      <c r="V69" s="1077"/>
      <c r="Z69" s="1077"/>
      <c r="AD69" s="1077"/>
      <c r="AH69" s="1077"/>
      <c r="AL69" s="1077"/>
      <c r="AP69" s="1077"/>
      <c r="AT69" s="1077"/>
      <c r="AX69" s="1077"/>
      <c r="AY69" s="1077"/>
      <c r="AZ69" s="1077"/>
      <c r="BA69" s="1077"/>
      <c r="BB69" s="1077"/>
      <c r="BC69" s="2733"/>
      <c r="BD69" s="2733"/>
      <c r="BE69" s="1077"/>
      <c r="BF69" s="2194"/>
      <c r="BH69" s="1357"/>
      <c r="BI69" s="1357"/>
      <c r="BX69" s="2729"/>
      <c r="BY69" s="2729"/>
    </row>
    <row r="70" spans="22:77" x14ac:dyDescent="0.2">
      <c r="V70" s="1077"/>
      <c r="Z70" s="1077"/>
      <c r="AD70" s="1077"/>
      <c r="AH70" s="1077"/>
      <c r="AL70" s="1077"/>
      <c r="AP70" s="1077"/>
      <c r="AT70" s="1077"/>
      <c r="AX70" s="1077"/>
      <c r="AY70" s="1077"/>
      <c r="AZ70" s="1077"/>
      <c r="BA70" s="1077"/>
      <c r="BB70" s="1077"/>
      <c r="BC70" s="1065"/>
      <c r="BD70" s="1077"/>
      <c r="BE70" s="1077"/>
      <c r="BF70" s="1077"/>
      <c r="BH70" s="1357"/>
      <c r="BI70" s="1357"/>
      <c r="BX70" s="2729"/>
      <c r="BY70" s="2729"/>
    </row>
    <row r="71" spans="22:77" x14ac:dyDescent="0.2">
      <c r="V71" s="1077"/>
      <c r="Z71" s="1077"/>
      <c r="AD71" s="1077"/>
      <c r="AH71" s="1077"/>
      <c r="AL71" s="1077"/>
      <c r="AP71" s="1077"/>
      <c r="AT71" s="1077"/>
      <c r="AX71" s="1077"/>
      <c r="AY71" s="1077"/>
      <c r="AZ71" s="1077"/>
      <c r="BA71" s="1077"/>
      <c r="BB71" s="1077"/>
      <c r="BC71" s="1077"/>
      <c r="BD71" s="1077"/>
      <c r="BE71" s="1077"/>
      <c r="BF71" s="2733"/>
      <c r="BH71" s="1357"/>
      <c r="BI71" s="1357"/>
      <c r="BX71" s="2729"/>
      <c r="BY71" s="2729"/>
    </row>
    <row r="72" spans="22:77" x14ac:dyDescent="0.2">
      <c r="V72" s="1077"/>
      <c r="Z72" s="1077"/>
      <c r="AD72" s="1077"/>
      <c r="AH72" s="1077"/>
      <c r="AL72" s="1077"/>
      <c r="AP72" s="1077"/>
      <c r="AT72" s="1077"/>
      <c r="AX72" s="1077"/>
      <c r="AY72" s="1077"/>
      <c r="AZ72" s="1077"/>
      <c r="BA72" s="1077"/>
      <c r="BB72" s="1077"/>
      <c r="BC72" s="1077"/>
      <c r="BD72" s="1077"/>
      <c r="BE72" s="1077"/>
      <c r="BF72" s="2733"/>
      <c r="BH72" s="1357"/>
      <c r="BI72" s="1357"/>
      <c r="BX72" s="1929"/>
      <c r="BY72" s="1929"/>
    </row>
    <row r="73" spans="22:77" x14ac:dyDescent="0.2">
      <c r="V73" s="1077"/>
      <c r="Z73" s="1077"/>
      <c r="AD73" s="1077"/>
      <c r="AH73" s="1077"/>
      <c r="AL73" s="1077"/>
      <c r="AP73" s="1077"/>
      <c r="AT73" s="1077"/>
      <c r="AX73" s="1077"/>
      <c r="AY73" s="1077"/>
      <c r="AZ73" s="1077"/>
      <c r="BA73" s="1077"/>
      <c r="BB73" s="1077"/>
      <c r="BC73" s="1077"/>
      <c r="BD73" s="1077"/>
      <c r="BE73" s="1077"/>
      <c r="BF73" s="1065"/>
      <c r="BH73" s="1357"/>
      <c r="BI73" s="1357"/>
      <c r="BX73" s="1929"/>
      <c r="BY73" s="1929"/>
    </row>
    <row r="74" spans="22:77" x14ac:dyDescent="0.2">
      <c r="V74" s="1077"/>
      <c r="Z74" s="1077"/>
      <c r="AD74" s="1077"/>
      <c r="AH74" s="1077"/>
      <c r="AL74" s="1077"/>
      <c r="AP74" s="1077"/>
      <c r="AT74" s="1077"/>
      <c r="AX74" s="1077"/>
      <c r="AY74" s="1077"/>
      <c r="AZ74" s="1077"/>
      <c r="BA74" s="1077"/>
      <c r="BB74" s="1077"/>
      <c r="BC74" s="1077"/>
      <c r="BD74" s="1077"/>
      <c r="BE74" s="1077"/>
      <c r="BF74" s="1077"/>
      <c r="BH74" s="1357"/>
      <c r="BI74" s="1357"/>
      <c r="BX74" s="1929"/>
      <c r="BY74" s="1929"/>
    </row>
    <row r="75" spans="22:77" x14ac:dyDescent="0.2">
      <c r="V75" s="1077"/>
      <c r="Z75" s="1077"/>
      <c r="AD75" s="1077"/>
      <c r="AH75" s="1077"/>
      <c r="AL75" s="1077"/>
      <c r="AP75" s="1077"/>
      <c r="AT75" s="1077"/>
      <c r="AX75" s="1077"/>
      <c r="AY75" s="1077"/>
      <c r="AZ75" s="1077"/>
      <c r="BA75" s="1077"/>
      <c r="BB75" s="1077"/>
      <c r="BC75" s="1077"/>
      <c r="BD75" s="1077"/>
      <c r="BE75" s="1077"/>
      <c r="BF75" s="1077"/>
      <c r="BH75" s="1357"/>
      <c r="BI75" s="1357"/>
      <c r="BX75" s="1929"/>
      <c r="BY75" s="1929"/>
    </row>
    <row r="76" spans="22:77" x14ac:dyDescent="0.2">
      <c r="V76" s="1077"/>
      <c r="Z76" s="1077"/>
      <c r="AD76" s="1077"/>
      <c r="AH76" s="1077"/>
      <c r="AL76" s="1077"/>
      <c r="AP76" s="1077"/>
      <c r="AT76" s="1077"/>
      <c r="AX76" s="1077"/>
      <c r="AY76" s="1077"/>
      <c r="AZ76" s="1077"/>
      <c r="BA76" s="1077"/>
      <c r="BB76" s="1077"/>
      <c r="BC76" s="1077"/>
      <c r="BD76" s="1077"/>
      <c r="BE76" s="1077"/>
      <c r="BF76" s="1077"/>
      <c r="BH76" s="1357"/>
      <c r="BI76" s="1357"/>
      <c r="BX76" s="1315"/>
      <c r="BY76" s="1315"/>
    </row>
    <row r="77" spans="22:77" x14ac:dyDescent="0.2">
      <c r="AX77" s="1357"/>
      <c r="AY77" s="1357"/>
      <c r="AZ77" s="1357"/>
      <c r="BA77" s="1357"/>
      <c r="BB77" s="1357"/>
      <c r="BC77" s="1357"/>
      <c r="BD77" s="1357"/>
      <c r="BE77" s="1357"/>
      <c r="BF77" s="1357"/>
      <c r="BH77" s="1357"/>
      <c r="BI77" s="1357"/>
      <c r="BX77" s="1315"/>
      <c r="BY77" s="1315"/>
    </row>
    <row r="78" spans="22:77" x14ac:dyDescent="0.2">
      <c r="AX78" s="1357"/>
      <c r="AY78" s="1357"/>
      <c r="AZ78" s="1357"/>
      <c r="BA78" s="1357"/>
      <c r="BB78" s="1357"/>
      <c r="BC78" s="1357"/>
      <c r="BD78" s="1357"/>
      <c r="BE78" s="1357"/>
      <c r="BF78" s="1357"/>
      <c r="BH78" s="1357"/>
      <c r="BI78" s="1357"/>
      <c r="BX78" s="1315"/>
      <c r="BY78" s="1315"/>
    </row>
    <row r="79" spans="22:77" x14ac:dyDescent="0.2">
      <c r="AX79" s="1357"/>
      <c r="AY79" s="1357"/>
      <c r="AZ79" s="1357"/>
      <c r="BA79" s="1357"/>
      <c r="BB79" s="1357"/>
      <c r="BC79" s="1357"/>
      <c r="BD79" s="1357"/>
      <c r="BE79" s="1357"/>
      <c r="BF79" s="1357"/>
      <c r="BH79" s="1357"/>
      <c r="BI79" s="1357"/>
      <c r="BX79" s="1315"/>
      <c r="BY79" s="1315"/>
    </row>
    <row r="80" spans="22:77" x14ac:dyDescent="0.2">
      <c r="AX80" s="1357"/>
      <c r="AY80" s="1357"/>
      <c r="AZ80" s="1357"/>
      <c r="BA80" s="1357"/>
      <c r="BB80" s="1357"/>
      <c r="BC80" s="1357"/>
      <c r="BD80" s="1357"/>
      <c r="BE80" s="1357"/>
      <c r="BF80" s="1357"/>
      <c r="BH80" s="1357"/>
      <c r="BI80" s="1357"/>
      <c r="BX80" s="1315"/>
      <c r="BY80" s="1315"/>
    </row>
    <row r="81" spans="22:61" x14ac:dyDescent="0.2">
      <c r="AX81" s="1357"/>
      <c r="AY81" s="1357"/>
      <c r="AZ81" s="1357"/>
      <c r="BA81" s="1357"/>
      <c r="BB81" s="1357"/>
      <c r="BC81" s="1357"/>
      <c r="BD81" s="1357"/>
      <c r="BE81" s="1357"/>
      <c r="BF81" s="1357"/>
      <c r="BH81" s="1357"/>
      <c r="BI81" s="1357"/>
    </row>
    <row r="82" spans="22:61" x14ac:dyDescent="0.2">
      <c r="V82" s="1920"/>
      <c r="Z82" s="1920"/>
      <c r="AD82" s="1920"/>
      <c r="AH82" s="1920"/>
      <c r="AL82" s="1920"/>
      <c r="AP82" s="1920"/>
      <c r="AT82" s="1920"/>
    </row>
    <row r="83" spans="22:61" x14ac:dyDescent="0.2">
      <c r="V83" s="1920"/>
      <c r="Z83" s="1920"/>
      <c r="AD83" s="1920"/>
      <c r="AH83" s="1920"/>
      <c r="AL83" s="1920"/>
      <c r="AP83" s="1920"/>
      <c r="AT83" s="1920"/>
    </row>
    <row r="84" spans="22:61" x14ac:dyDescent="0.2">
      <c r="V84" s="1920"/>
      <c r="Z84" s="1920"/>
      <c r="AD84" s="1920"/>
      <c r="AH84" s="1920"/>
      <c r="AL84" s="1920"/>
      <c r="AP84" s="1920"/>
      <c r="AT84" s="1920"/>
    </row>
    <row r="85" spans="22:61" x14ac:dyDescent="0.2">
      <c r="V85" s="1920"/>
      <c r="Z85" s="1920"/>
      <c r="AD85" s="1920"/>
      <c r="AH85" s="1920"/>
      <c r="AL85" s="1920"/>
      <c r="AP85" s="1920"/>
      <c r="AT85" s="1920"/>
    </row>
    <row r="86" spans="22:61" x14ac:dyDescent="0.2">
      <c r="V86" s="1920"/>
      <c r="Z86" s="1920"/>
      <c r="AD86" s="1920"/>
      <c r="AH86" s="1920"/>
      <c r="AL86" s="1920"/>
      <c r="AP86" s="1920"/>
      <c r="AT86" s="1920"/>
    </row>
  </sheetData>
  <mergeCells count="7">
    <mergeCell ref="BJ11:BK11"/>
    <mergeCell ref="BJ53:BK53"/>
    <mergeCell ref="A38:B38"/>
    <mergeCell ref="C10:D10"/>
    <mergeCell ref="C11:D11"/>
    <mergeCell ref="C52:D52"/>
    <mergeCell ref="C53:D53"/>
  </mergeCells>
  <phoneticPr fontId="14" type="noConversion"/>
  <conditionalFormatting sqref="A45:B45 A49:A51">
    <cfRule type="cellIs" dxfId="28" priority="1" stopIfTrue="1" operator="equal">
      <formula>0</formula>
    </cfRule>
  </conditionalFormatting>
  <printOptions horizontalCentered="1"/>
  <pageMargins left="0" right="0" top="0.75" bottom="0" header="0" footer="0"/>
  <pageSetup scale="65" orientation="landscape" r:id="rId1"/>
  <headerFooter alignWithMargins="0">
    <oddFooter>&amp;L&amp;F&amp;CPage 13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1"/>
  <sheetViews>
    <sheetView zoomScale="80" zoomScaleNormal="80" workbookViewId="0">
      <selection activeCell="J14" sqref="J14"/>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67"/>
      <c r="B1" s="67"/>
      <c r="C1" s="67"/>
      <c r="D1" s="67"/>
      <c r="E1" s="67"/>
      <c r="F1" s="67"/>
    </row>
    <row r="2" spans="1:11" ht="15" x14ac:dyDescent="0.2">
      <c r="A2" s="67"/>
      <c r="B2" s="67"/>
      <c r="C2" s="67"/>
      <c r="D2" s="67"/>
      <c r="E2" s="67"/>
      <c r="F2" s="67"/>
    </row>
    <row r="3" spans="1:11" ht="15" x14ac:dyDescent="0.2">
      <c r="A3" s="67"/>
      <c r="B3" s="67"/>
      <c r="C3" s="67"/>
      <c r="D3" s="67"/>
      <c r="E3" s="67"/>
      <c r="F3" s="67"/>
    </row>
    <row r="4" spans="1:11" ht="21" customHeight="1" x14ac:dyDescent="0.2">
      <c r="A4" s="67"/>
      <c r="B4" s="67"/>
      <c r="C4" s="67"/>
      <c r="D4" s="67"/>
      <c r="E4" s="67"/>
      <c r="F4" s="67"/>
    </row>
    <row r="5" spans="1:11" ht="15" x14ac:dyDescent="0.2">
      <c r="A5" s="71"/>
      <c r="B5" s="68" t="s">
        <v>48</v>
      </c>
      <c r="C5" s="69"/>
      <c r="D5" s="69"/>
      <c r="E5" s="70"/>
      <c r="F5" s="71"/>
    </row>
    <row r="6" spans="1:11" ht="16.5" customHeight="1" x14ac:dyDescent="0.2">
      <c r="A6" s="71"/>
      <c r="B6" s="72"/>
      <c r="C6" s="73"/>
      <c r="D6" s="74" t="s">
        <v>49</v>
      </c>
      <c r="E6" s="75"/>
      <c r="F6" s="71"/>
    </row>
    <row r="7" spans="1:11" ht="16.5" customHeight="1" x14ac:dyDescent="0.2">
      <c r="A7" s="71"/>
      <c r="B7" s="3058" t="s">
        <v>50</v>
      </c>
      <c r="C7" s="3059"/>
      <c r="D7" s="446">
        <v>1</v>
      </c>
      <c r="E7" s="76"/>
      <c r="F7" s="71"/>
    </row>
    <row r="8" spans="1:11" ht="16.5" customHeight="1" x14ac:dyDescent="0.2">
      <c r="A8" s="71"/>
      <c r="B8" s="3060" t="s">
        <v>51</v>
      </c>
      <c r="C8" s="3059"/>
      <c r="D8" s="446">
        <v>2</v>
      </c>
      <c r="E8" s="76"/>
      <c r="F8" s="71"/>
    </row>
    <row r="9" spans="1:11" s="480" customFormat="1" ht="16.5" customHeight="1" x14ac:dyDescent="0.2">
      <c r="A9" s="71"/>
      <c r="B9" s="3060" t="s">
        <v>567</v>
      </c>
      <c r="C9" s="3059"/>
      <c r="D9" s="446">
        <v>3</v>
      </c>
      <c r="E9" s="76"/>
      <c r="F9" s="71"/>
    </row>
    <row r="10" spans="1:11" s="480" customFormat="1" ht="16.5" customHeight="1" x14ac:dyDescent="0.2">
      <c r="A10" s="71"/>
      <c r="B10" s="3005" t="s">
        <v>705</v>
      </c>
      <c r="C10" s="3004"/>
      <c r="D10" s="446">
        <v>4</v>
      </c>
      <c r="E10" s="76"/>
      <c r="F10" s="71"/>
    </row>
    <row r="11" spans="1:11" ht="16.5" customHeight="1" x14ac:dyDescent="0.2">
      <c r="A11" s="71"/>
      <c r="B11" s="3056" t="s">
        <v>188</v>
      </c>
      <c r="C11" s="3057"/>
      <c r="D11" s="446">
        <v>5</v>
      </c>
      <c r="E11" s="76"/>
      <c r="F11" s="71"/>
      <c r="K11" s="480"/>
    </row>
    <row r="12" spans="1:11" ht="16.5" customHeight="1" x14ac:dyDescent="0.2">
      <c r="A12" s="71"/>
      <c r="B12" s="808" t="s">
        <v>647</v>
      </c>
      <c r="C12" s="481"/>
      <c r="D12" s="446">
        <v>6</v>
      </c>
      <c r="E12" s="76"/>
      <c r="F12" s="71"/>
    </row>
    <row r="13" spans="1:11" s="480" customFormat="1" ht="16.5" customHeight="1" x14ac:dyDescent="0.2">
      <c r="A13" s="71"/>
      <c r="B13" s="808" t="s">
        <v>648</v>
      </c>
      <c r="C13" s="481"/>
      <c r="D13" s="446">
        <v>7</v>
      </c>
      <c r="E13" s="76"/>
      <c r="F13" s="71"/>
      <c r="G13"/>
      <c r="H13"/>
      <c r="I13"/>
    </row>
    <row r="14" spans="1:11" ht="16.5" customHeight="1" x14ac:dyDescent="0.2">
      <c r="A14" s="71"/>
      <c r="B14" s="2234" t="s">
        <v>649</v>
      </c>
      <c r="C14" s="2"/>
      <c r="D14" s="446">
        <v>8</v>
      </c>
      <c r="E14" s="76"/>
      <c r="F14" s="71"/>
      <c r="G14" s="480"/>
      <c r="H14" s="480"/>
      <c r="I14" s="480"/>
      <c r="J14" s="2209"/>
    </row>
    <row r="15" spans="1:11" s="480" customFormat="1" ht="16.5" customHeight="1" x14ac:dyDescent="0.2">
      <c r="A15" s="71"/>
      <c r="B15" s="2198" t="s">
        <v>650</v>
      </c>
      <c r="C15" s="481"/>
      <c r="D15" s="446">
        <v>9</v>
      </c>
      <c r="E15" s="76"/>
      <c r="F15" s="71"/>
      <c r="J15" s="2209"/>
    </row>
    <row r="16" spans="1:11" s="480" customFormat="1" ht="16.5" customHeight="1" x14ac:dyDescent="0.2">
      <c r="A16" s="71"/>
      <c r="B16" s="3056" t="s">
        <v>531</v>
      </c>
      <c r="C16" s="3057"/>
      <c r="D16" s="446">
        <v>10</v>
      </c>
      <c r="E16" s="76"/>
      <c r="F16" s="71"/>
      <c r="J16" s="2209"/>
    </row>
    <row r="17" spans="1:50" ht="16.5" customHeight="1" x14ac:dyDescent="0.2">
      <c r="A17" s="71"/>
      <c r="B17" s="3056" t="s">
        <v>500</v>
      </c>
      <c r="C17" s="3057"/>
      <c r="D17" s="446">
        <v>11</v>
      </c>
      <c r="E17" s="76"/>
      <c r="F17" s="71"/>
    </row>
    <row r="18" spans="1:50" s="407" customFormat="1" ht="16.5" customHeight="1" x14ac:dyDescent="0.2">
      <c r="A18" s="71"/>
      <c r="B18" s="808" t="s">
        <v>359</v>
      </c>
      <c r="C18" s="807"/>
      <c r="D18" s="446">
        <v>12</v>
      </c>
      <c r="E18" s="76"/>
      <c r="F18" s="71"/>
      <c r="G18"/>
      <c r="H18"/>
      <c r="I18"/>
    </row>
    <row r="19" spans="1:50" ht="16.5" customHeight="1" x14ac:dyDescent="0.2">
      <c r="A19" s="71"/>
      <c r="B19" s="567" t="s">
        <v>52</v>
      </c>
      <c r="C19" s="807"/>
      <c r="D19" s="446">
        <v>13</v>
      </c>
      <c r="E19" s="76"/>
      <c r="F19" s="71"/>
      <c r="G19" s="407"/>
      <c r="H19" s="407"/>
      <c r="I19" s="407"/>
    </row>
    <row r="20" spans="1:50" ht="16.5" customHeight="1" x14ac:dyDescent="0.2">
      <c r="A20" s="71"/>
      <c r="B20" s="3056" t="s">
        <v>288</v>
      </c>
      <c r="C20" s="3057"/>
      <c r="D20" s="446">
        <v>14</v>
      </c>
      <c r="E20" s="76"/>
      <c r="F20" s="71"/>
    </row>
    <row r="21" spans="1:50" ht="16.5" customHeight="1" x14ac:dyDescent="0.2">
      <c r="A21" s="71"/>
      <c r="B21" s="3068" t="s">
        <v>53</v>
      </c>
      <c r="C21" s="3057"/>
      <c r="D21" s="446">
        <v>15</v>
      </c>
      <c r="E21" s="76"/>
      <c r="F21" s="71"/>
    </row>
    <row r="22" spans="1:50" ht="15" customHeight="1" x14ac:dyDescent="0.2">
      <c r="A22" s="71"/>
      <c r="B22" s="3069" t="s">
        <v>54</v>
      </c>
      <c r="C22" s="3070"/>
      <c r="D22" s="447">
        <v>16</v>
      </c>
      <c r="E22" s="77"/>
      <c r="F22" s="71"/>
    </row>
    <row r="23" spans="1:50" x14ac:dyDescent="0.2">
      <c r="A23" s="71"/>
      <c r="B23" s="71"/>
      <c r="C23" s="71"/>
      <c r="D23" s="71"/>
      <c r="E23" s="71"/>
      <c r="F23" s="71"/>
    </row>
    <row r="24" spans="1:50" x14ac:dyDescent="0.2">
      <c r="A24" s="71"/>
      <c r="B24" s="71"/>
      <c r="C24" s="71"/>
      <c r="D24" s="71"/>
      <c r="E24" s="71"/>
      <c r="F24" s="71"/>
    </row>
    <row r="25" spans="1:50" ht="15.75" customHeight="1" x14ac:dyDescent="0.2">
      <c r="A25" s="406" t="s">
        <v>55</v>
      </c>
      <c r="B25" s="406"/>
      <c r="C25" s="406"/>
      <c r="D25" s="405"/>
      <c r="E25" s="405"/>
      <c r="F25" s="405"/>
    </row>
    <row r="26" spans="1:50" ht="26.25" customHeight="1" x14ac:dyDescent="0.2">
      <c r="A26" s="3061" t="s">
        <v>679</v>
      </c>
      <c r="B26" s="3061"/>
      <c r="C26" s="3061"/>
      <c r="D26" s="3061"/>
      <c r="E26" s="3061"/>
      <c r="F26" s="3061"/>
    </row>
    <row r="27" spans="1:50" s="480" customFormat="1" ht="12.75" customHeight="1" x14ac:dyDescent="0.2">
      <c r="A27" s="3001"/>
      <c r="B27" s="3001"/>
      <c r="C27" s="3001"/>
      <c r="D27" s="3001"/>
      <c r="E27" s="3001"/>
      <c r="F27" s="3001"/>
    </row>
    <row r="28" spans="1:50" s="480" customFormat="1" ht="43.5" customHeight="1" x14ac:dyDescent="0.2">
      <c r="A28" s="3061" t="s">
        <v>739</v>
      </c>
      <c r="B28" s="3061"/>
      <c r="C28" s="3061"/>
      <c r="D28" s="3061"/>
      <c r="E28" s="3061"/>
      <c r="F28" s="3061"/>
    </row>
    <row r="29" spans="1:50" ht="12.75" customHeight="1" x14ac:dyDescent="0.2">
      <c r="A29" s="2571"/>
      <c r="B29" s="403"/>
      <c r="C29" s="404"/>
      <c r="D29" s="404"/>
      <c r="E29" s="404"/>
      <c r="F29" s="404"/>
    </row>
    <row r="30" spans="1:50" s="61" customFormat="1" ht="15" customHeight="1" x14ac:dyDescent="0.2">
      <c r="A30" s="2572" t="s">
        <v>361</v>
      </c>
      <c r="B30" s="2572"/>
      <c r="C30" s="2572"/>
      <c r="D30" s="514"/>
      <c r="E30" s="514"/>
      <c r="F30" s="514"/>
      <c r="G30"/>
      <c r="AX30" s="61">
        <v>0</v>
      </c>
    </row>
    <row r="31" spans="1:50" ht="130.5" customHeight="1" x14ac:dyDescent="0.2">
      <c r="A31" s="3062" t="s">
        <v>740</v>
      </c>
      <c r="B31" s="3063"/>
      <c r="C31" s="3064"/>
      <c r="D31" s="3064"/>
      <c r="E31" s="3064"/>
      <c r="F31" s="3064"/>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row>
    <row r="32" spans="1:50" x14ac:dyDescent="0.2">
      <c r="A32" s="80"/>
      <c r="B32" s="80"/>
      <c r="C32" s="50"/>
      <c r="D32" s="64"/>
      <c r="E32" s="50"/>
      <c r="F32" s="50"/>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row>
    <row r="33" spans="1:50" ht="14.25" x14ac:dyDescent="0.2">
      <c r="A33" s="78" t="s">
        <v>56</v>
      </c>
      <c r="B33" s="78"/>
      <c r="C33" s="78"/>
      <c r="D33" s="79"/>
      <c r="E33" s="79"/>
      <c r="F33" s="79"/>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row>
    <row r="34" spans="1:50" x14ac:dyDescent="0.2">
      <c r="A34" s="3065" t="s">
        <v>245</v>
      </c>
      <c r="B34" s="3066"/>
      <c r="C34" s="3067"/>
      <c r="D34" s="3067"/>
      <c r="E34" s="3067"/>
      <c r="F34" s="3067"/>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row>
    <row r="35" spans="1:50" x14ac:dyDescent="0.2">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50" x14ac:dyDescent="0.2">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row>
    <row r="37" spans="1:50" x14ac:dyDescent="0.2">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X37" t="s">
        <v>41</v>
      </c>
    </row>
    <row r="38" spans="1:50" x14ac:dyDescent="0.2">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X38" s="480"/>
    </row>
    <row r="39" spans="1:50" x14ac:dyDescent="0.2">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row>
    <row r="40" spans="1:50" x14ac:dyDescent="0.2">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row>
    <row r="41" spans="1:50" x14ac:dyDescent="0.2">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row>
    <row r="42" spans="1:50" x14ac:dyDescent="0.2">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row>
    <row r="43" spans="1:50" x14ac:dyDescent="0.2">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row>
    <row r="44" spans="1:50" x14ac:dyDescent="0.2">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50" x14ac:dyDescent="0.2">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row>
    <row r="46" spans="1:50" x14ac:dyDescent="0.2">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row>
    <row r="47" spans="1:50" ht="14.25" x14ac:dyDescent="0.2">
      <c r="B47" s="79"/>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row>
    <row r="48" spans="1:50" x14ac:dyDescent="0.2">
      <c r="B48" s="407"/>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row>
    <row r="49" spans="2:47" x14ac:dyDescent="0.2">
      <c r="B49" s="407"/>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2:47" x14ac:dyDescent="0.2">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row>
    <row r="51" spans="2:47" x14ac:dyDescent="0.2">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row>
    <row r="75" spans="49:49" x14ac:dyDescent="0.2">
      <c r="AW75" s="347"/>
    </row>
    <row r="76" spans="49:49" x14ac:dyDescent="0.2">
      <c r="AW76" s="347"/>
    </row>
    <row r="84" spans="8:8" x14ac:dyDescent="0.2">
      <c r="H84" s="61"/>
    </row>
    <row r="85" spans="8:8" x14ac:dyDescent="0.2">
      <c r="H85" s="61"/>
    </row>
    <row r="86" spans="8:8" x14ac:dyDescent="0.2">
      <c r="H86" s="61"/>
    </row>
    <row r="87" spans="8:8" x14ac:dyDescent="0.2">
      <c r="H87" s="61"/>
    </row>
    <row r="88" spans="8:8" x14ac:dyDescent="0.2">
      <c r="H88" s="61"/>
    </row>
    <row r="89" spans="8:8" x14ac:dyDescent="0.2">
      <c r="H89" s="61"/>
    </row>
    <row r="90" spans="8:8" x14ac:dyDescent="0.2">
      <c r="H90" s="61"/>
    </row>
    <row r="91" spans="8:8" x14ac:dyDescent="0.2">
      <c r="H91" s="61"/>
    </row>
  </sheetData>
  <mergeCells count="13">
    <mergeCell ref="A31:F31"/>
    <mergeCell ref="A34:F34"/>
    <mergeCell ref="B20:C20"/>
    <mergeCell ref="B21:C21"/>
    <mergeCell ref="B22:C22"/>
    <mergeCell ref="A28:F28"/>
    <mergeCell ref="B17:C17"/>
    <mergeCell ref="B7:C7"/>
    <mergeCell ref="B8:C8"/>
    <mergeCell ref="B11:C11"/>
    <mergeCell ref="A26:F26"/>
    <mergeCell ref="B16:C16"/>
    <mergeCell ref="B9:C9"/>
  </mergeCells>
  <phoneticPr fontId="14" type="noConversion"/>
  <printOptions horizontalCentered="1" verticalCentered="1"/>
  <pageMargins left="0" right="0" top="0" bottom="0" header="0" footer="0"/>
  <pageSetup scale="83" orientation="landscape" r:id="rId1"/>
  <headerFooter alignWithMargins="0">
    <oddFooter>&amp;L&amp;F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CF98"/>
  <sheetViews>
    <sheetView topLeftCell="A10" zoomScale="90" zoomScaleNormal="90" workbookViewId="0">
      <selection activeCell="D52" sqref="D52"/>
    </sheetView>
  </sheetViews>
  <sheetFormatPr defaultColWidth="9.140625" defaultRowHeight="12.75" x14ac:dyDescent="0.2"/>
  <cols>
    <col min="1" max="1" width="3.28515625" style="1183" customWidth="1"/>
    <col min="2" max="2" width="42.28515625" style="1183" customWidth="1"/>
    <col min="3" max="3" width="12.85546875" style="1183" bestFit="1" customWidth="1"/>
    <col min="4" max="4" width="9.7109375" style="1183" bestFit="1" customWidth="1"/>
    <col min="5" max="5" width="1.5703125" style="1145" customWidth="1"/>
    <col min="6" max="7" width="11.140625" style="1145" customWidth="1"/>
    <col min="8" max="8" width="11.140625" style="1184" customWidth="1"/>
    <col min="9" max="14" width="11.140625" style="1357" customWidth="1"/>
    <col min="15" max="18" width="11.140625" style="1357" hidden="1" customWidth="1"/>
    <col min="19" max="20" width="12.5703125" style="1357" hidden="1" customWidth="1"/>
    <col min="21" max="21" width="12.140625" style="1357" hidden="1" customWidth="1"/>
    <col min="22" max="22" width="12.42578125" style="1357" hidden="1" customWidth="1"/>
    <col min="23" max="30" width="11" style="1357" hidden="1" customWidth="1"/>
    <col min="31" max="31" width="12.28515625" style="1357" hidden="1" customWidth="1"/>
    <col min="32" max="32" width="11.5703125" style="1357" hidden="1" customWidth="1"/>
    <col min="33" max="33" width="11.42578125" style="1357" hidden="1" customWidth="1"/>
    <col min="34" max="34" width="11.5703125" style="1357" hidden="1" customWidth="1"/>
    <col min="35" max="35" width="11.85546875" style="1357" hidden="1" customWidth="1"/>
    <col min="36" max="36" width="12" style="1357" hidden="1" customWidth="1"/>
    <col min="37" max="37" width="11.5703125" style="1357" hidden="1" customWidth="1"/>
    <col min="38" max="40" width="11.85546875" style="1357" hidden="1" customWidth="1"/>
    <col min="41" max="41" width="11.42578125" style="1357" hidden="1" customWidth="1"/>
    <col min="42" max="43" width="12" style="1357" hidden="1" customWidth="1"/>
    <col min="44" max="44" width="11.85546875" style="1357" hidden="1" customWidth="1"/>
    <col min="45" max="45" width="12" style="1357" hidden="1" customWidth="1"/>
    <col min="46" max="46" width="11.85546875" style="1357" hidden="1" customWidth="1"/>
    <col min="47" max="47" width="12.42578125" style="1357" hidden="1" customWidth="1"/>
    <col min="48" max="48" width="11.5703125" style="1357" hidden="1" customWidth="1"/>
    <col min="49" max="49" width="11.85546875" style="1357" hidden="1" customWidth="1"/>
    <col min="50" max="50" width="12.42578125" style="1920" hidden="1" customWidth="1"/>
    <col min="51" max="51" width="11.85546875" style="1920" hidden="1" customWidth="1"/>
    <col min="52" max="52" width="11.140625" style="1920" hidden="1" customWidth="1"/>
    <col min="53" max="53" width="11.5703125" style="1920" hidden="1" customWidth="1"/>
    <col min="54" max="54" width="12.28515625" style="1920" hidden="1" customWidth="1"/>
    <col min="55" max="55" width="12.42578125" style="1920" hidden="1" customWidth="1"/>
    <col min="56" max="57" width="11.42578125" style="1920" hidden="1" customWidth="1"/>
    <col min="58" max="58" width="11.5703125" style="1920" hidden="1" customWidth="1"/>
    <col min="59" max="59" width="1.5703125" style="1920" customWidth="1"/>
    <col min="60" max="62" width="10.7109375" style="1920" customWidth="1"/>
    <col min="63" max="64" width="11.28515625" style="1920" customWidth="1"/>
    <col min="65" max="67" width="11.28515625" style="1920" hidden="1" customWidth="1"/>
    <col min="68" max="68" width="11.28515625" style="1180" hidden="1" customWidth="1"/>
    <col min="69" max="69" width="11.85546875" style="1180" hidden="1" customWidth="1"/>
    <col min="70" max="70" width="12.28515625" style="1180" hidden="1" customWidth="1"/>
    <col min="71" max="72" width="9.28515625" style="1180" hidden="1" customWidth="1"/>
    <col min="73" max="73" width="11.85546875" style="1180" hidden="1" customWidth="1"/>
    <col min="74" max="74" width="12.42578125" style="1180" hidden="1" customWidth="1"/>
    <col min="75" max="76" width="11.140625" style="1180" hidden="1" customWidth="1"/>
    <col min="77" max="77" width="11.5703125" style="1180" hidden="1" customWidth="1"/>
    <col min="78" max="78" width="1.5703125" style="1180" customWidth="1"/>
    <col min="79" max="16384" width="9.140625" style="1180"/>
  </cols>
  <sheetData>
    <row r="1" spans="1:84" x14ac:dyDescent="0.2">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84"/>
      <c r="AW1" s="1184"/>
      <c r="AX1" s="1183"/>
      <c r="AY1" s="1183"/>
      <c r="AZ1" s="1183"/>
      <c r="BA1" s="1183"/>
      <c r="BB1" s="1183"/>
      <c r="BC1" s="1183"/>
      <c r="BD1" s="1183"/>
      <c r="BE1" s="1183"/>
      <c r="BF1" s="1183"/>
      <c r="BG1" s="1183"/>
      <c r="BH1" s="1183"/>
      <c r="BI1" s="1183"/>
      <c r="BJ1" s="1183"/>
      <c r="BK1" s="1183"/>
      <c r="BL1" s="1183"/>
      <c r="BM1" s="1183"/>
      <c r="BN1" s="1183"/>
      <c r="BO1" s="1183"/>
      <c r="BP1" s="1144"/>
      <c r="BQ1" s="1144"/>
      <c r="BR1" s="1144"/>
      <c r="BS1" s="1144"/>
      <c r="BT1" s="1144"/>
      <c r="BU1" s="1144"/>
      <c r="BV1" s="1144"/>
      <c r="BW1" s="1144"/>
      <c r="BX1" s="1144"/>
      <c r="BY1" s="1144"/>
      <c r="BZ1" s="1144"/>
    </row>
    <row r="2" spans="1:84" x14ac:dyDescent="0.2">
      <c r="H2" s="941"/>
      <c r="I2" s="941"/>
      <c r="J2" s="941"/>
      <c r="K2" s="1184"/>
      <c r="L2" s="941"/>
      <c r="M2" s="941"/>
      <c r="N2" s="941"/>
      <c r="O2" s="1184"/>
      <c r="P2" s="941"/>
      <c r="Q2" s="941"/>
      <c r="R2" s="941"/>
      <c r="S2" s="941"/>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3"/>
      <c r="AY2" s="1183"/>
      <c r="AZ2" s="1183"/>
      <c r="BA2" s="1183"/>
      <c r="BB2" s="1183"/>
      <c r="BC2" s="1183"/>
      <c r="BD2" s="1183"/>
      <c r="BE2" s="1183"/>
      <c r="BF2" s="1183"/>
      <c r="BG2" s="1183"/>
      <c r="BH2" s="1183"/>
      <c r="BI2" s="1183"/>
      <c r="BJ2" s="1183"/>
      <c r="BK2" s="1183"/>
      <c r="BL2" s="1183"/>
      <c r="BM2" s="1183"/>
      <c r="BN2" s="1183"/>
      <c r="BO2" s="1183"/>
      <c r="BP2" s="1144"/>
      <c r="BQ2" s="1144"/>
      <c r="BR2" s="1144"/>
      <c r="BS2" s="1144"/>
      <c r="BT2" s="1144"/>
      <c r="BU2" s="1144"/>
      <c r="BV2" s="1144"/>
      <c r="BW2" s="1144"/>
      <c r="BX2" s="1144"/>
      <c r="BY2" s="1144"/>
      <c r="BZ2" s="1144"/>
    </row>
    <row r="3" spans="1:84" ht="9.75" customHeight="1" x14ac:dyDescent="0.2">
      <c r="H3" s="941"/>
      <c r="I3" s="941"/>
      <c r="J3" s="941"/>
      <c r="K3" s="1184"/>
      <c r="L3" s="941"/>
      <c r="M3" s="941"/>
      <c r="N3" s="941"/>
      <c r="O3" s="1184"/>
      <c r="P3" s="941"/>
      <c r="Q3" s="941"/>
      <c r="R3" s="941"/>
      <c r="S3" s="941"/>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3"/>
      <c r="AY3" s="1183"/>
      <c r="AZ3" s="1183"/>
      <c r="BA3" s="1183"/>
      <c r="BB3" s="1183"/>
      <c r="BC3" s="1183"/>
      <c r="BD3" s="1183"/>
      <c r="BE3" s="1183"/>
      <c r="BF3" s="1183"/>
      <c r="BG3" s="1183"/>
      <c r="BH3" s="1183"/>
      <c r="BI3" s="1183"/>
      <c r="BJ3" s="1183"/>
      <c r="BK3" s="1183"/>
      <c r="BL3" s="1183"/>
      <c r="BM3" s="1183"/>
      <c r="BN3" s="1183"/>
      <c r="BO3" s="1183"/>
      <c r="BP3" s="1144"/>
      <c r="BQ3" s="1144"/>
      <c r="BR3" s="1144"/>
      <c r="BS3" s="1144"/>
      <c r="BT3" s="1144"/>
      <c r="BU3" s="1144"/>
      <c r="BV3" s="1144"/>
      <c r="BW3" s="1144"/>
      <c r="BX3" s="1144"/>
      <c r="BY3" s="1144"/>
      <c r="BZ3" s="1144"/>
    </row>
    <row r="4" spans="1:84" x14ac:dyDescent="0.2">
      <c r="H4" s="941"/>
      <c r="I4" s="2393"/>
      <c r="J4" s="941"/>
      <c r="K4" s="1184"/>
      <c r="L4" s="941"/>
      <c r="M4" s="2393"/>
      <c r="N4" s="941"/>
      <c r="O4" s="1184"/>
      <c r="P4" s="941"/>
      <c r="Q4" s="2393"/>
      <c r="R4" s="941"/>
      <c r="S4" s="941"/>
      <c r="T4" s="1184"/>
      <c r="U4" s="1184"/>
      <c r="V4" s="1215"/>
      <c r="W4" s="1184"/>
      <c r="X4" s="1184"/>
      <c r="Y4" s="1184"/>
      <c r="Z4" s="1215"/>
      <c r="AA4" s="1184"/>
      <c r="AB4" s="1184"/>
      <c r="AC4" s="1184"/>
      <c r="AD4" s="1215"/>
      <c r="AE4" s="1184"/>
      <c r="AF4" s="1184"/>
      <c r="AG4" s="1184"/>
      <c r="AH4" s="1215"/>
      <c r="AI4" s="1184"/>
      <c r="AJ4" s="1184"/>
      <c r="AK4" s="1184"/>
      <c r="AL4" s="1215"/>
      <c r="AM4" s="1184"/>
      <c r="AN4" s="1184"/>
      <c r="AO4" s="1184"/>
      <c r="AP4" s="1184"/>
      <c r="AQ4" s="1184"/>
      <c r="AR4" s="1184"/>
      <c r="AS4" s="1184"/>
      <c r="AT4" s="1184"/>
      <c r="AU4" s="1184"/>
      <c r="AV4" s="1184"/>
      <c r="AW4" s="1184"/>
      <c r="AX4" s="1183"/>
      <c r="AY4" s="1183"/>
      <c r="AZ4" s="1183"/>
      <c r="BA4" s="1183"/>
      <c r="BB4" s="1183"/>
      <c r="BC4" s="1183"/>
      <c r="BD4" s="1183"/>
      <c r="BE4" s="1183"/>
      <c r="BF4" s="1183"/>
      <c r="BG4" s="1183"/>
      <c r="BH4" s="1183"/>
      <c r="BI4" s="1183"/>
      <c r="BJ4" s="1183"/>
      <c r="BK4" s="1183"/>
      <c r="BL4" s="1183"/>
      <c r="BM4" s="1183"/>
      <c r="BN4" s="1183"/>
      <c r="BO4" s="1183"/>
      <c r="BP4" s="1144"/>
      <c r="BQ4" s="1144"/>
      <c r="BR4" s="1144"/>
      <c r="BS4" s="1144"/>
      <c r="BT4" s="1144"/>
      <c r="BU4" s="1144"/>
      <c r="BV4" s="1144"/>
      <c r="BW4" s="1144"/>
      <c r="BX4" s="1144"/>
      <c r="BY4" s="1144"/>
      <c r="BZ4" s="1144"/>
    </row>
    <row r="5" spans="1:84" x14ac:dyDescent="0.2">
      <c r="A5" s="1184"/>
      <c r="B5" s="1184"/>
      <c r="C5" s="1184"/>
      <c r="D5" s="1184"/>
      <c r="H5" s="941"/>
      <c r="I5" s="941"/>
      <c r="J5" s="941"/>
      <c r="K5" s="1184"/>
      <c r="L5" s="941"/>
      <c r="M5" s="941"/>
      <c r="N5" s="941"/>
      <c r="O5" s="1184"/>
      <c r="P5" s="941"/>
      <c r="Q5" s="941"/>
      <c r="R5" s="941"/>
      <c r="S5" s="941"/>
      <c r="T5" s="1184"/>
      <c r="U5" s="1184"/>
      <c r="V5" s="1184"/>
      <c r="W5" s="1184"/>
      <c r="X5" s="1184"/>
      <c r="Y5" s="1184"/>
      <c r="Z5" s="1184"/>
      <c r="AA5" s="1184"/>
      <c r="AB5" s="1184"/>
      <c r="AC5" s="1184"/>
      <c r="AD5" s="1184"/>
      <c r="AE5" s="1184"/>
      <c r="AF5" s="1184"/>
      <c r="AG5" s="1184"/>
      <c r="AH5" s="1184"/>
      <c r="AI5" s="1184"/>
      <c r="AJ5" s="1184"/>
      <c r="AK5" s="1184"/>
      <c r="AL5" s="1184"/>
      <c r="AM5" s="1184"/>
      <c r="AN5" s="1184"/>
      <c r="AO5" s="1184"/>
      <c r="AP5" s="1184"/>
      <c r="AQ5" s="1184"/>
      <c r="AR5" s="1184"/>
      <c r="AS5" s="1184"/>
      <c r="AT5" s="1184"/>
      <c r="AU5" s="1184"/>
      <c r="AV5" s="1184"/>
      <c r="AW5" s="1184"/>
      <c r="AX5" s="1184"/>
      <c r="AY5" s="1184"/>
      <c r="AZ5" s="1184"/>
      <c r="BA5" s="1183"/>
      <c r="BB5" s="1183"/>
      <c r="BC5" s="1183"/>
      <c r="BD5" s="1183"/>
      <c r="BE5" s="1183"/>
      <c r="BF5" s="1183"/>
      <c r="BG5" s="1183"/>
      <c r="BH5" s="1183"/>
      <c r="BI5" s="1183"/>
      <c r="BJ5" s="1183"/>
      <c r="BK5" s="1183"/>
      <c r="BL5" s="1183"/>
      <c r="BM5" s="1183"/>
      <c r="BN5" s="1183"/>
      <c r="BO5" s="1183"/>
      <c r="BP5" s="1144"/>
      <c r="BQ5" s="1144"/>
      <c r="BR5" s="1144"/>
      <c r="BS5" s="1145"/>
      <c r="BT5" s="1145"/>
      <c r="BU5" s="1144"/>
      <c r="BV5" s="1144"/>
      <c r="BW5" s="1144"/>
      <c r="BX5" s="1144"/>
      <c r="BY5" s="1144"/>
      <c r="BZ5" s="1144"/>
    </row>
    <row r="6" spans="1:84" ht="18" customHeight="1" x14ac:dyDescent="0.2">
      <c r="A6" s="1185" t="s">
        <v>362</v>
      </c>
      <c r="B6" s="1184"/>
      <c r="C6" s="1184"/>
      <c r="D6" s="1184"/>
      <c r="H6" s="941"/>
      <c r="I6" s="941"/>
      <c r="J6" s="941"/>
      <c r="K6" s="1184"/>
      <c r="L6" s="941"/>
      <c r="M6" s="941"/>
      <c r="N6" s="941"/>
      <c r="O6" s="1184"/>
      <c r="P6" s="941"/>
      <c r="Q6" s="941"/>
      <c r="R6" s="941"/>
      <c r="S6" s="941"/>
      <c r="T6" s="1184"/>
      <c r="U6" s="1184"/>
      <c r="V6" s="1184"/>
      <c r="W6" s="1184"/>
      <c r="X6" s="1184"/>
      <c r="Y6" s="1184"/>
      <c r="Z6" s="1184"/>
      <c r="AA6" s="1184"/>
      <c r="AB6" s="1184"/>
      <c r="AC6" s="1184"/>
      <c r="AD6" s="1184"/>
      <c r="AE6" s="1184"/>
      <c r="AF6" s="1184"/>
      <c r="AG6" s="1184"/>
      <c r="AH6" s="1184"/>
      <c r="AI6" s="1184"/>
      <c r="AJ6" s="1184"/>
      <c r="AK6" s="1184"/>
      <c r="AL6" s="1184"/>
      <c r="AM6" s="1184"/>
      <c r="AN6" s="1184"/>
      <c r="AO6" s="1184"/>
      <c r="AP6" s="1184"/>
      <c r="AQ6" s="1184"/>
      <c r="AR6" s="1184"/>
      <c r="AS6" s="1184"/>
      <c r="AT6" s="1184"/>
      <c r="AU6" s="1184"/>
      <c r="AV6" s="1184"/>
      <c r="AW6" s="1184"/>
      <c r="AX6" s="1184"/>
      <c r="AY6" s="1184"/>
      <c r="AZ6" s="1184"/>
      <c r="BA6" s="1183"/>
      <c r="BB6" s="1183"/>
      <c r="BC6" s="1183"/>
      <c r="BD6" s="1183"/>
      <c r="BE6" s="1183"/>
      <c r="BF6" s="1183"/>
      <c r="BG6" s="1183"/>
      <c r="BH6" s="1183"/>
      <c r="BI6" s="1183"/>
      <c r="BJ6" s="1183"/>
      <c r="BK6" s="1183"/>
      <c r="BL6" s="1183"/>
      <c r="BM6" s="1183"/>
      <c r="BN6" s="1183"/>
      <c r="BO6" s="1183"/>
      <c r="BP6" s="1144"/>
      <c r="BQ6" s="1144"/>
      <c r="BR6" s="1144"/>
      <c r="BS6" s="1145"/>
      <c r="BT6" s="1145"/>
      <c r="BU6" s="1144"/>
      <c r="BV6" s="1144"/>
      <c r="BW6" s="1144"/>
      <c r="BX6" s="1144"/>
      <c r="BY6" s="1144"/>
      <c r="BZ6" s="1144"/>
    </row>
    <row r="7" spans="1:84" ht="18" customHeight="1" x14ac:dyDescent="0.2">
      <c r="A7" s="1185" t="s">
        <v>642</v>
      </c>
      <c r="B7" s="1184"/>
      <c r="C7" s="1184"/>
      <c r="D7" s="1184"/>
      <c r="I7" s="1184"/>
      <c r="J7" s="1184"/>
      <c r="K7" s="1184"/>
      <c r="L7" s="1184"/>
      <c r="M7" s="1184"/>
      <c r="N7" s="1184"/>
      <c r="O7" s="1184"/>
      <c r="P7" s="1184"/>
      <c r="Q7" s="1184"/>
      <c r="R7" s="1184"/>
      <c r="S7" s="1184"/>
      <c r="T7" s="1184"/>
      <c r="U7" s="1184"/>
      <c r="V7" s="1184"/>
      <c r="W7" s="1184"/>
      <c r="X7" s="1184"/>
      <c r="Y7" s="1184"/>
      <c r="Z7" s="1184"/>
      <c r="AA7" s="1184"/>
      <c r="AB7" s="1184"/>
      <c r="AC7" s="1184"/>
      <c r="AD7" s="1184"/>
      <c r="AE7" s="1184"/>
      <c r="AF7" s="1184"/>
      <c r="AG7" s="1184"/>
      <c r="AH7" s="1184"/>
      <c r="AI7" s="1184"/>
      <c r="AJ7" s="1184"/>
      <c r="AK7" s="1184"/>
      <c r="AL7" s="1184"/>
      <c r="AM7" s="1184"/>
      <c r="AN7" s="1184"/>
      <c r="AO7" s="1184"/>
      <c r="AP7" s="1184"/>
      <c r="AQ7" s="1184"/>
      <c r="AR7" s="1184"/>
      <c r="AS7" s="1184"/>
      <c r="AT7" s="1184"/>
      <c r="AU7" s="1184"/>
      <c r="AV7" s="1184"/>
      <c r="AW7" s="1184"/>
      <c r="AX7" s="1184"/>
      <c r="AY7" s="1184"/>
      <c r="AZ7" s="1184"/>
      <c r="BA7" s="1183"/>
      <c r="BB7" s="1183"/>
      <c r="BC7" s="1183"/>
      <c r="BD7" s="1183"/>
      <c r="BE7" s="1183"/>
      <c r="BF7" s="1183"/>
      <c r="BG7" s="1183"/>
      <c r="BH7" s="1183"/>
      <c r="BI7" s="1183"/>
      <c r="BJ7" s="1183"/>
      <c r="BK7" s="1183"/>
      <c r="BL7" s="1183"/>
      <c r="BM7" s="1183"/>
      <c r="BN7" s="1183"/>
      <c r="BO7" s="1183"/>
      <c r="BP7" s="1144"/>
      <c r="BQ7" s="1144"/>
      <c r="BR7" s="1144"/>
      <c r="BS7" s="1145"/>
      <c r="BT7" s="1145"/>
      <c r="BU7" s="1144"/>
      <c r="BV7" s="1144"/>
      <c r="BW7" s="1144"/>
      <c r="BX7" s="1144"/>
      <c r="BY7" s="1144"/>
      <c r="BZ7" s="1144"/>
    </row>
    <row r="8" spans="1:84" x14ac:dyDescent="0.2">
      <c r="A8" s="944"/>
      <c r="B8" s="1184"/>
      <c r="C8" s="1184"/>
      <c r="D8" s="1184"/>
      <c r="F8" s="2998"/>
      <c r="G8" s="2998"/>
      <c r="I8" s="1184"/>
      <c r="J8" s="1184"/>
      <c r="K8" s="1184"/>
      <c r="L8" s="1184"/>
      <c r="M8" s="1184"/>
      <c r="N8" s="1184"/>
      <c r="O8" s="1184"/>
      <c r="P8" s="1184"/>
      <c r="Q8" s="1184"/>
      <c r="R8" s="1184"/>
      <c r="S8" s="1184"/>
      <c r="T8" s="1184"/>
      <c r="U8" s="1184"/>
      <c r="V8" s="1215"/>
      <c r="W8" s="1184"/>
      <c r="X8" s="1184"/>
      <c r="Y8" s="1184"/>
      <c r="Z8" s="1215"/>
      <c r="AA8" s="1184"/>
      <c r="AB8" s="1184"/>
      <c r="AC8" s="1184"/>
      <c r="AD8" s="1215"/>
      <c r="AE8" s="1184"/>
      <c r="AF8" s="1184"/>
      <c r="AG8" s="1184"/>
      <c r="AH8" s="1184"/>
      <c r="AI8" s="1184"/>
      <c r="AJ8" s="1184"/>
      <c r="AK8" s="1184"/>
      <c r="AL8" s="1184"/>
      <c r="AM8" s="1184"/>
      <c r="AN8" s="1184"/>
      <c r="AO8" s="1184"/>
      <c r="AP8" s="1184"/>
      <c r="AQ8" s="1184"/>
      <c r="AR8" s="1184"/>
      <c r="AS8" s="1184"/>
      <c r="AT8" s="1184"/>
      <c r="AU8" s="1184"/>
      <c r="AV8" s="1184"/>
      <c r="AW8" s="1184"/>
      <c r="AX8" s="1184"/>
      <c r="AY8" s="1184"/>
      <c r="AZ8" s="1184"/>
      <c r="BA8" s="1183"/>
      <c r="BB8" s="1183"/>
      <c r="BC8" s="1183"/>
      <c r="BD8" s="1183"/>
      <c r="BE8" s="1183"/>
      <c r="BF8" s="1183"/>
      <c r="BG8" s="1183"/>
      <c r="BH8" s="1183"/>
      <c r="BI8" s="1183"/>
      <c r="BJ8" s="1183"/>
      <c r="BK8" s="1183"/>
      <c r="BL8" s="1183"/>
      <c r="BM8" s="1183"/>
      <c r="BN8" s="1183"/>
      <c r="BO8" s="1183"/>
      <c r="BP8" s="1144"/>
      <c r="BQ8" s="1144"/>
      <c r="BR8" s="1144"/>
      <c r="BS8" s="1145"/>
      <c r="BT8" s="1145"/>
      <c r="BU8" s="1144"/>
      <c r="BV8" s="1144"/>
      <c r="BW8" s="1144"/>
      <c r="BX8" s="1144"/>
      <c r="BY8" s="1144"/>
      <c r="BZ8" s="1144"/>
    </row>
    <row r="9" spans="1:84" ht="9.75" customHeight="1" x14ac:dyDescent="0.2">
      <c r="A9" s="941"/>
      <c r="B9" s="941"/>
      <c r="C9" s="941"/>
      <c r="D9" s="941"/>
      <c r="E9" s="897"/>
      <c r="F9" s="897"/>
      <c r="G9" s="897"/>
      <c r="H9" s="941"/>
      <c r="I9" s="941"/>
      <c r="J9" s="941"/>
      <c r="K9" s="941"/>
      <c r="L9" s="941"/>
      <c r="M9" s="941"/>
      <c r="N9" s="941"/>
      <c r="O9" s="941"/>
      <c r="P9" s="941"/>
      <c r="Q9" s="941"/>
      <c r="R9" s="941"/>
      <c r="S9" s="941"/>
      <c r="T9" s="941"/>
      <c r="U9" s="981"/>
      <c r="V9" s="941"/>
      <c r="W9" s="941"/>
      <c r="X9" s="941"/>
      <c r="Y9" s="981"/>
      <c r="Z9" s="941"/>
      <c r="AA9" s="981"/>
      <c r="AB9" s="941"/>
      <c r="AC9" s="981"/>
      <c r="AD9" s="941"/>
      <c r="AE9" s="981"/>
      <c r="AF9" s="941"/>
      <c r="AG9" s="981"/>
      <c r="AH9" s="941"/>
      <c r="AI9" s="981"/>
      <c r="AJ9" s="941"/>
      <c r="AK9" s="981"/>
      <c r="AL9" s="941"/>
      <c r="AM9" s="981"/>
      <c r="AN9" s="941"/>
      <c r="AO9" s="981"/>
      <c r="AP9" s="941"/>
      <c r="AQ9" s="981"/>
      <c r="AR9" s="941"/>
      <c r="AS9" s="981"/>
      <c r="AT9" s="941"/>
      <c r="AU9" s="981"/>
      <c r="AV9" s="941"/>
      <c r="AW9" s="941"/>
      <c r="AX9" s="1184"/>
      <c r="AY9" s="1184"/>
      <c r="AZ9" s="1184"/>
      <c r="BA9" s="1183"/>
      <c r="BB9" s="1183"/>
      <c r="BC9" s="1183"/>
      <c r="BD9" s="1183"/>
      <c r="BE9" s="1183"/>
      <c r="BF9" s="1183"/>
      <c r="BG9" s="1183"/>
      <c r="BH9" s="1183"/>
      <c r="BI9" s="1183"/>
      <c r="BJ9" s="1183"/>
      <c r="BK9" s="1183"/>
      <c r="BL9" s="1183"/>
      <c r="BM9" s="1183"/>
      <c r="BN9" s="1183"/>
      <c r="BO9" s="1183"/>
      <c r="BP9" s="1144"/>
      <c r="BQ9" s="1144"/>
      <c r="BR9" s="1144"/>
      <c r="BS9" s="897"/>
      <c r="BT9" s="897"/>
      <c r="BU9" s="1144"/>
      <c r="BV9" s="1144"/>
      <c r="BW9" s="1145"/>
      <c r="BX9" s="1145"/>
      <c r="BY9" s="1144"/>
      <c r="BZ9" s="1144"/>
    </row>
    <row r="10" spans="1:84" x14ac:dyDescent="0.2">
      <c r="A10" s="945" t="s">
        <v>1</v>
      </c>
      <c r="B10" s="946"/>
      <c r="C10" s="3073" t="s">
        <v>671</v>
      </c>
      <c r="D10" s="3074"/>
      <c r="E10" s="901"/>
      <c r="F10" s="1148"/>
      <c r="G10" s="1148"/>
      <c r="H10" s="1220"/>
      <c r="I10" s="1220"/>
      <c r="J10" s="1218"/>
      <c r="K10" s="1220"/>
      <c r="L10" s="1220"/>
      <c r="M10" s="1220"/>
      <c r="N10" s="1218"/>
      <c r="O10" s="1220"/>
      <c r="P10" s="1220"/>
      <c r="Q10" s="1220"/>
      <c r="R10" s="1218"/>
      <c r="S10" s="1220"/>
      <c r="T10" s="1220"/>
      <c r="U10" s="1184"/>
      <c r="V10" s="1218"/>
      <c r="W10" s="1220"/>
      <c r="X10" s="1220"/>
      <c r="Y10" s="1184"/>
      <c r="Z10" s="1218"/>
      <c r="AA10" s="1184"/>
      <c r="AB10" s="1220"/>
      <c r="AC10" s="1184"/>
      <c r="AD10" s="1218"/>
      <c r="AE10" s="1184"/>
      <c r="AF10" s="1220"/>
      <c r="AG10" s="1184"/>
      <c r="AH10" s="1218"/>
      <c r="AI10" s="1184"/>
      <c r="AJ10" s="1220"/>
      <c r="AK10" s="1184"/>
      <c r="AL10" s="1218"/>
      <c r="AM10" s="1184"/>
      <c r="AN10" s="1220"/>
      <c r="AO10" s="1184"/>
      <c r="AP10" s="1218"/>
      <c r="AQ10" s="1184"/>
      <c r="AR10" s="1220"/>
      <c r="AS10" s="1184"/>
      <c r="AT10" s="1218"/>
      <c r="AU10" s="1220"/>
      <c r="AV10" s="1220"/>
      <c r="AW10" s="1220"/>
      <c r="AX10" s="1218"/>
      <c r="AY10" s="1221"/>
      <c r="AZ10" s="1218"/>
      <c r="BA10" s="1218"/>
      <c r="BB10" s="1218"/>
      <c r="BC10" s="1221"/>
      <c r="BD10" s="1218"/>
      <c r="BE10" s="1218"/>
      <c r="BF10" s="1218"/>
      <c r="BG10" s="996"/>
      <c r="BH10" s="1218"/>
      <c r="BI10" s="1218"/>
      <c r="BJ10" s="1220"/>
      <c r="BK10" s="991"/>
      <c r="BL10" s="991"/>
      <c r="BM10" s="991"/>
      <c r="BN10" s="991"/>
      <c r="BO10" s="991"/>
      <c r="BP10" s="2187"/>
      <c r="BQ10" s="1992"/>
      <c r="BR10" s="1992"/>
      <c r="BS10" s="3211" t="s">
        <v>184</v>
      </c>
      <c r="BT10" s="3212"/>
      <c r="BU10" s="1990"/>
      <c r="BV10" s="1991"/>
      <c r="BW10" s="1992"/>
      <c r="BX10" s="1985"/>
      <c r="BY10" s="1985"/>
      <c r="BZ10" s="1150"/>
    </row>
    <row r="11" spans="1:84" x14ac:dyDescent="0.2">
      <c r="A11" s="945" t="s">
        <v>96</v>
      </c>
      <c r="B11" s="946"/>
      <c r="C11" s="3210" t="s">
        <v>38</v>
      </c>
      <c r="D11" s="3076"/>
      <c r="E11" s="906"/>
      <c r="F11" s="907" t="s">
        <v>670</v>
      </c>
      <c r="G11" s="907" t="s">
        <v>558</v>
      </c>
      <c r="H11" s="992" t="s">
        <v>559</v>
      </c>
      <c r="I11" s="992" t="s">
        <v>560</v>
      </c>
      <c r="J11" s="993" t="s">
        <v>561</v>
      </c>
      <c r="K11" s="992" t="s">
        <v>508</v>
      </c>
      <c r="L11" s="992" t="s">
        <v>507</v>
      </c>
      <c r="M11" s="992" t="s">
        <v>506</v>
      </c>
      <c r="N11" s="993" t="s">
        <v>505</v>
      </c>
      <c r="O11" s="992" t="s">
        <v>382</v>
      </c>
      <c r="P11" s="992" t="s">
        <v>383</v>
      </c>
      <c r="Q11" s="992" t="s">
        <v>384</v>
      </c>
      <c r="R11" s="993" t="s">
        <v>385</v>
      </c>
      <c r="S11" s="992" t="s">
        <v>368</v>
      </c>
      <c r="T11" s="992" t="s">
        <v>367</v>
      </c>
      <c r="U11" s="992" t="s">
        <v>366</v>
      </c>
      <c r="V11" s="993" t="s">
        <v>364</v>
      </c>
      <c r="W11" s="992" t="s">
        <v>348</v>
      </c>
      <c r="X11" s="992" t="s">
        <v>349</v>
      </c>
      <c r="Y11" s="992" t="s">
        <v>350</v>
      </c>
      <c r="Z11" s="993" t="s">
        <v>351</v>
      </c>
      <c r="AA11" s="994" t="s">
        <v>315</v>
      </c>
      <c r="AB11" s="992" t="s">
        <v>314</v>
      </c>
      <c r="AC11" s="992" t="s">
        <v>313</v>
      </c>
      <c r="AD11" s="993" t="s">
        <v>311</v>
      </c>
      <c r="AE11" s="994" t="s">
        <v>270</v>
      </c>
      <c r="AF11" s="992" t="s">
        <v>271</v>
      </c>
      <c r="AG11" s="992" t="s">
        <v>272</v>
      </c>
      <c r="AH11" s="993" t="s">
        <v>273</v>
      </c>
      <c r="AI11" s="992" t="s">
        <v>223</v>
      </c>
      <c r="AJ11" s="992" t="s">
        <v>224</v>
      </c>
      <c r="AK11" s="992" t="s">
        <v>225</v>
      </c>
      <c r="AL11" s="993" t="s">
        <v>222</v>
      </c>
      <c r="AM11" s="992" t="s">
        <v>189</v>
      </c>
      <c r="AN11" s="992" t="s">
        <v>190</v>
      </c>
      <c r="AO11" s="992" t="s">
        <v>191</v>
      </c>
      <c r="AP11" s="993" t="s">
        <v>192</v>
      </c>
      <c r="AQ11" s="992" t="s">
        <v>121</v>
      </c>
      <c r="AR11" s="992" t="s">
        <v>120</v>
      </c>
      <c r="AS11" s="992" t="s">
        <v>119</v>
      </c>
      <c r="AT11" s="993" t="s">
        <v>118</v>
      </c>
      <c r="AU11" s="992" t="s">
        <v>81</v>
      </c>
      <c r="AV11" s="992" t="s">
        <v>82</v>
      </c>
      <c r="AW11" s="992" t="s">
        <v>83</v>
      </c>
      <c r="AX11" s="993" t="s">
        <v>29</v>
      </c>
      <c r="AY11" s="996" t="s">
        <v>30</v>
      </c>
      <c r="AZ11" s="1227" t="s">
        <v>31</v>
      </c>
      <c r="BA11" s="1227" t="s">
        <v>32</v>
      </c>
      <c r="BB11" s="1227" t="s">
        <v>33</v>
      </c>
      <c r="BC11" s="996" t="s">
        <v>34</v>
      </c>
      <c r="BD11" s="1227" t="s">
        <v>35</v>
      </c>
      <c r="BE11" s="1227" t="s">
        <v>36</v>
      </c>
      <c r="BF11" s="1227" t="s">
        <v>37</v>
      </c>
      <c r="BG11" s="1880"/>
      <c r="BH11" s="993" t="s">
        <v>562</v>
      </c>
      <c r="BI11" s="993" t="s">
        <v>509</v>
      </c>
      <c r="BJ11" s="992" t="s">
        <v>502</v>
      </c>
      <c r="BK11" s="996" t="s">
        <v>379</v>
      </c>
      <c r="BL11" s="996" t="s">
        <v>360</v>
      </c>
      <c r="BM11" s="996" t="s">
        <v>317</v>
      </c>
      <c r="BN11" s="996" t="s">
        <v>275</v>
      </c>
      <c r="BO11" s="996" t="s">
        <v>227</v>
      </c>
      <c r="BP11" s="904" t="s">
        <v>123</v>
      </c>
      <c r="BQ11" s="2161" t="s">
        <v>122</v>
      </c>
      <c r="BR11" s="2161" t="s">
        <v>42</v>
      </c>
      <c r="BS11" s="3213" t="s">
        <v>38</v>
      </c>
      <c r="BT11" s="3214"/>
      <c r="BU11" s="2161" t="s">
        <v>39</v>
      </c>
      <c r="BV11" s="901" t="s">
        <v>40</v>
      </c>
      <c r="BW11" s="1993" t="s">
        <v>142</v>
      </c>
      <c r="BX11" s="1994" t="s">
        <v>143</v>
      </c>
      <c r="BY11" s="1994" t="s">
        <v>144</v>
      </c>
      <c r="BZ11" s="1150"/>
      <c r="CA11" s="1315"/>
      <c r="CD11" s="1315"/>
      <c r="CE11" s="1315"/>
      <c r="CF11" s="1315"/>
    </row>
    <row r="12" spans="1:84" s="1315" customFormat="1" x14ac:dyDescent="0.2">
      <c r="A12" s="945"/>
      <c r="B12" s="946"/>
      <c r="C12" s="1984"/>
      <c r="D12" s="1981"/>
      <c r="E12" s="906"/>
      <c r="F12" s="1151"/>
      <c r="G12" s="1151"/>
      <c r="H12" s="1224"/>
      <c r="I12" s="1224"/>
      <c r="J12" s="1225"/>
      <c r="K12" s="1224"/>
      <c r="L12" s="1224"/>
      <c r="M12" s="1224"/>
      <c r="N12" s="1225"/>
      <c r="O12" s="1224"/>
      <c r="P12" s="1224"/>
      <c r="Q12" s="1224"/>
      <c r="R12" s="1225"/>
      <c r="S12" s="1224"/>
      <c r="T12" s="1224"/>
      <c r="U12" s="1224"/>
      <c r="V12" s="1225"/>
      <c r="W12" s="1224"/>
      <c r="X12" s="1224"/>
      <c r="Y12" s="1224"/>
      <c r="Z12" s="1225"/>
      <c r="AA12" s="1226"/>
      <c r="AB12" s="1224"/>
      <c r="AC12" s="1224"/>
      <c r="AD12" s="1225"/>
      <c r="AE12" s="1226"/>
      <c r="AF12" s="1224"/>
      <c r="AG12" s="1224"/>
      <c r="AH12" s="1225"/>
      <c r="AI12" s="1226"/>
      <c r="AJ12" s="1224"/>
      <c r="AK12" s="1224"/>
      <c r="AL12" s="1225"/>
      <c r="AM12" s="1226"/>
      <c r="AN12" s="1224"/>
      <c r="AO12" s="1224"/>
      <c r="AP12" s="1225"/>
      <c r="AQ12" s="1226"/>
      <c r="AR12" s="1224"/>
      <c r="AS12" s="1224"/>
      <c r="AT12" s="1225"/>
      <c r="AU12" s="990"/>
      <c r="AV12" s="990"/>
      <c r="AW12" s="990"/>
      <c r="AX12" s="1227"/>
      <c r="AY12" s="996"/>
      <c r="AZ12" s="1227"/>
      <c r="BA12" s="1227"/>
      <c r="BB12" s="1227"/>
      <c r="BC12" s="996"/>
      <c r="BD12" s="1227"/>
      <c r="BE12" s="1227"/>
      <c r="BF12" s="1227"/>
      <c r="BG12" s="1880"/>
      <c r="BH12" s="1225"/>
      <c r="BI12" s="1225"/>
      <c r="BJ12" s="1224"/>
      <c r="BK12" s="1228"/>
      <c r="BL12" s="1228"/>
      <c r="BM12" s="1228"/>
      <c r="BN12" s="1228"/>
      <c r="BO12" s="1228"/>
      <c r="BP12" s="1949"/>
      <c r="BQ12" s="1996"/>
      <c r="BR12" s="1996"/>
      <c r="BS12" s="1995"/>
      <c r="BT12" s="2172"/>
      <c r="BU12" s="1996"/>
      <c r="BV12" s="1997"/>
      <c r="BW12" s="901"/>
      <c r="BX12" s="1998"/>
      <c r="BY12" s="1998"/>
      <c r="BZ12" s="1150"/>
    </row>
    <row r="13" spans="1:84" ht="12.75" customHeight="1" x14ac:dyDescent="0.2">
      <c r="A13" s="1197" t="s">
        <v>97</v>
      </c>
      <c r="B13" s="1878"/>
      <c r="C13" s="1188"/>
      <c r="D13" s="1186"/>
      <c r="E13" s="1152"/>
      <c r="F13" s="1153"/>
      <c r="G13" s="1153"/>
      <c r="H13" s="1208"/>
      <c r="I13" s="1208"/>
      <c r="J13" s="1186"/>
      <c r="K13" s="1208"/>
      <c r="L13" s="1208"/>
      <c r="M13" s="1208"/>
      <c r="N13" s="1186"/>
      <c r="O13" s="1208"/>
      <c r="P13" s="1208"/>
      <c r="Q13" s="1208"/>
      <c r="R13" s="1186"/>
      <c r="S13" s="1208"/>
      <c r="T13" s="1208"/>
      <c r="U13" s="1208"/>
      <c r="V13" s="1186"/>
      <c r="W13" s="1208"/>
      <c r="X13" s="1208"/>
      <c r="Y13" s="1208"/>
      <c r="Z13" s="1186"/>
      <c r="AA13" s="1208"/>
      <c r="AB13" s="1208"/>
      <c r="AC13" s="1208"/>
      <c r="AD13" s="1186"/>
      <c r="AE13" s="1208"/>
      <c r="AF13" s="1208"/>
      <c r="AG13" s="1208"/>
      <c r="AH13" s="1186"/>
      <c r="AI13" s="1208"/>
      <c r="AJ13" s="1208"/>
      <c r="AK13" s="1208"/>
      <c r="AL13" s="1186"/>
      <c r="AM13" s="1208"/>
      <c r="AN13" s="1208"/>
      <c r="AO13" s="1208"/>
      <c r="AP13" s="1186"/>
      <c r="AQ13" s="1208"/>
      <c r="AR13" s="1208"/>
      <c r="AS13" s="1208"/>
      <c r="AT13" s="1186"/>
      <c r="AU13" s="1208"/>
      <c r="AV13" s="1208"/>
      <c r="AW13" s="1208"/>
      <c r="AX13" s="1186"/>
      <c r="AY13" s="1229"/>
      <c r="AZ13" s="1186"/>
      <c r="BA13" s="1186"/>
      <c r="BB13" s="1186"/>
      <c r="BC13" s="1229"/>
      <c r="BD13" s="1186"/>
      <c r="BE13" s="1186"/>
      <c r="BF13" s="1186"/>
      <c r="BG13" s="1229"/>
      <c r="BH13" s="1186"/>
      <c r="BI13" s="1186"/>
      <c r="BJ13" s="1208"/>
      <c r="BK13" s="1229"/>
      <c r="BL13" s="1229"/>
      <c r="BM13" s="1229"/>
      <c r="BN13" s="1229"/>
      <c r="BO13" s="1229"/>
      <c r="BP13" s="1147"/>
      <c r="BQ13" s="1152"/>
      <c r="BR13" s="1152"/>
      <c r="BS13" s="1999"/>
      <c r="BT13" s="1147"/>
      <c r="BU13" s="1152"/>
      <c r="BV13" s="1152"/>
      <c r="BW13" s="2188"/>
      <c r="BX13" s="2188"/>
      <c r="BY13" s="2188"/>
      <c r="BZ13" s="1150"/>
      <c r="CA13" s="1315"/>
      <c r="CD13" s="1315"/>
    </row>
    <row r="14" spans="1:84" ht="12.75" customHeight="1" x14ac:dyDescent="0.2">
      <c r="A14" s="1197"/>
      <c r="B14" s="1193" t="s">
        <v>98</v>
      </c>
      <c r="C14" s="957">
        <v>-153809</v>
      </c>
      <c r="D14" s="1035">
        <v>-0.20804370555828333</v>
      </c>
      <c r="E14" s="1317"/>
      <c r="F14" s="1322">
        <v>585502</v>
      </c>
      <c r="G14" s="1321">
        <v>820739</v>
      </c>
      <c r="H14" s="1398">
        <v>930912</v>
      </c>
      <c r="I14" s="1398">
        <v>897276</v>
      </c>
      <c r="J14" s="1397">
        <v>739311</v>
      </c>
      <c r="K14" s="1398">
        <v>862838</v>
      </c>
      <c r="L14" s="1398">
        <v>592873</v>
      </c>
      <c r="M14" s="1398">
        <v>543109</v>
      </c>
      <c r="N14" s="1397">
        <v>521725</v>
      </c>
      <c r="O14" s="1398">
        <v>677769</v>
      </c>
      <c r="P14" s="1398">
        <v>470243</v>
      </c>
      <c r="Q14" s="1398">
        <v>317527</v>
      </c>
      <c r="R14" s="1397">
        <v>282170</v>
      </c>
      <c r="S14" s="1398">
        <v>428329</v>
      </c>
      <c r="T14" s="1398">
        <v>413589</v>
      </c>
      <c r="U14" s="1398">
        <v>289385</v>
      </c>
      <c r="V14" s="1397">
        <v>424558</v>
      </c>
      <c r="W14" s="1398">
        <v>322324</v>
      </c>
      <c r="X14" s="1398">
        <v>339962</v>
      </c>
      <c r="Y14" s="1398">
        <v>290403</v>
      </c>
      <c r="Z14" s="1397">
        <v>273880</v>
      </c>
      <c r="AA14" s="1398">
        <v>364296</v>
      </c>
      <c r="AB14" s="1398">
        <v>357713</v>
      </c>
      <c r="AC14" s="1398">
        <v>360172</v>
      </c>
      <c r="AD14" s="1397">
        <v>380869</v>
      </c>
      <c r="AE14" s="1398">
        <v>491012</v>
      </c>
      <c r="AF14" s="1398">
        <v>555960</v>
      </c>
      <c r="AG14" s="1398">
        <v>575367</v>
      </c>
      <c r="AH14" s="1397">
        <v>644027</v>
      </c>
      <c r="AI14" s="1398">
        <v>814238</v>
      </c>
      <c r="AJ14" s="1398">
        <v>700914</v>
      </c>
      <c r="AK14" s="1398">
        <v>691114</v>
      </c>
      <c r="AL14" s="1397">
        <v>710734</v>
      </c>
      <c r="AM14" s="1398">
        <v>954068</v>
      </c>
      <c r="AN14" s="1398">
        <v>713117</v>
      </c>
      <c r="AO14" s="1398">
        <v>636908</v>
      </c>
      <c r="AP14" s="1397">
        <v>569953</v>
      </c>
      <c r="AQ14" s="1398">
        <v>731852</v>
      </c>
      <c r="AR14" s="1398">
        <v>782576</v>
      </c>
      <c r="AS14" s="1398">
        <v>709455</v>
      </c>
      <c r="AT14" s="1397">
        <v>734268</v>
      </c>
      <c r="AU14" s="1398">
        <v>701173</v>
      </c>
      <c r="AV14" s="1398">
        <v>684463</v>
      </c>
      <c r="AW14" s="1398">
        <v>521322</v>
      </c>
      <c r="AX14" s="1397">
        <v>555017</v>
      </c>
      <c r="AY14" s="1367">
        <v>435649</v>
      </c>
      <c r="AZ14" s="1397">
        <v>421783</v>
      </c>
      <c r="BA14" s="1397">
        <v>379680</v>
      </c>
      <c r="BB14" s="1397">
        <v>329584</v>
      </c>
      <c r="BC14" s="1367">
        <v>506640</v>
      </c>
      <c r="BD14" s="1397">
        <v>371525</v>
      </c>
      <c r="BE14" s="1397">
        <v>315883</v>
      </c>
      <c r="BF14" s="1397">
        <v>376986</v>
      </c>
      <c r="BG14" s="1367"/>
      <c r="BH14" s="1397">
        <v>820739</v>
      </c>
      <c r="BI14" s="1397">
        <v>862838</v>
      </c>
      <c r="BJ14" s="1398">
        <v>677769</v>
      </c>
      <c r="BK14" s="1038">
        <v>428329</v>
      </c>
      <c r="BL14" s="1038">
        <v>322324</v>
      </c>
      <c r="BM14" s="1038">
        <v>364296</v>
      </c>
      <c r="BN14" s="1038">
        <v>491012</v>
      </c>
      <c r="BO14" s="1038">
        <v>814238</v>
      </c>
      <c r="BP14" s="1968">
        <v>954068</v>
      </c>
      <c r="BQ14" s="926">
        <v>731852</v>
      </c>
      <c r="BR14" s="926">
        <v>701173</v>
      </c>
      <c r="BS14" s="2000">
        <v>30679</v>
      </c>
      <c r="BT14" s="922">
        <v>4.3753823949296396E-2</v>
      </c>
      <c r="BU14" s="1317">
        <v>435649</v>
      </c>
      <c r="BV14" s="1317">
        <v>506640</v>
      </c>
      <c r="BW14" s="2001">
        <v>370507</v>
      </c>
      <c r="BX14" s="2001">
        <v>349700</v>
      </c>
      <c r="BY14" s="2001">
        <v>91966</v>
      </c>
      <c r="BZ14" s="1145"/>
      <c r="CA14" s="1315"/>
      <c r="CD14" s="1315"/>
    </row>
    <row r="15" spans="1:84" ht="12.75" customHeight="1" x14ac:dyDescent="0.2">
      <c r="A15" s="1197"/>
      <c r="B15" s="1193" t="s">
        <v>266</v>
      </c>
      <c r="C15" s="957">
        <v>790726</v>
      </c>
      <c r="D15" s="1035">
        <v>1.2635462824325383</v>
      </c>
      <c r="E15" s="1317"/>
      <c r="F15" s="1322">
        <v>1416525</v>
      </c>
      <c r="G15" s="1321">
        <v>690499</v>
      </c>
      <c r="H15" s="1398">
        <v>709037</v>
      </c>
      <c r="I15" s="1398">
        <v>654784</v>
      </c>
      <c r="J15" s="1397">
        <v>625799</v>
      </c>
      <c r="K15" s="1398">
        <v>469217</v>
      </c>
      <c r="L15" s="1398">
        <v>514220</v>
      </c>
      <c r="M15" s="1398">
        <v>469433</v>
      </c>
      <c r="N15" s="1397">
        <v>585258</v>
      </c>
      <c r="O15" s="1398">
        <v>784230</v>
      </c>
      <c r="P15" s="1398">
        <v>421181</v>
      </c>
      <c r="Q15" s="1398">
        <v>651068</v>
      </c>
      <c r="R15" s="1397">
        <v>726857</v>
      </c>
      <c r="S15" s="1398">
        <v>564746</v>
      </c>
      <c r="T15" s="1398">
        <v>556613</v>
      </c>
      <c r="U15" s="1398">
        <v>816967</v>
      </c>
      <c r="V15" s="1397">
        <v>877277</v>
      </c>
      <c r="W15" s="1398">
        <v>848128</v>
      </c>
      <c r="X15" s="1398">
        <v>1018038</v>
      </c>
      <c r="Y15" s="1398">
        <v>1041320</v>
      </c>
      <c r="Z15" s="1397">
        <v>1313241</v>
      </c>
      <c r="AA15" s="1398">
        <v>1143201</v>
      </c>
      <c r="AB15" s="1398">
        <v>1143898</v>
      </c>
      <c r="AC15" s="1398">
        <v>929247</v>
      </c>
      <c r="AD15" s="1397">
        <v>1426328</v>
      </c>
      <c r="AE15" s="1398">
        <v>924337</v>
      </c>
      <c r="AF15" s="1398">
        <v>1453470</v>
      </c>
      <c r="AG15" s="1398">
        <v>1087334</v>
      </c>
      <c r="AH15" s="1397">
        <v>1214424</v>
      </c>
      <c r="AI15" s="1398">
        <v>1171988</v>
      </c>
      <c r="AJ15" s="1398">
        <v>1100470</v>
      </c>
      <c r="AK15" s="1398">
        <v>1316755</v>
      </c>
      <c r="AL15" s="1397">
        <v>849679</v>
      </c>
      <c r="AM15" s="1398">
        <v>947185</v>
      </c>
      <c r="AN15" s="1398">
        <v>1098154</v>
      </c>
      <c r="AO15" s="1398">
        <v>1268897</v>
      </c>
      <c r="AP15" s="1397">
        <v>835261</v>
      </c>
      <c r="AQ15" s="1398">
        <v>362755</v>
      </c>
      <c r="AR15" s="1398">
        <v>404537</v>
      </c>
      <c r="AS15" s="1398">
        <v>517070</v>
      </c>
      <c r="AT15" s="1397">
        <v>169030</v>
      </c>
      <c r="AU15" s="1398">
        <v>133691</v>
      </c>
      <c r="AV15" s="1398">
        <v>72938</v>
      </c>
      <c r="AW15" s="1398">
        <v>56055</v>
      </c>
      <c r="AX15" s="1397">
        <v>117013</v>
      </c>
      <c r="AY15" s="1367">
        <v>92796</v>
      </c>
      <c r="AZ15" s="1397">
        <v>164388</v>
      </c>
      <c r="BA15" s="1397">
        <v>227368</v>
      </c>
      <c r="BB15" s="1397">
        <v>225734</v>
      </c>
      <c r="BC15" s="1367">
        <v>348764</v>
      </c>
      <c r="BD15" s="1397">
        <v>146030</v>
      </c>
      <c r="BE15" s="1397">
        <v>119809</v>
      </c>
      <c r="BF15" s="1397">
        <v>194061</v>
      </c>
      <c r="BG15" s="1367"/>
      <c r="BH15" s="1397">
        <v>690499</v>
      </c>
      <c r="BI15" s="1397">
        <v>469217</v>
      </c>
      <c r="BJ15" s="1398">
        <v>784230</v>
      </c>
      <c r="BK15" s="1038">
        <v>564746</v>
      </c>
      <c r="BL15" s="1038">
        <v>848128</v>
      </c>
      <c r="BM15" s="1038">
        <v>1143201</v>
      </c>
      <c r="BN15" s="1038">
        <v>924337</v>
      </c>
      <c r="BO15" s="1038">
        <v>1171988</v>
      </c>
      <c r="BP15" s="1968">
        <v>947185</v>
      </c>
      <c r="BQ15" s="926">
        <v>362755</v>
      </c>
      <c r="BR15" s="926">
        <v>133691</v>
      </c>
      <c r="BS15" s="2000">
        <v>229064</v>
      </c>
      <c r="BT15" s="922">
        <v>1.7133838478282009</v>
      </c>
      <c r="BU15" s="1317">
        <v>92796</v>
      </c>
      <c r="BV15" s="1317">
        <v>348764</v>
      </c>
      <c r="BW15" s="2001">
        <v>203020</v>
      </c>
      <c r="BX15" s="2001">
        <v>160348</v>
      </c>
      <c r="BY15" s="2001">
        <v>376447</v>
      </c>
      <c r="BZ15" s="1145"/>
      <c r="CA15" s="1315"/>
      <c r="CD15" s="1315"/>
    </row>
    <row r="16" spans="1:84" ht="12.75" customHeight="1" x14ac:dyDescent="0.2">
      <c r="A16" s="1197"/>
      <c r="B16" s="1193" t="s">
        <v>99</v>
      </c>
      <c r="C16" s="957">
        <v>248167</v>
      </c>
      <c r="D16" s="1035">
        <v>0.10388942217325216</v>
      </c>
      <c r="E16" s="1317"/>
      <c r="F16" s="1322">
        <v>2636928</v>
      </c>
      <c r="G16" s="1321">
        <v>2656664</v>
      </c>
      <c r="H16" s="1398">
        <v>1888600</v>
      </c>
      <c r="I16" s="1398">
        <v>2209995</v>
      </c>
      <c r="J16" s="1397">
        <v>2388761</v>
      </c>
      <c r="K16" s="1398">
        <v>2215837</v>
      </c>
      <c r="L16" s="1398">
        <v>1758532</v>
      </c>
      <c r="M16" s="1398">
        <v>1944939</v>
      </c>
      <c r="N16" s="1397">
        <v>2171795</v>
      </c>
      <c r="O16" s="1398">
        <v>3395736</v>
      </c>
      <c r="P16" s="1398">
        <v>1534449</v>
      </c>
      <c r="Q16" s="1398">
        <v>2629075</v>
      </c>
      <c r="R16" s="1397">
        <v>2704228</v>
      </c>
      <c r="S16" s="1398">
        <v>2041150</v>
      </c>
      <c r="T16" s="1398">
        <v>1384550</v>
      </c>
      <c r="U16" s="1398">
        <v>2147327</v>
      </c>
      <c r="V16" s="1397">
        <v>2403069</v>
      </c>
      <c r="W16" s="1398">
        <v>2491488</v>
      </c>
      <c r="X16" s="1398">
        <v>1868510</v>
      </c>
      <c r="Y16" s="1398">
        <v>2679165</v>
      </c>
      <c r="Z16" s="1397">
        <v>2068340</v>
      </c>
      <c r="AA16" s="1398">
        <v>2785898</v>
      </c>
      <c r="AB16" s="1398">
        <v>1912423</v>
      </c>
      <c r="AC16" s="1398">
        <v>2268642</v>
      </c>
      <c r="AD16" s="1397">
        <v>2843247</v>
      </c>
      <c r="AE16" s="1398">
        <v>2513958</v>
      </c>
      <c r="AF16" s="1398">
        <v>2280064</v>
      </c>
      <c r="AG16" s="1398">
        <v>2750879</v>
      </c>
      <c r="AH16" s="1397">
        <v>2548117</v>
      </c>
      <c r="AI16" s="1398">
        <v>3081640</v>
      </c>
      <c r="AJ16" s="1398">
        <v>2215448</v>
      </c>
      <c r="AK16" s="1398">
        <v>3270356</v>
      </c>
      <c r="AL16" s="1397">
        <v>2488826</v>
      </c>
      <c r="AM16" s="1398">
        <v>2828812</v>
      </c>
      <c r="AN16" s="1398">
        <v>2383057</v>
      </c>
      <c r="AO16" s="1398">
        <v>2987415</v>
      </c>
      <c r="AP16" s="1397">
        <v>2185305</v>
      </c>
      <c r="AQ16" s="1398">
        <v>1972924</v>
      </c>
      <c r="AR16" s="1398">
        <v>1311144</v>
      </c>
      <c r="AS16" s="1398">
        <v>2085356</v>
      </c>
      <c r="AT16" s="1397">
        <v>1166610</v>
      </c>
      <c r="AU16" s="1398">
        <v>1061161</v>
      </c>
      <c r="AV16" s="1398">
        <v>806402</v>
      </c>
      <c r="AW16" s="1398">
        <v>1227426</v>
      </c>
      <c r="AX16" s="1397">
        <v>1525096</v>
      </c>
      <c r="AY16" s="1367">
        <v>1422917</v>
      </c>
      <c r="AZ16" s="1397">
        <v>1260869</v>
      </c>
      <c r="BA16" s="1397">
        <v>1829712</v>
      </c>
      <c r="BB16" s="1397">
        <v>2052737</v>
      </c>
      <c r="BC16" s="1367">
        <v>1672035</v>
      </c>
      <c r="BD16" s="1397">
        <v>1204371</v>
      </c>
      <c r="BE16" s="1397">
        <v>1163218</v>
      </c>
      <c r="BF16" s="1397">
        <v>1154454</v>
      </c>
      <c r="BG16" s="1367"/>
      <c r="BH16" s="1397">
        <v>2656664</v>
      </c>
      <c r="BI16" s="1397">
        <v>2215837</v>
      </c>
      <c r="BJ16" s="1398">
        <v>3395736</v>
      </c>
      <c r="BK16" s="1038">
        <v>2041150</v>
      </c>
      <c r="BL16" s="1038">
        <v>2491488</v>
      </c>
      <c r="BM16" s="1038">
        <v>2785898</v>
      </c>
      <c r="BN16" s="1038">
        <v>2513958</v>
      </c>
      <c r="BO16" s="1038">
        <v>3081640</v>
      </c>
      <c r="BP16" s="1968">
        <v>2828812</v>
      </c>
      <c r="BQ16" s="926">
        <v>1972924</v>
      </c>
      <c r="BR16" s="926">
        <v>1061161</v>
      </c>
      <c r="BS16" s="2000">
        <v>911763</v>
      </c>
      <c r="BT16" s="922">
        <v>0.8592126925132002</v>
      </c>
      <c r="BU16" s="1317">
        <v>1422917</v>
      </c>
      <c r="BV16" s="1317">
        <v>1672035</v>
      </c>
      <c r="BW16" s="2001">
        <v>1539998</v>
      </c>
      <c r="BX16" s="2001">
        <v>1068757</v>
      </c>
      <c r="BY16" s="2001">
        <v>998815</v>
      </c>
      <c r="BZ16" s="1145"/>
      <c r="CA16" s="1315"/>
      <c r="CD16" s="1315"/>
    </row>
    <row r="17" spans="1:82" ht="12.75" customHeight="1" x14ac:dyDescent="0.2">
      <c r="A17" s="1197"/>
      <c r="B17" s="1193" t="s">
        <v>100</v>
      </c>
      <c r="C17" s="957">
        <v>2111</v>
      </c>
      <c r="D17" s="1035">
        <v>0.39369638194703471</v>
      </c>
      <c r="E17" s="1317"/>
      <c r="F17" s="2000">
        <v>7473</v>
      </c>
      <c r="G17" s="914">
        <v>2502</v>
      </c>
      <c r="H17" s="1006">
        <v>9789</v>
      </c>
      <c r="I17" s="1398">
        <v>5697</v>
      </c>
      <c r="J17" s="1032">
        <v>5362</v>
      </c>
      <c r="K17" s="1006">
        <v>1170</v>
      </c>
      <c r="L17" s="1006">
        <v>242</v>
      </c>
      <c r="M17" s="1398">
        <v>2716</v>
      </c>
      <c r="N17" s="1032">
        <v>884</v>
      </c>
      <c r="O17" s="1006">
        <v>1085</v>
      </c>
      <c r="P17" s="1006">
        <v>4586</v>
      </c>
      <c r="Q17" s="1398">
        <v>11429</v>
      </c>
      <c r="R17" s="1032">
        <v>9870</v>
      </c>
      <c r="S17" s="1006">
        <v>12537</v>
      </c>
      <c r="T17" s="1006">
        <v>12344</v>
      </c>
      <c r="U17" s="1398">
        <v>8558</v>
      </c>
      <c r="V17" s="1032">
        <v>9943</v>
      </c>
      <c r="W17" s="1006">
        <v>5295</v>
      </c>
      <c r="X17" s="1006">
        <v>5112</v>
      </c>
      <c r="Y17" s="1398">
        <v>3022</v>
      </c>
      <c r="Z17" s="1032">
        <v>6823</v>
      </c>
      <c r="AA17" s="1006">
        <v>3983</v>
      </c>
      <c r="AB17" s="1006">
        <v>1755</v>
      </c>
      <c r="AC17" s="1398">
        <v>3405</v>
      </c>
      <c r="AD17" s="1397">
        <v>3276</v>
      </c>
      <c r="AE17" s="1006">
        <v>0</v>
      </c>
      <c r="AF17" s="1006">
        <v>0</v>
      </c>
      <c r="AG17" s="1398">
        <v>15120</v>
      </c>
      <c r="AH17" s="1397">
        <v>15866</v>
      </c>
      <c r="AI17" s="1006">
        <v>8301</v>
      </c>
      <c r="AJ17" s="1006">
        <v>15565</v>
      </c>
      <c r="AK17" s="1398">
        <v>18776</v>
      </c>
      <c r="AL17" s="1397">
        <v>10317</v>
      </c>
      <c r="AM17" s="1142">
        <v>0</v>
      </c>
      <c r="AN17" s="1142">
        <v>0</v>
      </c>
      <c r="AO17" s="1398">
        <v>5567</v>
      </c>
      <c r="AP17" s="1397">
        <v>5287</v>
      </c>
      <c r="AQ17" s="1142">
        <v>0</v>
      </c>
      <c r="AR17" s="1142">
        <v>0</v>
      </c>
      <c r="AS17" s="1398">
        <v>2107</v>
      </c>
      <c r="AT17" s="1397">
        <v>17740</v>
      </c>
      <c r="AU17" s="1398">
        <v>23771</v>
      </c>
      <c r="AV17" s="1398">
        <v>29887</v>
      </c>
      <c r="AW17" s="1398">
        <v>19772</v>
      </c>
      <c r="AX17" s="1397">
        <v>19440</v>
      </c>
      <c r="AY17" s="1367">
        <v>11083</v>
      </c>
      <c r="AZ17" s="1397">
        <v>2758</v>
      </c>
      <c r="BA17" s="1397">
        <v>661</v>
      </c>
      <c r="BB17" s="1881">
        <v>0</v>
      </c>
      <c r="BC17" s="1882">
        <v>0</v>
      </c>
      <c r="BD17" s="1881">
        <v>0</v>
      </c>
      <c r="BE17" s="1881">
        <v>0</v>
      </c>
      <c r="BF17" s="1881">
        <v>0</v>
      </c>
      <c r="BG17" s="1367"/>
      <c r="BH17" s="1397">
        <v>2502</v>
      </c>
      <c r="BI17" s="1032">
        <v>1170</v>
      </c>
      <c r="BJ17" s="1006">
        <v>1085</v>
      </c>
      <c r="BK17" s="1038">
        <v>12537</v>
      </c>
      <c r="BL17" s="1038">
        <v>5295</v>
      </c>
      <c r="BM17" s="1038">
        <v>3983</v>
      </c>
      <c r="BN17" s="1038">
        <v>0</v>
      </c>
      <c r="BO17" s="1038">
        <v>8301</v>
      </c>
      <c r="BP17" s="1968">
        <v>0</v>
      </c>
      <c r="BQ17" s="2003">
        <v>0</v>
      </c>
      <c r="BR17" s="926">
        <v>23771</v>
      </c>
      <c r="BS17" s="2000">
        <v>-23771</v>
      </c>
      <c r="BT17" s="922">
        <v>-1</v>
      </c>
      <c r="BU17" s="1317">
        <v>11083</v>
      </c>
      <c r="BV17" s="1971">
        <v>0</v>
      </c>
      <c r="BW17" s="2001">
        <v>0</v>
      </c>
      <c r="BX17" s="2001">
        <v>0</v>
      </c>
      <c r="BY17" s="2001">
        <v>0</v>
      </c>
      <c r="BZ17" s="1145"/>
      <c r="CA17" s="1315"/>
      <c r="CD17" s="1315"/>
    </row>
    <row r="18" spans="1:82" ht="12.75" customHeight="1" x14ac:dyDescent="0.2">
      <c r="A18" s="1197"/>
      <c r="B18" s="1193" t="s">
        <v>267</v>
      </c>
      <c r="C18" s="957">
        <v>-362</v>
      </c>
      <c r="D18" s="1035">
        <v>-1.9890109890109892E-2</v>
      </c>
      <c r="E18" s="1317"/>
      <c r="F18" s="1322">
        <v>17838</v>
      </c>
      <c r="G18" s="1321">
        <v>22117</v>
      </c>
      <c r="H18" s="1398">
        <v>20831</v>
      </c>
      <c r="I18" s="1398">
        <v>20802</v>
      </c>
      <c r="J18" s="1397">
        <v>18200</v>
      </c>
      <c r="K18" s="1398">
        <v>19941</v>
      </c>
      <c r="L18" s="1398">
        <v>12412</v>
      </c>
      <c r="M18" s="1398">
        <v>15006</v>
      </c>
      <c r="N18" s="1397">
        <v>16231</v>
      </c>
      <c r="O18" s="1398">
        <v>15323</v>
      </c>
      <c r="P18" s="1398">
        <v>11442</v>
      </c>
      <c r="Q18" s="1398">
        <v>9950</v>
      </c>
      <c r="R18" s="1397">
        <v>9790</v>
      </c>
      <c r="S18" s="1398">
        <v>11221</v>
      </c>
      <c r="T18" s="1398">
        <v>10006</v>
      </c>
      <c r="U18" s="1398">
        <v>10190</v>
      </c>
      <c r="V18" s="1397">
        <v>10320</v>
      </c>
      <c r="W18" s="1398">
        <v>10148</v>
      </c>
      <c r="X18" s="1398">
        <v>9706</v>
      </c>
      <c r="Y18" s="1398">
        <v>9366</v>
      </c>
      <c r="Z18" s="1397">
        <v>9165</v>
      </c>
      <c r="AA18" s="1398">
        <v>9735</v>
      </c>
      <c r="AB18" s="1398">
        <v>9322</v>
      </c>
      <c r="AC18" s="1398">
        <v>10877</v>
      </c>
      <c r="AD18" s="1397">
        <v>9938</v>
      </c>
      <c r="AE18" s="1398">
        <v>12552</v>
      </c>
      <c r="AF18" s="1398">
        <v>8550</v>
      </c>
      <c r="AG18" s="1398">
        <v>6077</v>
      </c>
      <c r="AH18" s="1397">
        <v>6735</v>
      </c>
      <c r="AI18" s="1398">
        <v>3959</v>
      </c>
      <c r="AJ18" s="1398">
        <v>2419</v>
      </c>
      <c r="AK18" s="1398">
        <v>1791</v>
      </c>
      <c r="AL18" s="1397">
        <v>2076</v>
      </c>
      <c r="AM18" s="1398">
        <v>1503</v>
      </c>
      <c r="AN18" s="1398">
        <v>1036</v>
      </c>
      <c r="AO18" s="1398">
        <v>1076</v>
      </c>
      <c r="AP18" s="1397">
        <v>680</v>
      </c>
      <c r="AQ18" s="1398">
        <v>13190</v>
      </c>
      <c r="AR18" s="1398">
        <v>11890</v>
      </c>
      <c r="AS18" s="1398">
        <v>12019</v>
      </c>
      <c r="AT18" s="1397">
        <v>13358</v>
      </c>
      <c r="AU18" s="1398">
        <v>15680</v>
      </c>
      <c r="AV18" s="1398">
        <v>13657</v>
      </c>
      <c r="AW18" s="1398">
        <v>11566</v>
      </c>
      <c r="AX18" s="1397">
        <v>10725</v>
      </c>
      <c r="AY18" s="1367">
        <v>28207</v>
      </c>
      <c r="AZ18" s="1397">
        <v>10630</v>
      </c>
      <c r="BA18" s="1397">
        <v>9940</v>
      </c>
      <c r="BB18" s="1397">
        <v>7761</v>
      </c>
      <c r="BC18" s="1367">
        <v>11021</v>
      </c>
      <c r="BD18" s="1397">
        <v>11782</v>
      </c>
      <c r="BE18" s="1397">
        <v>12754</v>
      </c>
      <c r="BF18" s="1397">
        <v>11872</v>
      </c>
      <c r="BG18" s="1367"/>
      <c r="BH18" s="1397">
        <v>22117</v>
      </c>
      <c r="BI18" s="1397">
        <v>19941</v>
      </c>
      <c r="BJ18" s="1398">
        <v>15323</v>
      </c>
      <c r="BK18" s="1038">
        <v>11221</v>
      </c>
      <c r="BL18" s="1038">
        <v>10148</v>
      </c>
      <c r="BM18" s="1038">
        <v>9735</v>
      </c>
      <c r="BN18" s="1038">
        <v>12552</v>
      </c>
      <c r="BO18" s="1038">
        <v>3959</v>
      </c>
      <c r="BP18" s="1968">
        <v>1503</v>
      </c>
      <c r="BQ18" s="926">
        <v>13190</v>
      </c>
      <c r="BR18" s="926">
        <v>15680</v>
      </c>
      <c r="BS18" s="2000">
        <v>-2490</v>
      </c>
      <c r="BT18" s="922">
        <v>-0.15880102040816327</v>
      </c>
      <c r="BU18" s="1317">
        <v>28207</v>
      </c>
      <c r="BV18" s="1317">
        <v>11021</v>
      </c>
      <c r="BW18" s="1950">
        <v>10769</v>
      </c>
      <c r="BX18" s="1950">
        <v>3992</v>
      </c>
      <c r="BY18" s="1950">
        <v>0</v>
      </c>
      <c r="BZ18" s="1145"/>
      <c r="CA18" s="1315"/>
      <c r="CD18" s="1315"/>
    </row>
    <row r="19" spans="1:82" ht="12.75" customHeight="1" x14ac:dyDescent="0.2">
      <c r="A19" s="1197"/>
      <c r="B19" s="1201" t="s">
        <v>101</v>
      </c>
      <c r="C19" s="957">
        <v>5979</v>
      </c>
      <c r="D19" s="1035">
        <v>2.7288909173893199</v>
      </c>
      <c r="E19" s="1317"/>
      <c r="F19" s="1322">
        <v>8170</v>
      </c>
      <c r="G19" s="1321">
        <v>6224</v>
      </c>
      <c r="H19" s="1398">
        <v>6184</v>
      </c>
      <c r="I19" s="1398">
        <v>2278</v>
      </c>
      <c r="J19" s="1397">
        <v>2191</v>
      </c>
      <c r="K19" s="1398">
        <v>2035</v>
      </c>
      <c r="L19" s="1398">
        <v>2030</v>
      </c>
      <c r="M19" s="1398">
        <v>2321</v>
      </c>
      <c r="N19" s="1397">
        <v>2960</v>
      </c>
      <c r="O19" s="1398">
        <v>2829</v>
      </c>
      <c r="P19" s="1398">
        <v>5197</v>
      </c>
      <c r="Q19" s="1398">
        <v>5264</v>
      </c>
      <c r="R19" s="1397">
        <v>5330</v>
      </c>
      <c r="S19" s="1398">
        <v>5578</v>
      </c>
      <c r="T19" s="1398">
        <v>5621</v>
      </c>
      <c r="U19" s="1398">
        <v>9482</v>
      </c>
      <c r="V19" s="1397">
        <v>9352</v>
      </c>
      <c r="W19" s="1398">
        <v>8693</v>
      </c>
      <c r="X19" s="1398">
        <v>9964</v>
      </c>
      <c r="Y19" s="1398">
        <v>9920</v>
      </c>
      <c r="Z19" s="1397">
        <v>9931</v>
      </c>
      <c r="AA19" s="1398">
        <v>9977</v>
      </c>
      <c r="AB19" s="1398">
        <v>9491</v>
      </c>
      <c r="AC19" s="1398">
        <v>9267</v>
      </c>
      <c r="AD19" s="1397">
        <v>4113</v>
      </c>
      <c r="AE19" s="1398">
        <v>3695</v>
      </c>
      <c r="AF19" s="1398">
        <v>3276</v>
      </c>
      <c r="AG19" s="1398">
        <v>3247</v>
      </c>
      <c r="AH19" s="1397">
        <v>9488</v>
      </c>
      <c r="AI19" s="1398">
        <v>9493</v>
      </c>
      <c r="AJ19" s="1398">
        <v>5934</v>
      </c>
      <c r="AK19" s="1398">
        <v>5934</v>
      </c>
      <c r="AL19" s="1397">
        <v>5934</v>
      </c>
      <c r="AM19" s="1398">
        <v>5934</v>
      </c>
      <c r="AN19" s="1398">
        <v>6732</v>
      </c>
      <c r="AO19" s="1398">
        <v>6732</v>
      </c>
      <c r="AP19" s="1397">
        <v>6732</v>
      </c>
      <c r="AQ19" s="1398">
        <v>5000</v>
      </c>
      <c r="AR19" s="1398">
        <v>5000</v>
      </c>
      <c r="AS19" s="1398">
        <v>5000</v>
      </c>
      <c r="AT19" s="1397">
        <v>5000</v>
      </c>
      <c r="AU19" s="1398">
        <v>5000</v>
      </c>
      <c r="AV19" s="1398">
        <v>5000</v>
      </c>
      <c r="AW19" s="1398">
        <v>5000</v>
      </c>
      <c r="AX19" s="1397">
        <v>5000</v>
      </c>
      <c r="AY19" s="1367">
        <v>5000</v>
      </c>
      <c r="AZ19" s="1397">
        <v>5000</v>
      </c>
      <c r="BA19" s="1397">
        <v>5000</v>
      </c>
      <c r="BB19" s="1397">
        <v>5000</v>
      </c>
      <c r="BC19" s="1882">
        <v>0</v>
      </c>
      <c r="BD19" s="1881">
        <v>0</v>
      </c>
      <c r="BE19" s="1881">
        <v>0</v>
      </c>
      <c r="BF19" s="1881">
        <v>0</v>
      </c>
      <c r="BG19" s="1367"/>
      <c r="BH19" s="1397">
        <v>6224</v>
      </c>
      <c r="BI19" s="1397">
        <v>2035</v>
      </c>
      <c r="BJ19" s="1398">
        <v>2829</v>
      </c>
      <c r="BK19" s="1038">
        <v>5578</v>
      </c>
      <c r="BL19" s="1038">
        <v>8693</v>
      </c>
      <c r="BM19" s="1038">
        <v>9977</v>
      </c>
      <c r="BN19" s="1038">
        <v>3695</v>
      </c>
      <c r="BO19" s="1038">
        <v>9493</v>
      </c>
      <c r="BP19" s="1968">
        <v>5934</v>
      </c>
      <c r="BQ19" s="926">
        <v>5000</v>
      </c>
      <c r="BR19" s="926">
        <v>5000</v>
      </c>
      <c r="BS19" s="2000">
        <v>0</v>
      </c>
      <c r="BT19" s="922">
        <v>0</v>
      </c>
      <c r="BU19" s="1317">
        <v>5000</v>
      </c>
      <c r="BV19" s="1971">
        <v>0</v>
      </c>
      <c r="BW19" s="1952">
        <v>0</v>
      </c>
      <c r="BX19" s="1952">
        <v>0</v>
      </c>
      <c r="BY19" s="1952">
        <v>0</v>
      </c>
      <c r="BZ19" s="1145"/>
      <c r="CA19" s="1315"/>
      <c r="CD19" s="1315"/>
    </row>
    <row r="20" spans="1:82" ht="12.75" hidden="1" customHeight="1" x14ac:dyDescent="0.2">
      <c r="A20" s="1197"/>
      <c r="B20" s="1193" t="s">
        <v>102</v>
      </c>
      <c r="C20" s="957">
        <v>0</v>
      </c>
      <c r="D20" s="1035" t="s">
        <v>736</v>
      </c>
      <c r="E20" s="1317"/>
      <c r="F20" s="2416"/>
      <c r="G20" s="939"/>
      <c r="H20" s="1142"/>
      <c r="I20" s="1142"/>
      <c r="J20" s="1032"/>
      <c r="K20" s="1142"/>
      <c r="L20" s="1142"/>
      <c r="M20" s="1142"/>
      <c r="N20" s="1032"/>
      <c r="O20" s="1142"/>
      <c r="P20" s="1142"/>
      <c r="Q20" s="1142"/>
      <c r="R20" s="1032"/>
      <c r="S20" s="1142"/>
      <c r="T20" s="1142"/>
      <c r="U20" s="1142"/>
      <c r="V20" s="1032"/>
      <c r="W20" s="1142"/>
      <c r="X20" s="1142"/>
      <c r="Y20" s="1142"/>
      <c r="Z20" s="1032"/>
      <c r="AA20" s="1142">
        <v>0</v>
      </c>
      <c r="AB20" s="1142">
        <v>0</v>
      </c>
      <c r="AC20" s="1142">
        <v>0</v>
      </c>
      <c r="AD20" s="1032">
        <v>0</v>
      </c>
      <c r="AE20" s="1142">
        <v>0</v>
      </c>
      <c r="AF20" s="1142">
        <v>0</v>
      </c>
      <c r="AG20" s="1142">
        <v>0</v>
      </c>
      <c r="AH20" s="1032">
        <v>0</v>
      </c>
      <c r="AI20" s="1142">
        <v>0</v>
      </c>
      <c r="AJ20" s="1142">
        <v>0</v>
      </c>
      <c r="AK20" s="1142">
        <v>0</v>
      </c>
      <c r="AL20" s="1881">
        <v>0</v>
      </c>
      <c r="AM20" s="1142">
        <v>0</v>
      </c>
      <c r="AN20" s="1142">
        <v>0</v>
      </c>
      <c r="AO20" s="1142">
        <v>0</v>
      </c>
      <c r="AP20" s="1881">
        <v>0</v>
      </c>
      <c r="AQ20" s="1142">
        <v>0</v>
      </c>
      <c r="AR20" s="1398">
        <v>28239</v>
      </c>
      <c r="AS20" s="1398">
        <v>34280</v>
      </c>
      <c r="AT20" s="1397">
        <v>34418</v>
      </c>
      <c r="AU20" s="1398">
        <v>35312</v>
      </c>
      <c r="AV20" s="1398">
        <v>23160</v>
      </c>
      <c r="AW20" s="1398">
        <v>29860</v>
      </c>
      <c r="AX20" s="1397">
        <v>29860</v>
      </c>
      <c r="AY20" s="1367">
        <v>29860</v>
      </c>
      <c r="AZ20" s="1397">
        <v>34501</v>
      </c>
      <c r="BA20" s="1881">
        <v>0</v>
      </c>
      <c r="BB20" s="1881">
        <v>0</v>
      </c>
      <c r="BC20" s="1882">
        <v>0</v>
      </c>
      <c r="BD20" s="1881">
        <v>0</v>
      </c>
      <c r="BE20" s="1881">
        <v>0</v>
      </c>
      <c r="BF20" s="1881">
        <v>0</v>
      </c>
      <c r="BG20" s="1367"/>
      <c r="BH20" s="1397">
        <v>0</v>
      </c>
      <c r="BI20" s="1881">
        <v>0</v>
      </c>
      <c r="BJ20" s="1142"/>
      <c r="BK20" s="1038">
        <v>0</v>
      </c>
      <c r="BL20" s="1038">
        <v>0</v>
      </c>
      <c r="BM20" s="1038">
        <v>0</v>
      </c>
      <c r="BN20" s="1038">
        <v>0</v>
      </c>
      <c r="BO20" s="1033">
        <v>0</v>
      </c>
      <c r="BP20" s="1968">
        <v>0</v>
      </c>
      <c r="BQ20" s="2003">
        <v>0</v>
      </c>
      <c r="BR20" s="926">
        <v>35312</v>
      </c>
      <c r="BS20" s="2000">
        <v>-35312</v>
      </c>
      <c r="BT20" s="922">
        <v>-1</v>
      </c>
      <c r="BU20" s="1317">
        <v>29860</v>
      </c>
      <c r="BV20" s="1971">
        <v>0</v>
      </c>
      <c r="BW20" s="1952">
        <v>0</v>
      </c>
      <c r="BX20" s="1952">
        <v>0</v>
      </c>
      <c r="BY20" s="1952">
        <v>0</v>
      </c>
      <c r="BZ20" s="1145"/>
      <c r="CA20" s="1315"/>
      <c r="CD20" s="1315"/>
    </row>
    <row r="21" spans="1:82" ht="12.75" customHeight="1" x14ac:dyDescent="0.2">
      <c r="A21" s="1197"/>
      <c r="B21" s="1193" t="s">
        <v>103</v>
      </c>
      <c r="C21" s="957">
        <v>-3782</v>
      </c>
      <c r="D21" s="1035">
        <v>-0.1328555871711104</v>
      </c>
      <c r="E21" s="1317"/>
      <c r="F21" s="1322">
        <v>24685</v>
      </c>
      <c r="G21" s="1321">
        <v>25792</v>
      </c>
      <c r="H21" s="1398">
        <v>25941</v>
      </c>
      <c r="I21" s="1398">
        <v>26014</v>
      </c>
      <c r="J21" s="1397">
        <v>28467</v>
      </c>
      <c r="K21" s="1398">
        <v>30967</v>
      </c>
      <c r="L21" s="1398">
        <v>31966</v>
      </c>
      <c r="M21" s="1398">
        <v>30717</v>
      </c>
      <c r="N21" s="1397">
        <v>30592</v>
      </c>
      <c r="O21" s="1398">
        <v>31479</v>
      </c>
      <c r="P21" s="1398">
        <v>30991</v>
      </c>
      <c r="Q21" s="1398">
        <v>32815</v>
      </c>
      <c r="R21" s="1397">
        <v>34728</v>
      </c>
      <c r="S21" s="1398">
        <v>37049</v>
      </c>
      <c r="T21" s="1398">
        <v>35539</v>
      </c>
      <c r="U21" s="1398">
        <v>42798</v>
      </c>
      <c r="V21" s="1397">
        <v>42800</v>
      </c>
      <c r="W21" s="1398">
        <v>43373</v>
      </c>
      <c r="X21" s="1398">
        <v>43126</v>
      </c>
      <c r="Y21" s="1398">
        <v>45240</v>
      </c>
      <c r="Z21" s="1397">
        <v>48500</v>
      </c>
      <c r="AA21" s="1398">
        <v>50975</v>
      </c>
      <c r="AB21" s="1398">
        <v>50390</v>
      </c>
      <c r="AC21" s="1398">
        <v>41306</v>
      </c>
      <c r="AD21" s="1397">
        <v>42293</v>
      </c>
      <c r="AE21" s="1398">
        <v>42979</v>
      </c>
      <c r="AF21" s="1398">
        <v>46613</v>
      </c>
      <c r="AG21" s="1398">
        <v>48013</v>
      </c>
      <c r="AH21" s="1397">
        <v>49678</v>
      </c>
      <c r="AI21" s="1398">
        <v>51084</v>
      </c>
      <c r="AJ21" s="1398">
        <v>44550</v>
      </c>
      <c r="AK21" s="1398">
        <v>43120</v>
      </c>
      <c r="AL21" s="1397">
        <v>43289</v>
      </c>
      <c r="AM21" s="1398">
        <v>40818</v>
      </c>
      <c r="AN21" s="1398">
        <v>36860</v>
      </c>
      <c r="AO21" s="1398">
        <v>37463</v>
      </c>
      <c r="AP21" s="1397">
        <v>39001</v>
      </c>
      <c r="AQ21" s="1398">
        <v>38127</v>
      </c>
      <c r="AR21" s="1398">
        <v>40471</v>
      </c>
      <c r="AS21" s="1398">
        <v>41718</v>
      </c>
      <c r="AT21" s="1397">
        <v>44366</v>
      </c>
      <c r="AU21" s="1398">
        <v>46311</v>
      </c>
      <c r="AV21" s="1398">
        <v>44178</v>
      </c>
      <c r="AW21" s="1398">
        <v>39254</v>
      </c>
      <c r="AX21" s="1397">
        <v>39575</v>
      </c>
      <c r="AY21" s="1367">
        <v>40686</v>
      </c>
      <c r="AZ21" s="1397">
        <v>39939</v>
      </c>
      <c r="BA21" s="1397">
        <v>40137</v>
      </c>
      <c r="BB21" s="1397">
        <v>39231</v>
      </c>
      <c r="BC21" s="1367">
        <v>37549</v>
      </c>
      <c r="BD21" s="1397">
        <v>33566</v>
      </c>
      <c r="BE21" s="1397">
        <v>26527</v>
      </c>
      <c r="BF21" s="1397">
        <v>24449</v>
      </c>
      <c r="BG21" s="1367"/>
      <c r="BH21" s="1397">
        <v>25792</v>
      </c>
      <c r="BI21" s="1397">
        <v>30967</v>
      </c>
      <c r="BJ21" s="1398">
        <v>31479</v>
      </c>
      <c r="BK21" s="1038">
        <v>37049</v>
      </c>
      <c r="BL21" s="1038">
        <v>43373</v>
      </c>
      <c r="BM21" s="1038">
        <v>50975</v>
      </c>
      <c r="BN21" s="1038">
        <v>42979</v>
      </c>
      <c r="BO21" s="1038">
        <v>51084</v>
      </c>
      <c r="BP21" s="1968">
        <v>40818</v>
      </c>
      <c r="BQ21" s="926">
        <v>38127</v>
      </c>
      <c r="BR21" s="926">
        <v>46311</v>
      </c>
      <c r="BS21" s="2000">
        <v>-8184</v>
      </c>
      <c r="BT21" s="922">
        <v>-0.17671827427608991</v>
      </c>
      <c r="BU21" s="1317">
        <v>40686</v>
      </c>
      <c r="BV21" s="1317">
        <v>37549</v>
      </c>
      <c r="BW21" s="2001">
        <v>25750</v>
      </c>
      <c r="BX21" s="2001">
        <v>13750</v>
      </c>
      <c r="BY21" s="2001">
        <v>12373</v>
      </c>
      <c r="BZ21" s="1145"/>
      <c r="CA21" s="1315"/>
      <c r="CD21" s="1315"/>
    </row>
    <row r="22" spans="1:82" ht="12.75" hidden="1" customHeight="1" x14ac:dyDescent="0.2">
      <c r="A22" s="1197"/>
      <c r="B22" s="1193" t="s">
        <v>104</v>
      </c>
      <c r="C22" s="957">
        <v>0</v>
      </c>
      <c r="D22" s="1035" t="s">
        <v>736</v>
      </c>
      <c r="E22" s="1317"/>
      <c r="F22" s="2416"/>
      <c r="G22" s="939"/>
      <c r="H22" s="1142"/>
      <c r="I22" s="1142"/>
      <c r="J22" s="1881"/>
      <c r="K22" s="1142"/>
      <c r="L22" s="1142"/>
      <c r="M22" s="1142"/>
      <c r="N22" s="1881"/>
      <c r="O22" s="1142"/>
      <c r="P22" s="1142"/>
      <c r="Q22" s="1142"/>
      <c r="R22" s="1881"/>
      <c r="S22" s="1142"/>
      <c r="T22" s="1142"/>
      <c r="U22" s="1142"/>
      <c r="V22" s="1881"/>
      <c r="W22" s="1142"/>
      <c r="X22" s="1142"/>
      <c r="Y22" s="1142"/>
      <c r="Z22" s="1881"/>
      <c r="AA22" s="1142"/>
      <c r="AB22" s="1142"/>
      <c r="AC22" s="1142"/>
      <c r="AD22" s="1881"/>
      <c r="AE22" s="1142"/>
      <c r="AF22" s="1142"/>
      <c r="AG22" s="1142"/>
      <c r="AH22" s="1881"/>
      <c r="AI22" s="1142"/>
      <c r="AJ22" s="1142"/>
      <c r="AK22" s="1142"/>
      <c r="AL22" s="1881"/>
      <c r="AM22" s="1142"/>
      <c r="AN22" s="1142"/>
      <c r="AO22" s="1142"/>
      <c r="AP22" s="1881">
        <v>0</v>
      </c>
      <c r="AQ22" s="1142">
        <v>0</v>
      </c>
      <c r="AR22" s="1142">
        <v>0</v>
      </c>
      <c r="AS22" s="1142">
        <v>0</v>
      </c>
      <c r="AT22" s="1881">
        <v>0</v>
      </c>
      <c r="AU22" s="1142">
        <v>0</v>
      </c>
      <c r="AV22" s="1142">
        <v>0</v>
      </c>
      <c r="AW22" s="1142">
        <v>0</v>
      </c>
      <c r="AX22" s="1881">
        <v>0</v>
      </c>
      <c r="AY22" s="1882">
        <v>0</v>
      </c>
      <c r="AZ22" s="1881">
        <v>0</v>
      </c>
      <c r="BA22" s="1881">
        <v>0</v>
      </c>
      <c r="BB22" s="1881">
        <v>0</v>
      </c>
      <c r="BC22" s="1882">
        <v>0</v>
      </c>
      <c r="BD22" s="1881">
        <v>0</v>
      </c>
      <c r="BE22" s="1881">
        <v>0</v>
      </c>
      <c r="BF22" s="1881">
        <v>0</v>
      </c>
      <c r="BG22" s="1367"/>
      <c r="BH22" s="1397">
        <v>0</v>
      </c>
      <c r="BI22" s="1881">
        <v>0</v>
      </c>
      <c r="BJ22" s="1142"/>
      <c r="BK22" s="1038">
        <v>0</v>
      </c>
      <c r="BL22" s="1038">
        <v>0</v>
      </c>
      <c r="BM22" s="1038">
        <v>0</v>
      </c>
      <c r="BN22" s="1038">
        <v>0</v>
      </c>
      <c r="BO22" s="1038">
        <v>0</v>
      </c>
      <c r="BP22" s="1968">
        <v>0</v>
      </c>
      <c r="BQ22" s="2003">
        <v>0</v>
      </c>
      <c r="BR22" s="2003">
        <v>0</v>
      </c>
      <c r="BS22" s="2000">
        <v>0</v>
      </c>
      <c r="BT22" s="922" t="e">
        <v>#DIV/0!</v>
      </c>
      <c r="BU22" s="2189">
        <v>0</v>
      </c>
      <c r="BV22" s="1971">
        <v>0</v>
      </c>
      <c r="BW22" s="2001">
        <v>0</v>
      </c>
      <c r="BX22" s="2001">
        <v>41618</v>
      </c>
      <c r="BY22" s="2001">
        <v>28765</v>
      </c>
      <c r="BZ22" s="1145"/>
      <c r="CA22" s="1315"/>
      <c r="CD22" s="1315"/>
    </row>
    <row r="23" spans="1:82" ht="12.75" customHeight="1" x14ac:dyDescent="0.2">
      <c r="A23" s="1197"/>
      <c r="B23" s="1193" t="s">
        <v>105</v>
      </c>
      <c r="C23" s="957">
        <v>137543</v>
      </c>
      <c r="D23" s="1035">
        <v>0.33243422881243279</v>
      </c>
      <c r="E23" s="1317"/>
      <c r="F23" s="2000">
        <v>551288</v>
      </c>
      <c r="G23" s="914">
        <v>524757</v>
      </c>
      <c r="H23" s="1006">
        <v>406789</v>
      </c>
      <c r="I23" s="1006">
        <v>403285</v>
      </c>
      <c r="J23" s="1032">
        <v>413745</v>
      </c>
      <c r="K23" s="1006">
        <v>418731</v>
      </c>
      <c r="L23" s="1006">
        <v>404929</v>
      </c>
      <c r="M23" s="1006">
        <v>405157</v>
      </c>
      <c r="N23" s="1032">
        <v>293805</v>
      </c>
      <c r="O23" s="1006">
        <v>295065</v>
      </c>
      <c r="P23" s="1006">
        <v>298009</v>
      </c>
      <c r="Q23" s="1006">
        <v>303773</v>
      </c>
      <c r="R23" s="1032">
        <v>310134</v>
      </c>
      <c r="S23" s="1006">
        <v>323936</v>
      </c>
      <c r="T23" s="1006">
        <v>345053</v>
      </c>
      <c r="U23" s="1006">
        <v>656845</v>
      </c>
      <c r="V23" s="1032">
        <v>651094</v>
      </c>
      <c r="W23" s="1006">
        <v>640456</v>
      </c>
      <c r="X23" s="1006">
        <v>635618</v>
      </c>
      <c r="Y23" s="1006">
        <v>640766</v>
      </c>
      <c r="Z23" s="1032">
        <v>641258</v>
      </c>
      <c r="AA23" s="1006">
        <v>646557</v>
      </c>
      <c r="AB23" s="1006">
        <v>637928</v>
      </c>
      <c r="AC23" s="1006">
        <v>622766</v>
      </c>
      <c r="AD23" s="1032">
        <v>617369</v>
      </c>
      <c r="AE23" s="1006">
        <v>614969</v>
      </c>
      <c r="AF23" s="1006">
        <v>629268</v>
      </c>
      <c r="AG23" s="1006">
        <v>616444</v>
      </c>
      <c r="AH23" s="1032">
        <v>617503</v>
      </c>
      <c r="AI23" s="1006">
        <v>622020</v>
      </c>
      <c r="AJ23" s="1006">
        <v>354577</v>
      </c>
      <c r="AK23" s="1006">
        <v>317320</v>
      </c>
      <c r="AL23" s="1032">
        <v>318250</v>
      </c>
      <c r="AM23" s="1006">
        <v>319180</v>
      </c>
      <c r="AN23" s="1006">
        <v>316928</v>
      </c>
      <c r="AO23" s="1006">
        <v>317858</v>
      </c>
      <c r="AP23" s="1032">
        <v>319685</v>
      </c>
      <c r="AQ23" s="1142">
        <v>0</v>
      </c>
      <c r="AR23" s="1142">
        <v>0</v>
      </c>
      <c r="AS23" s="1142">
        <v>0</v>
      </c>
      <c r="AT23" s="1881">
        <v>0</v>
      </c>
      <c r="AU23" s="1142">
        <v>0</v>
      </c>
      <c r="AV23" s="1142">
        <v>0</v>
      </c>
      <c r="AW23" s="1398">
        <v>31815</v>
      </c>
      <c r="AX23" s="1397">
        <v>32167</v>
      </c>
      <c r="AY23" s="1367">
        <v>32520</v>
      </c>
      <c r="AZ23" s="1397">
        <v>32873</v>
      </c>
      <c r="BA23" s="1397">
        <v>33227</v>
      </c>
      <c r="BB23" s="1397">
        <v>33580</v>
      </c>
      <c r="BC23" s="1367">
        <v>33933</v>
      </c>
      <c r="BD23" s="1397">
        <v>26869</v>
      </c>
      <c r="BE23" s="1397">
        <v>27222</v>
      </c>
      <c r="BF23" s="1397">
        <v>27575</v>
      </c>
      <c r="BG23" s="1367"/>
      <c r="BH23" s="1397">
        <v>524757</v>
      </c>
      <c r="BI23" s="1032">
        <v>418731</v>
      </c>
      <c r="BJ23" s="1032">
        <v>295065</v>
      </c>
      <c r="BK23" s="1038">
        <v>323936</v>
      </c>
      <c r="BL23" s="1038">
        <v>640456</v>
      </c>
      <c r="BM23" s="1038">
        <v>646557</v>
      </c>
      <c r="BN23" s="1038">
        <v>614969</v>
      </c>
      <c r="BO23" s="1038">
        <v>622020</v>
      </c>
      <c r="BP23" s="1968">
        <v>319180</v>
      </c>
      <c r="BQ23" s="2003">
        <v>0</v>
      </c>
      <c r="BR23" s="2003">
        <v>0</v>
      </c>
      <c r="BS23" s="2000">
        <v>0</v>
      </c>
      <c r="BT23" s="922" t="e">
        <v>#DIV/0!</v>
      </c>
      <c r="BU23" s="1317">
        <v>32520</v>
      </c>
      <c r="BV23" s="1317">
        <v>33933</v>
      </c>
      <c r="BW23" s="2001">
        <v>27929</v>
      </c>
      <c r="BX23" s="2001">
        <v>0</v>
      </c>
      <c r="BY23" s="2001"/>
      <c r="BZ23" s="1145"/>
      <c r="CA23" s="1315"/>
      <c r="CD23" s="1315"/>
    </row>
    <row r="24" spans="1:82" ht="12.75" customHeight="1" x14ac:dyDescent="0.2">
      <c r="A24" s="1197"/>
      <c r="B24" s="1193" t="s">
        <v>682</v>
      </c>
      <c r="C24" s="957">
        <v>110087</v>
      </c>
      <c r="D24" s="1035" t="s">
        <v>736</v>
      </c>
      <c r="E24" s="1317"/>
      <c r="F24" s="2991">
        <v>110087</v>
      </c>
      <c r="G24" s="914">
        <v>0</v>
      </c>
      <c r="H24" s="1006">
        <v>0</v>
      </c>
      <c r="I24" s="1006">
        <v>0</v>
      </c>
      <c r="J24" s="1032">
        <v>0</v>
      </c>
      <c r="K24" s="1006">
        <v>0</v>
      </c>
      <c r="L24" s="1006">
        <v>0</v>
      </c>
      <c r="M24" s="1006">
        <v>0</v>
      </c>
      <c r="N24" s="1032">
        <v>0</v>
      </c>
      <c r="O24" s="1006"/>
      <c r="P24" s="1006"/>
      <c r="Q24" s="1006"/>
      <c r="R24" s="1032"/>
      <c r="S24" s="1006"/>
      <c r="T24" s="1006"/>
      <c r="U24" s="1006"/>
      <c r="V24" s="1032"/>
      <c r="W24" s="1006"/>
      <c r="X24" s="1006"/>
      <c r="Y24" s="1006"/>
      <c r="Z24" s="1032"/>
      <c r="AA24" s="1006"/>
      <c r="AB24" s="1006"/>
      <c r="AC24" s="1006"/>
      <c r="AD24" s="1032"/>
      <c r="AE24" s="1006"/>
      <c r="AF24" s="1006"/>
      <c r="AG24" s="1006"/>
      <c r="AH24" s="1032"/>
      <c r="AI24" s="1006"/>
      <c r="AJ24" s="1006"/>
      <c r="AK24" s="1006"/>
      <c r="AL24" s="1032"/>
      <c r="AM24" s="1006"/>
      <c r="AN24" s="1006"/>
      <c r="AO24" s="1006"/>
      <c r="AP24" s="1032"/>
      <c r="AQ24" s="1142"/>
      <c r="AR24" s="1142"/>
      <c r="AS24" s="1142"/>
      <c r="AT24" s="1881"/>
      <c r="AU24" s="1142"/>
      <c r="AV24" s="1142"/>
      <c r="AW24" s="1398"/>
      <c r="AX24" s="1397"/>
      <c r="AY24" s="1367"/>
      <c r="AZ24" s="1397"/>
      <c r="BA24" s="1397"/>
      <c r="BB24" s="1397"/>
      <c r="BC24" s="1367"/>
      <c r="BD24" s="1397"/>
      <c r="BE24" s="1397"/>
      <c r="BF24" s="1397"/>
      <c r="BG24" s="1367"/>
      <c r="BH24" s="1397">
        <v>0</v>
      </c>
      <c r="BI24" s="1032">
        <v>0</v>
      </c>
      <c r="BJ24" s="1006">
        <v>0</v>
      </c>
      <c r="BK24" s="1038">
        <v>0</v>
      </c>
      <c r="BL24" s="1038">
        <v>0</v>
      </c>
      <c r="BM24" s="1038"/>
      <c r="BN24" s="1038"/>
      <c r="BO24" s="1038"/>
      <c r="BP24" s="1968"/>
      <c r="BQ24" s="2003"/>
      <c r="BR24" s="2003"/>
      <c r="BS24" s="2000"/>
      <c r="BT24" s="922"/>
      <c r="BU24" s="1317"/>
      <c r="BV24" s="1317"/>
      <c r="BW24" s="2001"/>
      <c r="BX24" s="2001"/>
      <c r="BY24" s="2001"/>
      <c r="BZ24" s="1145"/>
      <c r="CA24" s="1315"/>
      <c r="CD24" s="1315"/>
    </row>
    <row r="25" spans="1:82" s="2304" customFormat="1" ht="12.75" customHeight="1" thickBot="1" x14ac:dyDescent="0.25">
      <c r="A25" s="1197" t="s">
        <v>9</v>
      </c>
      <c r="B25" s="1197"/>
      <c r="C25" s="2969">
        <v>1136660</v>
      </c>
      <c r="D25" s="2970">
        <v>0.26923357515545371</v>
      </c>
      <c r="E25" s="1875"/>
      <c r="F25" s="1876">
        <v>5358496</v>
      </c>
      <c r="G25" s="1876">
        <v>4749294</v>
      </c>
      <c r="H25" s="1883">
        <v>3998083</v>
      </c>
      <c r="I25" s="1883">
        <v>4220131</v>
      </c>
      <c r="J25" s="1884">
        <v>4221836</v>
      </c>
      <c r="K25" s="1883">
        <v>4020736</v>
      </c>
      <c r="L25" s="1883">
        <v>3317204</v>
      </c>
      <c r="M25" s="1883">
        <v>3413398</v>
      </c>
      <c r="N25" s="1884">
        <v>3623250</v>
      </c>
      <c r="O25" s="1883">
        <v>5203516</v>
      </c>
      <c r="P25" s="1883">
        <v>2776098</v>
      </c>
      <c r="Q25" s="1883">
        <v>3960901</v>
      </c>
      <c r="R25" s="1884">
        <v>4083107</v>
      </c>
      <c r="S25" s="1883">
        <v>3424546</v>
      </c>
      <c r="T25" s="1883">
        <v>2763315</v>
      </c>
      <c r="U25" s="1883">
        <v>3981552</v>
      </c>
      <c r="V25" s="1884">
        <v>4428413</v>
      </c>
      <c r="W25" s="1883">
        <v>4369905</v>
      </c>
      <c r="X25" s="1883">
        <v>3930036</v>
      </c>
      <c r="Y25" s="1883">
        <v>4719202</v>
      </c>
      <c r="Z25" s="1884">
        <v>4371138</v>
      </c>
      <c r="AA25" s="1883">
        <v>5014622</v>
      </c>
      <c r="AB25" s="1883">
        <v>4122920</v>
      </c>
      <c r="AC25" s="1883">
        <v>4245682</v>
      </c>
      <c r="AD25" s="1884">
        <v>5327433</v>
      </c>
      <c r="AE25" s="1883">
        <v>4603502</v>
      </c>
      <c r="AF25" s="1883">
        <v>4977201</v>
      </c>
      <c r="AG25" s="1883">
        <v>5102481</v>
      </c>
      <c r="AH25" s="1884">
        <v>5105838</v>
      </c>
      <c r="AI25" s="1883">
        <v>5762723</v>
      </c>
      <c r="AJ25" s="1883">
        <v>4439877</v>
      </c>
      <c r="AK25" s="1883">
        <v>5665166</v>
      </c>
      <c r="AL25" s="1884">
        <v>4429105</v>
      </c>
      <c r="AM25" s="1883">
        <v>5097500</v>
      </c>
      <c r="AN25" s="1883">
        <v>4555884</v>
      </c>
      <c r="AO25" s="1883">
        <v>5261916</v>
      </c>
      <c r="AP25" s="1884">
        <v>3961904</v>
      </c>
      <c r="AQ25" s="1883">
        <v>3123848</v>
      </c>
      <c r="AR25" s="1883">
        <v>2583857</v>
      </c>
      <c r="AS25" s="1883">
        <v>3407005</v>
      </c>
      <c r="AT25" s="1884">
        <v>2184790</v>
      </c>
      <c r="AU25" s="1883">
        <v>2022099</v>
      </c>
      <c r="AV25" s="1885">
        <v>1679685</v>
      </c>
      <c r="AW25" s="1883">
        <v>1942070</v>
      </c>
      <c r="AX25" s="1884">
        <v>2333893</v>
      </c>
      <c r="AY25" s="1886">
        <v>2098718</v>
      </c>
      <c r="AZ25" s="1884">
        <v>1972741</v>
      </c>
      <c r="BA25" s="1884">
        <v>2525725</v>
      </c>
      <c r="BB25" s="1884">
        <v>2693627</v>
      </c>
      <c r="BC25" s="1886">
        <v>2609942</v>
      </c>
      <c r="BD25" s="1884">
        <v>1794143</v>
      </c>
      <c r="BE25" s="1884">
        <v>1665413</v>
      </c>
      <c r="BF25" s="1884">
        <v>1789397</v>
      </c>
      <c r="BG25" s="1887"/>
      <c r="BH25" s="1886">
        <v>4749294</v>
      </c>
      <c r="BI25" s="1884">
        <v>4020736</v>
      </c>
      <c r="BJ25" s="1883">
        <v>5203516</v>
      </c>
      <c r="BK25" s="1888">
        <v>3424546</v>
      </c>
      <c r="BL25" s="1888">
        <v>4369905</v>
      </c>
      <c r="BM25" s="1888">
        <v>5014622</v>
      </c>
      <c r="BN25" s="1888">
        <v>4603502</v>
      </c>
      <c r="BO25" s="1888">
        <v>5762723</v>
      </c>
      <c r="BP25" s="2191">
        <v>5097500</v>
      </c>
      <c r="BQ25" s="2191">
        <v>3123848</v>
      </c>
      <c r="BR25" s="2191">
        <v>2022099</v>
      </c>
      <c r="BS25" s="2000">
        <v>1101749</v>
      </c>
      <c r="BT25" s="922">
        <v>0.54485413424367457</v>
      </c>
      <c r="BU25" s="2190">
        <v>2098718</v>
      </c>
      <c r="BV25" s="2190">
        <v>2609942</v>
      </c>
      <c r="BW25" s="2192">
        <v>2177973</v>
      </c>
      <c r="BX25" s="2192">
        <v>1638165</v>
      </c>
      <c r="BY25" s="2192">
        <v>1508366</v>
      </c>
      <c r="BZ25" s="1324"/>
      <c r="CA25" s="1819"/>
      <c r="CD25" s="1819"/>
    </row>
    <row r="26" spans="1:82" ht="12.75" customHeight="1" thickTop="1" x14ac:dyDescent="0.2">
      <c r="A26" s="1193"/>
      <c r="B26" s="1193"/>
      <c r="C26" s="1402"/>
      <c r="D26" s="1035"/>
      <c r="E26" s="1317"/>
      <c r="F26" s="1321"/>
      <c r="G26" s="1321"/>
      <c r="H26" s="1398"/>
      <c r="I26" s="1398"/>
      <c r="J26" s="1397"/>
      <c r="K26" s="1398"/>
      <c r="L26" s="1398"/>
      <c r="M26" s="1398"/>
      <c r="N26" s="1397"/>
      <c r="O26" s="1398"/>
      <c r="P26" s="1398"/>
      <c r="Q26" s="1398"/>
      <c r="R26" s="1397"/>
      <c r="S26" s="1398"/>
      <c r="T26" s="1398"/>
      <c r="U26" s="1398"/>
      <c r="V26" s="1397"/>
      <c r="W26" s="1398"/>
      <c r="X26" s="1398"/>
      <c r="Y26" s="1398"/>
      <c r="Z26" s="1397"/>
      <c r="AA26" s="1398"/>
      <c r="AB26" s="1398"/>
      <c r="AC26" s="1398"/>
      <c r="AD26" s="1397"/>
      <c r="AE26" s="1398"/>
      <c r="AF26" s="1398"/>
      <c r="AG26" s="1398"/>
      <c r="AH26" s="1397"/>
      <c r="AI26" s="1398"/>
      <c r="AJ26" s="1398"/>
      <c r="AK26" s="1398"/>
      <c r="AL26" s="1397"/>
      <c r="AM26" s="1398"/>
      <c r="AN26" s="1398"/>
      <c r="AO26" s="1398"/>
      <c r="AP26" s="1397"/>
      <c r="AQ26" s="1398"/>
      <c r="AR26" s="1398"/>
      <c r="AS26" s="1398"/>
      <c r="AT26" s="1397"/>
      <c r="AU26" s="1398"/>
      <c r="AV26" s="1398"/>
      <c r="AW26" s="1398"/>
      <c r="AX26" s="1397"/>
      <c r="AY26" s="1367"/>
      <c r="AZ26" s="1397"/>
      <c r="BA26" s="1397"/>
      <c r="BB26" s="1397"/>
      <c r="BC26" s="1367"/>
      <c r="BD26" s="1397"/>
      <c r="BE26" s="1397"/>
      <c r="BF26" s="1397"/>
      <c r="BG26" s="1367"/>
      <c r="BH26" s="1397"/>
      <c r="BI26" s="1397"/>
      <c r="BJ26" s="1398"/>
      <c r="BK26" s="1038"/>
      <c r="BL26" s="1038"/>
      <c r="BM26" s="1038"/>
      <c r="BN26" s="1038"/>
      <c r="BO26" s="1038"/>
      <c r="BP26" s="1968"/>
      <c r="BQ26" s="926"/>
      <c r="BR26" s="926"/>
      <c r="BS26" s="2000">
        <v>0</v>
      </c>
      <c r="BT26" s="922" t="e">
        <v>#DIV/0!</v>
      </c>
      <c r="BU26" s="1317"/>
      <c r="BV26" s="1317"/>
      <c r="BW26" s="2001"/>
      <c r="BX26" s="2001"/>
      <c r="BY26" s="2001"/>
      <c r="BZ26" s="1145"/>
      <c r="CA26" s="1315"/>
      <c r="CD26" s="1315"/>
    </row>
    <row r="27" spans="1:82" ht="12.75" customHeight="1" x14ac:dyDescent="0.2">
      <c r="A27" s="1197" t="s">
        <v>248</v>
      </c>
      <c r="B27" s="1193"/>
      <c r="C27" s="1402"/>
      <c r="D27" s="1035"/>
      <c r="E27" s="1317"/>
      <c r="F27" s="1321"/>
      <c r="G27" s="1321"/>
      <c r="H27" s="1398"/>
      <c r="I27" s="1398"/>
      <c r="J27" s="1397"/>
      <c r="K27" s="1398"/>
      <c r="L27" s="1398"/>
      <c r="M27" s="1398"/>
      <c r="N27" s="1397"/>
      <c r="O27" s="1398"/>
      <c r="P27" s="1398"/>
      <c r="Q27" s="1398"/>
      <c r="R27" s="1397"/>
      <c r="S27" s="1398"/>
      <c r="T27" s="1398"/>
      <c r="U27" s="1398"/>
      <c r="V27" s="1397"/>
      <c r="W27" s="1398"/>
      <c r="X27" s="1398"/>
      <c r="Y27" s="1398"/>
      <c r="Z27" s="1397"/>
      <c r="AA27" s="1398"/>
      <c r="AB27" s="1398"/>
      <c r="AC27" s="1398"/>
      <c r="AD27" s="1397"/>
      <c r="AE27" s="1398"/>
      <c r="AF27" s="1398"/>
      <c r="AG27" s="1398"/>
      <c r="AH27" s="1397"/>
      <c r="AI27" s="1398"/>
      <c r="AJ27" s="1398"/>
      <c r="AK27" s="1398"/>
      <c r="AL27" s="1397"/>
      <c r="AM27" s="1398"/>
      <c r="AN27" s="1398"/>
      <c r="AO27" s="1398"/>
      <c r="AP27" s="1397"/>
      <c r="AQ27" s="1398"/>
      <c r="AR27" s="1398"/>
      <c r="AS27" s="1398"/>
      <c r="AT27" s="1397"/>
      <c r="AU27" s="1398"/>
      <c r="AV27" s="1398"/>
      <c r="AW27" s="1398"/>
      <c r="AX27" s="1397"/>
      <c r="AY27" s="1367"/>
      <c r="AZ27" s="1397"/>
      <c r="BA27" s="1397"/>
      <c r="BB27" s="1397"/>
      <c r="BC27" s="1367"/>
      <c r="BD27" s="1397"/>
      <c r="BE27" s="1397"/>
      <c r="BF27" s="1397"/>
      <c r="BG27" s="1367"/>
      <c r="BH27" s="1397"/>
      <c r="BI27" s="1397"/>
      <c r="BJ27" s="1398"/>
      <c r="BK27" s="1038"/>
      <c r="BL27" s="1038"/>
      <c r="BM27" s="1038"/>
      <c r="BN27" s="1038"/>
      <c r="BO27" s="1038"/>
      <c r="BP27" s="1968"/>
      <c r="BQ27" s="926"/>
      <c r="BR27" s="926"/>
      <c r="BS27" s="2000">
        <v>0</v>
      </c>
      <c r="BT27" s="922" t="e">
        <v>#DIV/0!</v>
      </c>
      <c r="BU27" s="1317"/>
      <c r="BV27" s="1317"/>
      <c r="BW27" s="2001"/>
      <c r="BX27" s="2001"/>
      <c r="BY27" s="2001"/>
      <c r="BZ27" s="1145"/>
      <c r="CA27" s="1315"/>
      <c r="CD27" s="1315"/>
    </row>
    <row r="28" spans="1:82" ht="12.75" customHeight="1" x14ac:dyDescent="0.2">
      <c r="A28" s="1193"/>
      <c r="B28" s="1193" t="s">
        <v>106</v>
      </c>
      <c r="C28" s="957">
        <v>-14526</v>
      </c>
      <c r="D28" s="1035">
        <v>-1</v>
      </c>
      <c r="E28" s="1877"/>
      <c r="F28" s="914">
        <v>0</v>
      </c>
      <c r="G28" s="914">
        <v>9639</v>
      </c>
      <c r="H28" s="1006">
        <v>5903</v>
      </c>
      <c r="I28" s="1006">
        <v>40635</v>
      </c>
      <c r="J28" s="1032">
        <v>14526</v>
      </c>
      <c r="K28" s="1006">
        <v>0</v>
      </c>
      <c r="L28" s="1006">
        <v>2767</v>
      </c>
      <c r="M28" s="1006">
        <v>27300</v>
      </c>
      <c r="N28" s="1032">
        <v>0</v>
      </c>
      <c r="O28" s="1006">
        <v>25280</v>
      </c>
      <c r="P28" s="1006">
        <v>11577</v>
      </c>
      <c r="Q28" s="1006">
        <v>49069</v>
      </c>
      <c r="R28" s="1032">
        <v>89878</v>
      </c>
      <c r="S28" s="1006">
        <v>14910</v>
      </c>
      <c r="T28" s="1006">
        <v>21491</v>
      </c>
      <c r="U28" s="1006">
        <v>21360</v>
      </c>
      <c r="V28" s="1881">
        <v>0</v>
      </c>
      <c r="W28" s="1006">
        <v>20264</v>
      </c>
      <c r="X28" s="1006">
        <v>0</v>
      </c>
      <c r="Y28" s="1006">
        <v>0</v>
      </c>
      <c r="Z28" s="1881">
        <v>0</v>
      </c>
      <c r="AA28" s="1009">
        <v>0</v>
      </c>
      <c r="AB28" s="1006">
        <v>85080</v>
      </c>
      <c r="AC28" s="1006">
        <v>83430</v>
      </c>
      <c r="AD28" s="1397">
        <v>84185</v>
      </c>
      <c r="AE28" s="1009">
        <v>66138</v>
      </c>
      <c r="AF28" s="1142">
        <v>0</v>
      </c>
      <c r="AG28" s="1006">
        <v>29475</v>
      </c>
      <c r="AH28" s="1397">
        <v>84536</v>
      </c>
      <c r="AI28" s="1398">
        <v>75141</v>
      </c>
      <c r="AJ28" s="1142">
        <v>0</v>
      </c>
      <c r="AK28" s="1142">
        <v>0</v>
      </c>
      <c r="AL28" s="1397">
        <v>24125</v>
      </c>
      <c r="AM28" s="1398">
        <v>13580</v>
      </c>
      <c r="AN28" s="1398">
        <v>34913</v>
      </c>
      <c r="AO28" s="1269">
        <v>64733</v>
      </c>
      <c r="AP28" s="1397">
        <v>82992</v>
      </c>
      <c r="AQ28" s="1398">
        <v>29435</v>
      </c>
      <c r="AR28" s="1398">
        <v>44600</v>
      </c>
      <c r="AS28" s="1269">
        <v>85600</v>
      </c>
      <c r="AT28" s="1397">
        <v>105788</v>
      </c>
      <c r="AU28" s="1398">
        <v>75600</v>
      </c>
      <c r="AV28" s="1398">
        <v>39040</v>
      </c>
      <c r="AW28" s="1269">
        <v>6854</v>
      </c>
      <c r="AX28" s="1881">
        <v>0</v>
      </c>
      <c r="AY28" s="1367">
        <v>15038</v>
      </c>
      <c r="AZ28" s="1881">
        <v>0</v>
      </c>
      <c r="BA28" s="1397">
        <v>48130</v>
      </c>
      <c r="BB28" s="1397">
        <v>2265</v>
      </c>
      <c r="BC28" s="1882">
        <v>0</v>
      </c>
      <c r="BD28" s="1881">
        <v>0</v>
      </c>
      <c r="BE28" s="1881">
        <v>0</v>
      </c>
      <c r="BF28" s="1397">
        <v>556</v>
      </c>
      <c r="BG28" s="1367"/>
      <c r="BH28" s="1032">
        <v>9639</v>
      </c>
      <c r="BI28" s="1032">
        <v>0</v>
      </c>
      <c r="BJ28" s="1006">
        <v>25280</v>
      </c>
      <c r="BK28" s="1038">
        <v>14910</v>
      </c>
      <c r="BL28" s="1038">
        <v>20264</v>
      </c>
      <c r="BM28" s="1038">
        <v>0</v>
      </c>
      <c r="BN28" s="1038">
        <v>66138</v>
      </c>
      <c r="BO28" s="1038">
        <v>75141</v>
      </c>
      <c r="BP28" s="1968">
        <v>13580</v>
      </c>
      <c r="BQ28" s="926">
        <v>29435</v>
      </c>
      <c r="BR28" s="926">
        <v>75600</v>
      </c>
      <c r="BS28" s="2000">
        <v>-46165</v>
      </c>
      <c r="BT28" s="922">
        <v>-0.61064814814814816</v>
      </c>
      <c r="BU28" s="1317">
        <v>15038</v>
      </c>
      <c r="BV28" s="1971">
        <v>0</v>
      </c>
      <c r="BW28" s="2001">
        <v>4684</v>
      </c>
      <c r="BX28" s="2001">
        <v>0</v>
      </c>
      <c r="BY28" s="2001">
        <v>2541</v>
      </c>
      <c r="BZ28" s="1145"/>
      <c r="CA28" s="1315"/>
      <c r="CD28" s="1315"/>
    </row>
    <row r="29" spans="1:82" ht="12.75" customHeight="1" x14ac:dyDescent="0.2">
      <c r="A29" s="1193"/>
      <c r="B29" s="1193" t="s">
        <v>268</v>
      </c>
      <c r="C29" s="957">
        <v>122587</v>
      </c>
      <c r="D29" s="1035">
        <v>0.29321351604114992</v>
      </c>
      <c r="E29" s="1317"/>
      <c r="F29" s="1321">
        <v>540668</v>
      </c>
      <c r="G29" s="1321">
        <v>373419</v>
      </c>
      <c r="H29" s="1398">
        <v>438348</v>
      </c>
      <c r="I29" s="1398">
        <v>409623</v>
      </c>
      <c r="J29" s="1397">
        <v>418081</v>
      </c>
      <c r="K29" s="1398">
        <v>301006</v>
      </c>
      <c r="L29" s="1398">
        <v>342754</v>
      </c>
      <c r="M29" s="1398">
        <v>316003</v>
      </c>
      <c r="N29" s="1397">
        <v>410303</v>
      </c>
      <c r="O29" s="1398">
        <v>645742</v>
      </c>
      <c r="P29" s="1398">
        <v>299508</v>
      </c>
      <c r="Q29" s="1398">
        <v>491483</v>
      </c>
      <c r="R29" s="1397">
        <v>580665</v>
      </c>
      <c r="S29" s="1398">
        <v>427435</v>
      </c>
      <c r="T29" s="1398">
        <v>400175</v>
      </c>
      <c r="U29" s="1398">
        <v>618872</v>
      </c>
      <c r="V29" s="1397">
        <v>633403</v>
      </c>
      <c r="W29" s="1398">
        <v>654639</v>
      </c>
      <c r="X29" s="1398">
        <v>839826</v>
      </c>
      <c r="Y29" s="1398">
        <v>777237</v>
      </c>
      <c r="Z29" s="1397">
        <v>564166</v>
      </c>
      <c r="AA29" s="1398">
        <v>913913</v>
      </c>
      <c r="AB29" s="1398">
        <v>816037</v>
      </c>
      <c r="AC29" s="1398">
        <v>718815</v>
      </c>
      <c r="AD29" s="1397">
        <v>1215685</v>
      </c>
      <c r="AE29" s="1398">
        <v>689020</v>
      </c>
      <c r="AF29" s="1398">
        <v>1193043</v>
      </c>
      <c r="AG29" s="1398">
        <v>847665</v>
      </c>
      <c r="AH29" s="1397">
        <v>1036535</v>
      </c>
      <c r="AI29" s="1398">
        <v>914649</v>
      </c>
      <c r="AJ29" s="1398">
        <v>952750</v>
      </c>
      <c r="AK29" s="1398">
        <v>1117268</v>
      </c>
      <c r="AL29" s="1397">
        <v>731730</v>
      </c>
      <c r="AM29" s="1398">
        <v>722613</v>
      </c>
      <c r="AN29" s="1398">
        <v>853869</v>
      </c>
      <c r="AO29" s="1398">
        <v>1236229</v>
      </c>
      <c r="AP29" s="1397">
        <v>702976</v>
      </c>
      <c r="AQ29" s="1398">
        <v>364137</v>
      </c>
      <c r="AR29" s="1398">
        <v>324877</v>
      </c>
      <c r="AS29" s="1398">
        <v>382209</v>
      </c>
      <c r="AT29" s="1397">
        <v>56318</v>
      </c>
      <c r="AU29" s="1398">
        <v>79426</v>
      </c>
      <c r="AV29" s="1398">
        <v>62151</v>
      </c>
      <c r="AW29" s="1398">
        <v>15194</v>
      </c>
      <c r="AX29" s="1397">
        <v>32227</v>
      </c>
      <c r="AY29" s="1367">
        <v>13757</v>
      </c>
      <c r="AZ29" s="1397">
        <v>96383</v>
      </c>
      <c r="BA29" s="1397">
        <v>48784</v>
      </c>
      <c r="BB29" s="1397">
        <v>85222</v>
      </c>
      <c r="BC29" s="1367">
        <v>41176</v>
      </c>
      <c r="BD29" s="1397">
        <v>54467</v>
      </c>
      <c r="BE29" s="1397">
        <v>25926</v>
      </c>
      <c r="BF29" s="1397">
        <v>109923</v>
      </c>
      <c r="BG29" s="1367"/>
      <c r="BH29" s="1032">
        <v>373419</v>
      </c>
      <c r="BI29" s="1397">
        <v>301006</v>
      </c>
      <c r="BJ29" s="1398">
        <v>645742</v>
      </c>
      <c r="BK29" s="1038">
        <v>427435</v>
      </c>
      <c r="BL29" s="1038">
        <v>654639</v>
      </c>
      <c r="BM29" s="1038">
        <v>913913</v>
      </c>
      <c r="BN29" s="1038">
        <v>689020</v>
      </c>
      <c r="BO29" s="1038">
        <v>914649</v>
      </c>
      <c r="BP29" s="1968">
        <v>722613</v>
      </c>
      <c r="BQ29" s="926">
        <v>364137</v>
      </c>
      <c r="BR29" s="926">
        <v>79426</v>
      </c>
      <c r="BS29" s="2000">
        <v>284711</v>
      </c>
      <c r="BT29" s="922">
        <v>3.5846070556241028</v>
      </c>
      <c r="BU29" s="1317">
        <v>13757</v>
      </c>
      <c r="BV29" s="1317">
        <v>41176</v>
      </c>
      <c r="BW29" s="2001">
        <v>37169</v>
      </c>
      <c r="BX29" s="2001">
        <v>105527</v>
      </c>
      <c r="BY29" s="2001">
        <v>281723</v>
      </c>
      <c r="BZ29" s="1145"/>
      <c r="CA29" s="1315"/>
      <c r="CD29" s="1315"/>
    </row>
    <row r="30" spans="1:82" s="2304" customFormat="1" ht="12.75" customHeight="1" x14ac:dyDescent="0.2">
      <c r="A30" s="1193"/>
      <c r="B30" s="1193" t="s">
        <v>238</v>
      </c>
      <c r="C30" s="957">
        <v>747633</v>
      </c>
      <c r="D30" s="1035">
        <v>0.27260296998692102</v>
      </c>
      <c r="E30" s="1317"/>
      <c r="F30" s="1321">
        <v>3490204</v>
      </c>
      <c r="G30" s="1321">
        <v>3141977</v>
      </c>
      <c r="H30" s="1398">
        <v>2426381</v>
      </c>
      <c r="I30" s="1398">
        <v>2691837</v>
      </c>
      <c r="J30" s="1397">
        <v>2742571</v>
      </c>
      <c r="K30" s="1398">
        <v>2647382</v>
      </c>
      <c r="L30" s="1398">
        <v>1982336</v>
      </c>
      <c r="M30" s="1398">
        <v>2130560</v>
      </c>
      <c r="N30" s="1397">
        <v>2383957</v>
      </c>
      <c r="O30" s="1398">
        <v>3681676</v>
      </c>
      <c r="P30" s="1398">
        <v>1648727</v>
      </c>
      <c r="Q30" s="1398">
        <v>2670764</v>
      </c>
      <c r="R30" s="1397">
        <v>2655093</v>
      </c>
      <c r="S30" s="1398">
        <v>2203858</v>
      </c>
      <c r="T30" s="1398">
        <v>1518277</v>
      </c>
      <c r="U30" s="1398">
        <v>2176283</v>
      </c>
      <c r="V30" s="1397">
        <v>2628900</v>
      </c>
      <c r="W30" s="1398">
        <v>2541956</v>
      </c>
      <c r="X30" s="1398">
        <v>1948539</v>
      </c>
      <c r="Y30" s="1398">
        <v>2756351</v>
      </c>
      <c r="Z30" s="1397">
        <v>2637409</v>
      </c>
      <c r="AA30" s="1006">
        <v>2888267</v>
      </c>
      <c r="AB30" s="1398">
        <v>2064779</v>
      </c>
      <c r="AC30" s="1398">
        <v>2317668</v>
      </c>
      <c r="AD30" s="1397">
        <v>2915765</v>
      </c>
      <c r="AE30" s="1006">
        <v>2746790</v>
      </c>
      <c r="AF30" s="1398">
        <v>2681775</v>
      </c>
      <c r="AG30" s="1398">
        <v>3150580</v>
      </c>
      <c r="AH30" s="1397">
        <v>2887434</v>
      </c>
      <c r="AI30" s="1006">
        <v>3590266</v>
      </c>
      <c r="AJ30" s="1398">
        <v>2592774</v>
      </c>
      <c r="AK30" s="1398">
        <v>3663323</v>
      </c>
      <c r="AL30" s="1397">
        <v>2802669</v>
      </c>
      <c r="AM30" s="1398">
        <v>3557275</v>
      </c>
      <c r="AN30" s="1398">
        <v>2910423</v>
      </c>
      <c r="AO30" s="1398">
        <v>3257736</v>
      </c>
      <c r="AP30" s="1397">
        <v>2483250</v>
      </c>
      <c r="AQ30" s="1398">
        <v>2308146</v>
      </c>
      <c r="AR30" s="1398">
        <v>1794123</v>
      </c>
      <c r="AS30" s="1398">
        <v>2535971</v>
      </c>
      <c r="AT30" s="1397">
        <v>1622288</v>
      </c>
      <c r="AU30" s="1398">
        <v>1469369</v>
      </c>
      <c r="AV30" s="1398">
        <v>1195533</v>
      </c>
      <c r="AW30" s="1398">
        <v>1480714</v>
      </c>
      <c r="AX30" s="1397">
        <v>1836764</v>
      </c>
      <c r="AY30" s="1367">
        <v>1687479</v>
      </c>
      <c r="AZ30" s="1397">
        <v>1461130</v>
      </c>
      <c r="BA30" s="1397">
        <v>2021498</v>
      </c>
      <c r="BB30" s="1397">
        <v>2189371</v>
      </c>
      <c r="BC30" s="1367">
        <v>2156540</v>
      </c>
      <c r="BD30" s="1397">
        <v>1380767</v>
      </c>
      <c r="BE30" s="1397">
        <v>1311248</v>
      </c>
      <c r="BF30" s="1397">
        <v>1359198</v>
      </c>
      <c r="BG30" s="1367"/>
      <c r="BH30" s="1032">
        <v>3141977</v>
      </c>
      <c r="BI30" s="1397">
        <v>2647382</v>
      </c>
      <c r="BJ30" s="1398">
        <v>3681676</v>
      </c>
      <c r="BK30" s="1038">
        <v>2203858</v>
      </c>
      <c r="BL30" s="1038">
        <v>2541956</v>
      </c>
      <c r="BM30" s="1038">
        <v>2888267</v>
      </c>
      <c r="BN30" s="1038">
        <v>2746790</v>
      </c>
      <c r="BO30" s="1038">
        <v>3590266</v>
      </c>
      <c r="BP30" s="1968">
        <v>3557275</v>
      </c>
      <c r="BQ30" s="926">
        <v>2308146</v>
      </c>
      <c r="BR30" s="926">
        <v>1469369</v>
      </c>
      <c r="BS30" s="2000">
        <v>838777</v>
      </c>
      <c r="BT30" s="922">
        <v>0.57084163338140381</v>
      </c>
      <c r="BU30" s="1317">
        <v>1687479</v>
      </c>
      <c r="BV30" s="1317">
        <v>2156540</v>
      </c>
      <c r="BW30" s="2001">
        <v>1832956</v>
      </c>
      <c r="BX30" s="2001">
        <v>1262072</v>
      </c>
      <c r="BY30" s="2001">
        <v>1048395</v>
      </c>
      <c r="BZ30" s="1324"/>
      <c r="CA30" s="1819"/>
      <c r="CD30" s="1819"/>
    </row>
    <row r="31" spans="1:82" s="2304" customFormat="1" ht="12.75" customHeight="1" x14ac:dyDescent="0.2">
      <c r="A31" s="1193"/>
      <c r="B31" s="1193" t="s">
        <v>107</v>
      </c>
      <c r="C31" s="957">
        <v>1753</v>
      </c>
      <c r="D31" s="1035">
        <v>0.46884193634661675</v>
      </c>
      <c r="E31" s="1317"/>
      <c r="F31" s="914">
        <v>5492</v>
      </c>
      <c r="G31" s="914">
        <v>5415</v>
      </c>
      <c r="H31" s="1006">
        <v>6527</v>
      </c>
      <c r="I31" s="1006">
        <v>4344</v>
      </c>
      <c r="J31" s="1032">
        <v>3739</v>
      </c>
      <c r="K31" s="1006">
        <v>7851</v>
      </c>
      <c r="L31" s="1006">
        <v>12988</v>
      </c>
      <c r="M31" s="1006">
        <v>9666</v>
      </c>
      <c r="N31" s="1032">
        <v>10394</v>
      </c>
      <c r="O31" s="1006">
        <v>10093</v>
      </c>
      <c r="P31" s="1006">
        <v>7269</v>
      </c>
      <c r="Q31" s="1006">
        <v>4957</v>
      </c>
      <c r="R31" s="1032">
        <v>4324</v>
      </c>
      <c r="S31" s="1006">
        <v>4242</v>
      </c>
      <c r="T31" s="1006">
        <v>3838</v>
      </c>
      <c r="U31" s="1006">
        <v>4014</v>
      </c>
      <c r="V31" s="1032">
        <v>4935</v>
      </c>
      <c r="W31" s="1006">
        <v>8172</v>
      </c>
      <c r="X31" s="1006">
        <v>6082</v>
      </c>
      <c r="Y31" s="1006">
        <v>11774</v>
      </c>
      <c r="Z31" s="1032">
        <v>10653</v>
      </c>
      <c r="AA31" s="1006">
        <v>10822</v>
      </c>
      <c r="AB31" s="1006">
        <v>0</v>
      </c>
      <c r="AC31" s="1142">
        <v>0</v>
      </c>
      <c r="AD31" s="1881">
        <v>0</v>
      </c>
      <c r="AE31" s="1006">
        <v>4428</v>
      </c>
      <c r="AF31" s="1006">
        <v>2494</v>
      </c>
      <c r="AG31" s="1142">
        <v>0</v>
      </c>
      <c r="AH31" s="1881">
        <v>0</v>
      </c>
      <c r="AI31" s="1006">
        <v>0</v>
      </c>
      <c r="AJ31" s="1006">
        <v>0</v>
      </c>
      <c r="AK31" s="1142">
        <v>0</v>
      </c>
      <c r="AL31" s="1881">
        <v>0</v>
      </c>
      <c r="AM31" s="1398">
        <v>23977</v>
      </c>
      <c r="AN31" s="1006">
        <v>8668</v>
      </c>
      <c r="AO31" s="1142">
        <v>0</v>
      </c>
      <c r="AP31" s="1881">
        <v>0</v>
      </c>
      <c r="AQ31" s="1398">
        <v>5385</v>
      </c>
      <c r="AR31" s="1006">
        <v>4590</v>
      </c>
      <c r="AS31" s="1142">
        <v>0</v>
      </c>
      <c r="AT31" s="1881">
        <v>0</v>
      </c>
      <c r="AU31" s="1142">
        <v>0</v>
      </c>
      <c r="AV31" s="1142">
        <v>0</v>
      </c>
      <c r="AW31" s="1142">
        <v>0</v>
      </c>
      <c r="AX31" s="1881">
        <v>0</v>
      </c>
      <c r="AY31" s="1882">
        <v>0</v>
      </c>
      <c r="AZ31" s="1881">
        <v>0</v>
      </c>
      <c r="BA31" s="1881">
        <v>0</v>
      </c>
      <c r="BB31" s="1397">
        <v>2528</v>
      </c>
      <c r="BC31" s="1367">
        <v>15035</v>
      </c>
      <c r="BD31" s="1397">
        <v>3681</v>
      </c>
      <c r="BE31" s="1397">
        <v>1150</v>
      </c>
      <c r="BF31" s="1397">
        <v>8522</v>
      </c>
      <c r="BG31" s="1367"/>
      <c r="BH31" s="1032">
        <v>5415</v>
      </c>
      <c r="BI31" s="1032">
        <v>7851</v>
      </c>
      <c r="BJ31" s="1006">
        <v>10093</v>
      </c>
      <c r="BK31" s="1038">
        <v>4242</v>
      </c>
      <c r="BL31" s="1038">
        <v>8172</v>
      </c>
      <c r="BM31" s="1038">
        <v>10822</v>
      </c>
      <c r="BN31" s="1038">
        <v>4428</v>
      </c>
      <c r="BO31" s="1038">
        <v>0</v>
      </c>
      <c r="BP31" s="1968">
        <v>23977</v>
      </c>
      <c r="BQ31" s="2003">
        <v>5385</v>
      </c>
      <c r="BR31" s="2003">
        <v>0</v>
      </c>
      <c r="BS31" s="2000">
        <v>5385</v>
      </c>
      <c r="BT31" s="922" t="e">
        <v>#DIV/0!</v>
      </c>
      <c r="BU31" s="2189">
        <v>0</v>
      </c>
      <c r="BV31" s="1317">
        <v>15035</v>
      </c>
      <c r="BW31" s="2001">
        <v>15334</v>
      </c>
      <c r="BX31" s="2001">
        <v>6737</v>
      </c>
      <c r="BY31" s="2001">
        <v>16905</v>
      </c>
      <c r="BZ31" s="1324"/>
      <c r="CA31" s="1819"/>
      <c r="CD31" s="1819"/>
    </row>
    <row r="32" spans="1:82" s="2304" customFormat="1" ht="12.75" customHeight="1" x14ac:dyDescent="0.2">
      <c r="A32" s="1193"/>
      <c r="B32" s="1193" t="s">
        <v>528</v>
      </c>
      <c r="C32" s="957">
        <v>-5909</v>
      </c>
      <c r="D32" s="1035">
        <v>-0.63998700314090762</v>
      </c>
      <c r="E32" s="1317"/>
      <c r="F32" s="914">
        <v>3324</v>
      </c>
      <c r="G32" s="914">
        <v>9294</v>
      </c>
      <c r="H32" s="1006">
        <v>9238</v>
      </c>
      <c r="I32" s="1006">
        <v>8982</v>
      </c>
      <c r="J32" s="1032">
        <v>9233</v>
      </c>
      <c r="K32" s="1006">
        <v>9679</v>
      </c>
      <c r="L32" s="1006">
        <v>4529</v>
      </c>
      <c r="M32" s="1006">
        <v>4463</v>
      </c>
      <c r="N32" s="1881">
        <v>0</v>
      </c>
      <c r="O32" s="1142">
        <v>0</v>
      </c>
      <c r="P32" s="1142">
        <v>0</v>
      </c>
      <c r="Q32" s="1142">
        <v>0</v>
      </c>
      <c r="R32" s="1881">
        <v>0</v>
      </c>
      <c r="S32" s="1142">
        <v>0</v>
      </c>
      <c r="T32" s="1142">
        <v>0</v>
      </c>
      <c r="U32" s="1142">
        <v>0</v>
      </c>
      <c r="V32" s="1881">
        <v>0</v>
      </c>
      <c r="W32" s="1142">
        <v>0</v>
      </c>
      <c r="X32" s="1142">
        <v>0</v>
      </c>
      <c r="Y32" s="1142">
        <v>0</v>
      </c>
      <c r="Z32" s="1881">
        <v>0</v>
      </c>
      <c r="AA32" s="1006">
        <v>0</v>
      </c>
      <c r="AB32" s="1142">
        <v>0</v>
      </c>
      <c r="AC32" s="1142">
        <v>0</v>
      </c>
      <c r="AD32" s="1881">
        <v>0</v>
      </c>
      <c r="AE32" s="1006">
        <v>0</v>
      </c>
      <c r="AF32" s="1142">
        <v>0</v>
      </c>
      <c r="AG32" s="1142">
        <v>0</v>
      </c>
      <c r="AH32" s="1881">
        <v>0</v>
      </c>
      <c r="AI32" s="1269">
        <v>150000</v>
      </c>
      <c r="AJ32" s="1142">
        <v>0</v>
      </c>
      <c r="AK32" s="1142">
        <v>0</v>
      </c>
      <c r="AL32" s="1881">
        <v>0</v>
      </c>
      <c r="AM32" s="1142">
        <v>0</v>
      </c>
      <c r="AN32" s="1142">
        <v>0</v>
      </c>
      <c r="AO32" s="1142">
        <v>0</v>
      </c>
      <c r="AP32" s="1881">
        <v>0</v>
      </c>
      <c r="AQ32" s="1142">
        <v>0</v>
      </c>
      <c r="AR32" s="1142"/>
      <c r="AS32" s="1142"/>
      <c r="AT32" s="1881"/>
      <c r="AU32" s="1142"/>
      <c r="AV32" s="1142"/>
      <c r="AW32" s="1142"/>
      <c r="AX32" s="1881"/>
      <c r="AY32" s="1882"/>
      <c r="AZ32" s="1881"/>
      <c r="BA32" s="1881"/>
      <c r="BB32" s="1881"/>
      <c r="BC32" s="1882"/>
      <c r="BD32" s="1881"/>
      <c r="BE32" s="1881"/>
      <c r="BF32" s="1881"/>
      <c r="BG32" s="1367"/>
      <c r="BH32" s="1032">
        <v>9294</v>
      </c>
      <c r="BI32" s="1881">
        <v>9679</v>
      </c>
      <c r="BJ32" s="1142">
        <v>0</v>
      </c>
      <c r="BK32" s="1038">
        <v>0</v>
      </c>
      <c r="BL32" s="1038">
        <v>0</v>
      </c>
      <c r="BM32" s="1038">
        <v>0</v>
      </c>
      <c r="BN32" s="1038">
        <v>0</v>
      </c>
      <c r="BO32" s="1038">
        <v>150000</v>
      </c>
      <c r="BP32" s="2003">
        <v>0</v>
      </c>
      <c r="BQ32" s="2003">
        <v>0</v>
      </c>
      <c r="BR32" s="2003">
        <v>0</v>
      </c>
      <c r="BS32" s="2000"/>
      <c r="BT32" s="922"/>
      <c r="BU32" s="2189">
        <v>0</v>
      </c>
      <c r="BV32" s="1971"/>
      <c r="BW32" s="2001"/>
      <c r="BX32" s="2001"/>
      <c r="BY32" s="2001"/>
      <c r="BZ32" s="1324"/>
      <c r="CA32" s="1819"/>
      <c r="CD32" s="1819"/>
    </row>
    <row r="33" spans="1:82" s="2304" customFormat="1" ht="12.75" customHeight="1" x14ac:dyDescent="0.2">
      <c r="A33" s="1193"/>
      <c r="B33" s="1193" t="s">
        <v>681</v>
      </c>
      <c r="C33" s="957">
        <v>22326</v>
      </c>
      <c r="D33" s="1035" t="s">
        <v>736</v>
      </c>
      <c r="E33" s="1317"/>
      <c r="F33" s="914">
        <v>22326</v>
      </c>
      <c r="G33" s="914">
        <v>0</v>
      </c>
      <c r="H33" s="914">
        <v>0</v>
      </c>
      <c r="I33" s="914">
        <v>0</v>
      </c>
      <c r="J33" s="1032">
        <v>0</v>
      </c>
      <c r="K33" s="1006">
        <v>0</v>
      </c>
      <c r="L33" s="1006">
        <v>0</v>
      </c>
      <c r="M33" s="1006">
        <v>0</v>
      </c>
      <c r="N33" s="1006">
        <v>0</v>
      </c>
      <c r="O33" s="1142"/>
      <c r="P33" s="1142"/>
      <c r="Q33" s="1142"/>
      <c r="R33" s="1881"/>
      <c r="S33" s="1142"/>
      <c r="T33" s="1142"/>
      <c r="U33" s="1142"/>
      <c r="V33" s="1881"/>
      <c r="W33" s="1142"/>
      <c r="X33" s="1142"/>
      <c r="Y33" s="1142"/>
      <c r="Z33" s="1881"/>
      <c r="AA33" s="1006"/>
      <c r="AB33" s="1142"/>
      <c r="AC33" s="1142"/>
      <c r="AD33" s="1881"/>
      <c r="AE33" s="1006"/>
      <c r="AF33" s="1142"/>
      <c r="AG33" s="1142"/>
      <c r="AH33" s="1881"/>
      <c r="AI33" s="1269"/>
      <c r="AJ33" s="1142"/>
      <c r="AK33" s="1142"/>
      <c r="AL33" s="1881"/>
      <c r="AM33" s="1142"/>
      <c r="AN33" s="1142"/>
      <c r="AO33" s="1142"/>
      <c r="AP33" s="1881"/>
      <c r="AQ33" s="1142"/>
      <c r="AR33" s="1142"/>
      <c r="AS33" s="1142"/>
      <c r="AT33" s="1881"/>
      <c r="AU33" s="1142"/>
      <c r="AV33" s="1142"/>
      <c r="AW33" s="1142"/>
      <c r="AX33" s="1881"/>
      <c r="AY33" s="1882"/>
      <c r="AZ33" s="1881"/>
      <c r="BA33" s="1881"/>
      <c r="BB33" s="1881"/>
      <c r="BC33" s="1882"/>
      <c r="BD33" s="1881"/>
      <c r="BE33" s="1881"/>
      <c r="BF33" s="1881"/>
      <c r="BG33" s="1367"/>
      <c r="BH33" s="1032">
        <v>0</v>
      </c>
      <c r="BI33" s="1881">
        <v>0</v>
      </c>
      <c r="BJ33" s="1881">
        <v>0</v>
      </c>
      <c r="BK33" s="1881">
        <v>0</v>
      </c>
      <c r="BL33" s="1881">
        <v>0</v>
      </c>
      <c r="BM33" s="1038"/>
      <c r="BN33" s="1038"/>
      <c r="BO33" s="1038"/>
      <c r="BP33" s="2003"/>
      <c r="BQ33" s="2003"/>
      <c r="BR33" s="2003"/>
      <c r="BS33" s="2000"/>
      <c r="BT33" s="922"/>
      <c r="BU33" s="2189"/>
      <c r="BV33" s="1971"/>
      <c r="BW33" s="2001"/>
      <c r="BX33" s="2001"/>
      <c r="BY33" s="2001"/>
      <c r="BZ33" s="1324"/>
      <c r="CA33" s="1819"/>
      <c r="CD33" s="1819"/>
    </row>
    <row r="34" spans="1:82" s="2304" customFormat="1" ht="12.75" customHeight="1" x14ac:dyDescent="0.2">
      <c r="A34" s="1193"/>
      <c r="B34" s="1193" t="s">
        <v>683</v>
      </c>
      <c r="C34" s="957">
        <v>29729</v>
      </c>
      <c r="D34" s="1035" t="s">
        <v>736</v>
      </c>
      <c r="E34" s="1317"/>
      <c r="F34" s="914">
        <v>29729</v>
      </c>
      <c r="G34" s="914">
        <v>0</v>
      </c>
      <c r="H34" s="914">
        <v>0</v>
      </c>
      <c r="I34" s="914">
        <v>0</v>
      </c>
      <c r="J34" s="1032">
        <v>0</v>
      </c>
      <c r="K34" s="1006">
        <v>0</v>
      </c>
      <c r="L34" s="1006">
        <v>0</v>
      </c>
      <c r="M34" s="1006">
        <v>0</v>
      </c>
      <c r="N34" s="1006">
        <v>0</v>
      </c>
      <c r="O34" s="1142"/>
      <c r="P34" s="1142"/>
      <c r="Q34" s="1142"/>
      <c r="R34" s="1881"/>
      <c r="S34" s="1142"/>
      <c r="T34" s="1142"/>
      <c r="U34" s="1142"/>
      <c r="V34" s="1881"/>
      <c r="W34" s="1142"/>
      <c r="X34" s="1142"/>
      <c r="Y34" s="1142"/>
      <c r="Z34" s="1881"/>
      <c r="AA34" s="1006"/>
      <c r="AB34" s="1142"/>
      <c r="AC34" s="1142"/>
      <c r="AD34" s="1881"/>
      <c r="AE34" s="1006"/>
      <c r="AF34" s="1142"/>
      <c r="AG34" s="1142"/>
      <c r="AH34" s="1881"/>
      <c r="AI34" s="1269"/>
      <c r="AJ34" s="1142"/>
      <c r="AK34" s="1142"/>
      <c r="AL34" s="1881"/>
      <c r="AM34" s="1142"/>
      <c r="AN34" s="1142"/>
      <c r="AO34" s="1142"/>
      <c r="AP34" s="1881"/>
      <c r="AQ34" s="1142"/>
      <c r="AR34" s="1142"/>
      <c r="AS34" s="1142"/>
      <c r="AT34" s="1881"/>
      <c r="AU34" s="1142"/>
      <c r="AV34" s="1142"/>
      <c r="AW34" s="1142"/>
      <c r="AX34" s="1881"/>
      <c r="AY34" s="1882"/>
      <c r="AZ34" s="1881"/>
      <c r="BA34" s="1881"/>
      <c r="BB34" s="1881"/>
      <c r="BC34" s="1882"/>
      <c r="BD34" s="1881"/>
      <c r="BE34" s="1881"/>
      <c r="BF34" s="1881"/>
      <c r="BG34" s="1367"/>
      <c r="BH34" s="1032">
        <v>0</v>
      </c>
      <c r="BI34" s="1881">
        <v>0</v>
      </c>
      <c r="BJ34" s="1881">
        <v>0</v>
      </c>
      <c r="BK34" s="1881">
        <v>0</v>
      </c>
      <c r="BL34" s="1881">
        <v>0</v>
      </c>
      <c r="BM34" s="1038"/>
      <c r="BN34" s="1038"/>
      <c r="BO34" s="1038"/>
      <c r="BP34" s="2003"/>
      <c r="BQ34" s="2003"/>
      <c r="BR34" s="2003"/>
      <c r="BS34" s="2000"/>
      <c r="BT34" s="922"/>
      <c r="BU34" s="2189"/>
      <c r="BV34" s="1971"/>
      <c r="BW34" s="2001"/>
      <c r="BX34" s="2001"/>
      <c r="BY34" s="2001"/>
      <c r="BZ34" s="1324"/>
      <c r="CA34" s="1819"/>
      <c r="CD34" s="1819"/>
    </row>
    <row r="35" spans="1:82" s="2304" customFormat="1" ht="12.75" customHeight="1" x14ac:dyDescent="0.2">
      <c r="A35" s="1193"/>
      <c r="B35" s="1193" t="s">
        <v>532</v>
      </c>
      <c r="C35" s="957">
        <v>-464</v>
      </c>
      <c r="D35" s="1035">
        <v>-4.5863398240585156E-2</v>
      </c>
      <c r="E35" s="1317"/>
      <c r="F35" s="914">
        <v>9653</v>
      </c>
      <c r="G35" s="914">
        <v>22225</v>
      </c>
      <c r="H35" s="1006">
        <v>9553</v>
      </c>
      <c r="I35" s="1006">
        <v>9743</v>
      </c>
      <c r="J35" s="1032">
        <v>10117</v>
      </c>
      <c r="K35" s="1006">
        <v>9997</v>
      </c>
      <c r="L35" s="1006">
        <v>9958</v>
      </c>
      <c r="M35" s="1006">
        <v>10030</v>
      </c>
      <c r="N35" s="1032">
        <v>0</v>
      </c>
      <c r="O35" s="1006">
        <v>0</v>
      </c>
      <c r="P35" s="1006">
        <v>0</v>
      </c>
      <c r="Q35" s="1006">
        <v>0</v>
      </c>
      <c r="R35" s="1032">
        <v>0</v>
      </c>
      <c r="S35" s="1006">
        <v>0</v>
      </c>
      <c r="T35" s="1006">
        <v>0</v>
      </c>
      <c r="U35" s="1006">
        <v>0</v>
      </c>
      <c r="V35" s="1032">
        <v>0</v>
      </c>
      <c r="W35" s="1006">
        <v>0</v>
      </c>
      <c r="X35" s="1006">
        <v>0</v>
      </c>
      <c r="Y35" s="1006">
        <v>0</v>
      </c>
      <c r="Z35" s="1032">
        <v>0</v>
      </c>
      <c r="AA35" s="1006">
        <v>0</v>
      </c>
      <c r="AB35" s="1006">
        <v>5988</v>
      </c>
      <c r="AC35" s="1006">
        <v>14288</v>
      </c>
      <c r="AD35" s="1032">
        <v>14218</v>
      </c>
      <c r="AE35" s="1006">
        <v>14218</v>
      </c>
      <c r="AF35" s="1006">
        <v>14218</v>
      </c>
      <c r="AG35" s="1006">
        <v>6000</v>
      </c>
      <c r="AH35" s="1881">
        <v>0</v>
      </c>
      <c r="AI35" s="1006">
        <v>0</v>
      </c>
      <c r="AJ35" s="1006">
        <v>0</v>
      </c>
      <c r="AK35" s="1142">
        <v>0</v>
      </c>
      <c r="AL35" s="1881">
        <v>0</v>
      </c>
      <c r="AM35" s="1142">
        <v>0</v>
      </c>
      <c r="AN35" s="1142">
        <v>0</v>
      </c>
      <c r="AO35" s="1142">
        <v>0</v>
      </c>
      <c r="AP35" s="1881"/>
      <c r="AQ35" s="1398"/>
      <c r="AR35" s="1006"/>
      <c r="AS35" s="1142"/>
      <c r="AT35" s="1881"/>
      <c r="AU35" s="1142"/>
      <c r="AV35" s="1142"/>
      <c r="AW35" s="1142"/>
      <c r="AX35" s="1881"/>
      <c r="AY35" s="1882"/>
      <c r="AZ35" s="1881"/>
      <c r="BA35" s="1881"/>
      <c r="BB35" s="1397"/>
      <c r="BC35" s="1367"/>
      <c r="BD35" s="1397"/>
      <c r="BE35" s="1397"/>
      <c r="BF35" s="1397"/>
      <c r="BG35" s="1367"/>
      <c r="BH35" s="1032">
        <v>22225</v>
      </c>
      <c r="BI35" s="1032">
        <v>9997</v>
      </c>
      <c r="BJ35" s="1006">
        <v>0</v>
      </c>
      <c r="BK35" s="1038">
        <v>0</v>
      </c>
      <c r="BL35" s="1038">
        <v>0</v>
      </c>
      <c r="BM35" s="1038">
        <v>0</v>
      </c>
      <c r="BN35" s="1038">
        <v>14218</v>
      </c>
      <c r="BO35" s="1038">
        <v>0</v>
      </c>
      <c r="BP35" s="2003">
        <v>0</v>
      </c>
      <c r="BQ35" s="2003">
        <v>0</v>
      </c>
      <c r="BR35" s="2003">
        <v>0</v>
      </c>
      <c r="BS35" s="2189">
        <v>0</v>
      </c>
      <c r="BT35" s="922"/>
      <c r="BU35" s="2189">
        <v>0</v>
      </c>
      <c r="BV35" s="1957"/>
      <c r="BW35" s="2001"/>
      <c r="BX35" s="2001"/>
      <c r="BY35" s="2001"/>
      <c r="BZ35" s="1324"/>
      <c r="CA35" s="1819"/>
      <c r="CD35" s="1819"/>
    </row>
    <row r="36" spans="1:82" s="2304" customFormat="1" ht="12.75" customHeight="1" x14ac:dyDescent="0.2">
      <c r="A36" s="1193"/>
      <c r="B36" s="1193" t="s">
        <v>291</v>
      </c>
      <c r="C36" s="957">
        <v>31589</v>
      </c>
      <c r="D36" s="1035">
        <v>0.61278370514064018</v>
      </c>
      <c r="E36" s="1317"/>
      <c r="F36" s="914">
        <v>83139</v>
      </c>
      <c r="G36" s="914">
        <v>108319</v>
      </c>
      <c r="H36" s="1006">
        <v>51572</v>
      </c>
      <c r="I36" s="1006">
        <v>50258</v>
      </c>
      <c r="J36" s="1032">
        <v>51550</v>
      </c>
      <c r="K36" s="1006">
        <v>49844</v>
      </c>
      <c r="L36" s="1006">
        <v>46643</v>
      </c>
      <c r="M36" s="1006">
        <v>45969</v>
      </c>
      <c r="N36" s="1032">
        <v>0</v>
      </c>
      <c r="O36" s="1006">
        <v>0</v>
      </c>
      <c r="P36" s="1006">
        <v>0</v>
      </c>
      <c r="Q36" s="1006">
        <v>0</v>
      </c>
      <c r="R36" s="1032">
        <v>0</v>
      </c>
      <c r="S36" s="1006">
        <v>0</v>
      </c>
      <c r="T36" s="1006">
        <v>0</v>
      </c>
      <c r="U36" s="1006">
        <v>0</v>
      </c>
      <c r="V36" s="1032">
        <v>0</v>
      </c>
      <c r="W36" s="1006">
        <v>0</v>
      </c>
      <c r="X36" s="1006">
        <v>0</v>
      </c>
      <c r="Y36" s="1006">
        <v>0</v>
      </c>
      <c r="Z36" s="1032">
        <v>0</v>
      </c>
      <c r="AA36" s="1006">
        <v>0</v>
      </c>
      <c r="AB36" s="1006">
        <v>5988</v>
      </c>
      <c r="AC36" s="1006">
        <v>14288</v>
      </c>
      <c r="AD36" s="1032">
        <v>14218</v>
      </c>
      <c r="AE36" s="1006">
        <v>14218</v>
      </c>
      <c r="AF36" s="1006">
        <v>14218</v>
      </c>
      <c r="AG36" s="1006">
        <v>6000</v>
      </c>
      <c r="AH36" s="1881">
        <v>0</v>
      </c>
      <c r="AI36" s="1006">
        <v>0</v>
      </c>
      <c r="AJ36" s="1006">
        <v>0</v>
      </c>
      <c r="AK36" s="1142">
        <v>0</v>
      </c>
      <c r="AL36" s="1881">
        <v>0</v>
      </c>
      <c r="AM36" s="1142">
        <v>0</v>
      </c>
      <c r="AN36" s="1142">
        <v>0</v>
      </c>
      <c r="AO36" s="1142">
        <v>0</v>
      </c>
      <c r="AP36" s="1881"/>
      <c r="AQ36" s="1398"/>
      <c r="AR36" s="1006"/>
      <c r="AS36" s="1142"/>
      <c r="AT36" s="1881"/>
      <c r="AU36" s="1142"/>
      <c r="AV36" s="1142"/>
      <c r="AW36" s="1142"/>
      <c r="AX36" s="1881"/>
      <c r="AY36" s="1882"/>
      <c r="AZ36" s="1881"/>
      <c r="BA36" s="1881"/>
      <c r="BB36" s="1397"/>
      <c r="BC36" s="1367"/>
      <c r="BD36" s="1397"/>
      <c r="BE36" s="1397"/>
      <c r="BF36" s="1397"/>
      <c r="BG36" s="1367"/>
      <c r="BH36" s="1032">
        <v>108319</v>
      </c>
      <c r="BI36" s="1032">
        <v>49844</v>
      </c>
      <c r="BJ36" s="1006">
        <v>0</v>
      </c>
      <c r="BK36" s="1038">
        <v>0</v>
      </c>
      <c r="BL36" s="1038">
        <v>0</v>
      </c>
      <c r="BM36" s="1038">
        <v>0</v>
      </c>
      <c r="BN36" s="1038">
        <v>0</v>
      </c>
      <c r="BO36" s="1038"/>
      <c r="BP36" s="1953"/>
      <c r="BQ36" s="2003"/>
      <c r="BR36" s="2003"/>
      <c r="BS36" s="2416"/>
      <c r="BT36" s="922"/>
      <c r="BU36" s="2189"/>
      <c r="BV36" s="1957"/>
      <c r="BW36" s="2001"/>
      <c r="BX36" s="2001"/>
      <c r="BY36" s="2001"/>
      <c r="BZ36" s="1324"/>
      <c r="CA36" s="1819"/>
      <c r="CD36" s="1819"/>
    </row>
    <row r="37" spans="1:82" s="2304" customFormat="1" ht="12.75" customHeight="1" x14ac:dyDescent="0.2">
      <c r="A37" s="1193"/>
      <c r="B37" s="1193" t="s">
        <v>592</v>
      </c>
      <c r="C37" s="957">
        <v>5516</v>
      </c>
      <c r="D37" s="1035" t="s">
        <v>736</v>
      </c>
      <c r="E37" s="1317"/>
      <c r="F37" s="914">
        <v>5516</v>
      </c>
      <c r="G37" s="914">
        <v>5832</v>
      </c>
      <c r="H37" s="1006">
        <v>5733</v>
      </c>
      <c r="I37" s="1006">
        <v>5594</v>
      </c>
      <c r="J37" s="1032">
        <v>0</v>
      </c>
      <c r="K37" s="1006">
        <v>0</v>
      </c>
      <c r="L37" s="1006">
        <v>0</v>
      </c>
      <c r="M37" s="1006">
        <v>0</v>
      </c>
      <c r="N37" s="1032">
        <v>0</v>
      </c>
      <c r="O37" s="1006">
        <v>0</v>
      </c>
      <c r="P37" s="1006">
        <v>0</v>
      </c>
      <c r="Q37" s="1006">
        <v>0</v>
      </c>
      <c r="R37" s="1032"/>
      <c r="S37" s="1006"/>
      <c r="T37" s="1006"/>
      <c r="U37" s="1006"/>
      <c r="V37" s="1032"/>
      <c r="W37" s="1006"/>
      <c r="X37" s="1006"/>
      <c r="Y37" s="1006"/>
      <c r="Z37" s="1032"/>
      <c r="AA37" s="1006"/>
      <c r="AB37" s="1006"/>
      <c r="AC37" s="1006"/>
      <c r="AD37" s="1032"/>
      <c r="AE37" s="1006"/>
      <c r="AF37" s="1006"/>
      <c r="AG37" s="1006"/>
      <c r="AH37" s="1881"/>
      <c r="AI37" s="1006"/>
      <c r="AJ37" s="1006"/>
      <c r="AK37" s="1142"/>
      <c r="AL37" s="1881"/>
      <c r="AM37" s="1142"/>
      <c r="AN37" s="1142"/>
      <c r="AO37" s="1142"/>
      <c r="AP37" s="1881"/>
      <c r="AQ37" s="1398"/>
      <c r="AR37" s="1006"/>
      <c r="AS37" s="1142"/>
      <c r="AT37" s="1881"/>
      <c r="AU37" s="1142"/>
      <c r="AV37" s="1142"/>
      <c r="AW37" s="1142"/>
      <c r="AX37" s="1881"/>
      <c r="AY37" s="1882"/>
      <c r="AZ37" s="1881"/>
      <c r="BA37" s="1881"/>
      <c r="BB37" s="1397"/>
      <c r="BC37" s="1367"/>
      <c r="BD37" s="1397"/>
      <c r="BE37" s="1397"/>
      <c r="BF37" s="1397"/>
      <c r="BG37" s="1367"/>
      <c r="BH37" s="1032">
        <v>5832</v>
      </c>
      <c r="BI37" s="1032">
        <v>0</v>
      </c>
      <c r="BJ37" s="1006">
        <v>0</v>
      </c>
      <c r="BK37" s="1038">
        <v>0</v>
      </c>
      <c r="BL37" s="1038">
        <v>0</v>
      </c>
      <c r="BM37" s="1038">
        <v>0</v>
      </c>
      <c r="BN37" s="1038"/>
      <c r="BO37" s="1038"/>
      <c r="BP37" s="1953"/>
      <c r="BQ37" s="2003"/>
      <c r="BR37" s="2003"/>
      <c r="BS37" s="2416"/>
      <c r="BT37" s="922"/>
      <c r="BU37" s="2189"/>
      <c r="BV37" s="1957"/>
      <c r="BW37" s="2001"/>
      <c r="BX37" s="2001"/>
      <c r="BY37" s="2001"/>
      <c r="BZ37" s="1324"/>
      <c r="CA37" s="1819"/>
      <c r="CD37" s="1819"/>
    </row>
    <row r="38" spans="1:82" s="2304" customFormat="1" ht="12.75" customHeight="1" x14ac:dyDescent="0.2">
      <c r="A38" s="1193"/>
      <c r="B38" s="1193" t="s">
        <v>680</v>
      </c>
      <c r="C38" s="957">
        <v>97675</v>
      </c>
      <c r="D38" s="1035" t="s">
        <v>736</v>
      </c>
      <c r="E38" s="1317"/>
      <c r="F38" s="914">
        <v>97675</v>
      </c>
      <c r="G38" s="914">
        <v>0</v>
      </c>
      <c r="H38" s="1006">
        <v>0</v>
      </c>
      <c r="I38" s="1006">
        <v>0</v>
      </c>
      <c r="J38" s="1032">
        <v>0</v>
      </c>
      <c r="K38" s="1006">
        <v>0</v>
      </c>
      <c r="L38" s="1006">
        <v>0</v>
      </c>
      <c r="M38" s="1006">
        <v>0</v>
      </c>
      <c r="N38" s="1032">
        <v>0</v>
      </c>
      <c r="O38" s="1006"/>
      <c r="P38" s="1006"/>
      <c r="Q38" s="1006"/>
      <c r="R38" s="1032"/>
      <c r="S38" s="1006"/>
      <c r="T38" s="1006"/>
      <c r="U38" s="1006"/>
      <c r="V38" s="1032"/>
      <c r="W38" s="1006"/>
      <c r="X38" s="1006"/>
      <c r="Y38" s="1006"/>
      <c r="Z38" s="1032"/>
      <c r="AA38" s="1006"/>
      <c r="AB38" s="1006"/>
      <c r="AC38" s="1006"/>
      <c r="AD38" s="1032"/>
      <c r="AE38" s="1006"/>
      <c r="AF38" s="1006"/>
      <c r="AG38" s="1006"/>
      <c r="AH38" s="1881"/>
      <c r="AI38" s="1006"/>
      <c r="AJ38" s="1006"/>
      <c r="AK38" s="1142"/>
      <c r="AL38" s="1881"/>
      <c r="AM38" s="1142"/>
      <c r="AN38" s="1142"/>
      <c r="AO38" s="1142"/>
      <c r="AP38" s="1881"/>
      <c r="AQ38" s="1398"/>
      <c r="AR38" s="1006"/>
      <c r="AS38" s="1142"/>
      <c r="AT38" s="1881"/>
      <c r="AU38" s="1142"/>
      <c r="AV38" s="1142"/>
      <c r="AW38" s="1142"/>
      <c r="AX38" s="1881"/>
      <c r="AY38" s="1882"/>
      <c r="AZ38" s="1881"/>
      <c r="BA38" s="1881"/>
      <c r="BB38" s="1397"/>
      <c r="BC38" s="1367"/>
      <c r="BD38" s="1397"/>
      <c r="BE38" s="1397"/>
      <c r="BF38" s="1397"/>
      <c r="BG38" s="1367"/>
      <c r="BH38" s="1032">
        <v>0</v>
      </c>
      <c r="BI38" s="1032">
        <v>0</v>
      </c>
      <c r="BJ38" s="1006">
        <v>0</v>
      </c>
      <c r="BK38" s="1038">
        <v>0</v>
      </c>
      <c r="BL38" s="1038">
        <v>0</v>
      </c>
      <c r="BM38" s="1038"/>
      <c r="BN38" s="1038"/>
      <c r="BO38" s="1038"/>
      <c r="BP38" s="1953"/>
      <c r="BQ38" s="2003"/>
      <c r="BR38" s="2003"/>
      <c r="BS38" s="2416"/>
      <c r="BT38" s="922"/>
      <c r="BU38" s="2189"/>
      <c r="BV38" s="1957"/>
      <c r="BW38" s="2001"/>
      <c r="BX38" s="2001"/>
      <c r="BY38" s="2001"/>
      <c r="BZ38" s="1324"/>
      <c r="CA38" s="1819"/>
      <c r="CD38" s="1819"/>
    </row>
    <row r="39" spans="1:82" s="2304" customFormat="1" ht="12.75" customHeight="1" x14ac:dyDescent="0.2">
      <c r="A39" s="1193"/>
      <c r="B39" s="1193" t="s">
        <v>666</v>
      </c>
      <c r="C39" s="957">
        <v>1662</v>
      </c>
      <c r="D39" s="1035" t="s">
        <v>736</v>
      </c>
      <c r="E39" s="1317"/>
      <c r="F39" s="914">
        <v>1662</v>
      </c>
      <c r="G39" s="914">
        <v>1741</v>
      </c>
      <c r="H39" s="1006">
        <v>0</v>
      </c>
      <c r="I39" s="1006">
        <v>0</v>
      </c>
      <c r="J39" s="1032">
        <v>0</v>
      </c>
      <c r="K39" s="1006">
        <v>0</v>
      </c>
      <c r="L39" s="1006">
        <v>0</v>
      </c>
      <c r="M39" s="1006">
        <v>0</v>
      </c>
      <c r="N39" s="1032">
        <v>0</v>
      </c>
      <c r="O39" s="1006">
        <v>0</v>
      </c>
      <c r="P39" s="1006"/>
      <c r="Q39" s="1006"/>
      <c r="R39" s="1032"/>
      <c r="S39" s="1006"/>
      <c r="T39" s="1006"/>
      <c r="U39" s="1006"/>
      <c r="V39" s="1032"/>
      <c r="W39" s="1006"/>
      <c r="X39" s="1006"/>
      <c r="Y39" s="1006"/>
      <c r="Z39" s="1032"/>
      <c r="AA39" s="1006"/>
      <c r="AB39" s="1006"/>
      <c r="AC39" s="1006"/>
      <c r="AD39" s="1032"/>
      <c r="AE39" s="1006"/>
      <c r="AF39" s="1006"/>
      <c r="AG39" s="1006"/>
      <c r="AH39" s="1881"/>
      <c r="AI39" s="1006"/>
      <c r="AJ39" s="1006"/>
      <c r="AK39" s="1142"/>
      <c r="AL39" s="1881"/>
      <c r="AM39" s="1142"/>
      <c r="AN39" s="1142"/>
      <c r="AO39" s="1142"/>
      <c r="AP39" s="1881"/>
      <c r="AQ39" s="1398"/>
      <c r="AR39" s="1006"/>
      <c r="AS39" s="1142"/>
      <c r="AT39" s="1881"/>
      <c r="AU39" s="1142"/>
      <c r="AV39" s="1142"/>
      <c r="AW39" s="1142"/>
      <c r="AX39" s="1881"/>
      <c r="AY39" s="1882"/>
      <c r="AZ39" s="1881"/>
      <c r="BA39" s="1881"/>
      <c r="BB39" s="1397"/>
      <c r="BC39" s="1367"/>
      <c r="BD39" s="1397"/>
      <c r="BE39" s="1397"/>
      <c r="BF39" s="1397"/>
      <c r="BG39" s="1367"/>
      <c r="BH39" s="1032">
        <v>1741</v>
      </c>
      <c r="BI39" s="1032">
        <v>0</v>
      </c>
      <c r="BJ39" s="1006">
        <v>0</v>
      </c>
      <c r="BK39" s="1038">
        <v>0</v>
      </c>
      <c r="BL39" s="1038">
        <v>0</v>
      </c>
      <c r="BM39" s="1038"/>
      <c r="BN39" s="1038"/>
      <c r="BO39" s="1038"/>
      <c r="BP39" s="1953"/>
      <c r="BQ39" s="2003"/>
      <c r="BR39" s="2003"/>
      <c r="BS39" s="2416"/>
      <c r="BT39" s="922"/>
      <c r="BU39" s="2189"/>
      <c r="BV39" s="1957"/>
      <c r="BW39" s="2001"/>
      <c r="BX39" s="2001"/>
      <c r="BY39" s="2001"/>
      <c r="BZ39" s="1324"/>
      <c r="CA39" s="1819"/>
      <c r="CD39" s="1819"/>
    </row>
    <row r="40" spans="1:82" s="2304" customFormat="1" ht="12.75" customHeight="1" x14ac:dyDescent="0.2">
      <c r="A40" s="1193"/>
      <c r="B40" s="1193" t="s">
        <v>529</v>
      </c>
      <c r="C40" s="957">
        <v>22061</v>
      </c>
      <c r="D40" s="1035">
        <v>0.37385822501652288</v>
      </c>
      <c r="E40" s="1317"/>
      <c r="F40" s="914">
        <v>81070</v>
      </c>
      <c r="G40" s="914">
        <v>50370</v>
      </c>
      <c r="H40" s="1006">
        <v>54596</v>
      </c>
      <c r="I40" s="1006">
        <v>53003</v>
      </c>
      <c r="J40" s="1032">
        <v>59009</v>
      </c>
      <c r="K40" s="1006">
        <v>61758</v>
      </c>
      <c r="L40" s="1006">
        <v>62230</v>
      </c>
      <c r="M40" s="1006">
        <v>61244</v>
      </c>
      <c r="N40" s="1032">
        <v>0</v>
      </c>
      <c r="O40" s="1006">
        <v>0</v>
      </c>
      <c r="P40" s="1006">
        <v>0</v>
      </c>
      <c r="Q40" s="1006">
        <v>0</v>
      </c>
      <c r="R40" s="1032">
        <v>0</v>
      </c>
      <c r="S40" s="1006">
        <v>0</v>
      </c>
      <c r="T40" s="1006">
        <v>0</v>
      </c>
      <c r="U40" s="1006">
        <v>0</v>
      </c>
      <c r="V40" s="1032">
        <v>0</v>
      </c>
      <c r="W40" s="1006">
        <v>0</v>
      </c>
      <c r="X40" s="1006">
        <v>0</v>
      </c>
      <c r="Y40" s="1006">
        <v>0</v>
      </c>
      <c r="Z40" s="1032">
        <v>0</v>
      </c>
      <c r="AA40" s="1006">
        <v>0</v>
      </c>
      <c r="AB40" s="1006">
        <v>5988</v>
      </c>
      <c r="AC40" s="1006">
        <v>14288</v>
      </c>
      <c r="AD40" s="1032">
        <v>14218</v>
      </c>
      <c r="AE40" s="1006">
        <v>14218</v>
      </c>
      <c r="AF40" s="1006">
        <v>14218</v>
      </c>
      <c r="AG40" s="1006">
        <v>6000</v>
      </c>
      <c r="AH40" s="1881">
        <v>0</v>
      </c>
      <c r="AI40" s="1006">
        <v>0</v>
      </c>
      <c r="AJ40" s="1006">
        <v>0</v>
      </c>
      <c r="AK40" s="1142">
        <v>0</v>
      </c>
      <c r="AL40" s="1881">
        <v>0</v>
      </c>
      <c r="AM40" s="1142">
        <v>0</v>
      </c>
      <c r="AN40" s="1142">
        <v>0</v>
      </c>
      <c r="AO40" s="1142">
        <v>0</v>
      </c>
      <c r="AP40" s="1881"/>
      <c r="AQ40" s="1398"/>
      <c r="AR40" s="1006"/>
      <c r="AS40" s="1142"/>
      <c r="AT40" s="1881"/>
      <c r="AU40" s="1142"/>
      <c r="AV40" s="1142"/>
      <c r="AW40" s="1142"/>
      <c r="AX40" s="1881"/>
      <c r="AY40" s="1882"/>
      <c r="AZ40" s="1881"/>
      <c r="BA40" s="1881"/>
      <c r="BB40" s="1397"/>
      <c r="BC40" s="1367"/>
      <c r="BD40" s="1397"/>
      <c r="BE40" s="1397"/>
      <c r="BF40" s="1397"/>
      <c r="BG40" s="1367"/>
      <c r="BH40" s="1032">
        <v>50370</v>
      </c>
      <c r="BI40" s="1032">
        <v>61758</v>
      </c>
      <c r="BJ40" s="1006">
        <v>0</v>
      </c>
      <c r="BK40" s="1038">
        <v>0</v>
      </c>
      <c r="BL40" s="1038">
        <v>0</v>
      </c>
      <c r="BM40" s="1038">
        <v>0</v>
      </c>
      <c r="BN40" s="1038">
        <v>0</v>
      </c>
      <c r="BO40" s="1038"/>
      <c r="BP40" s="1953"/>
      <c r="BQ40" s="2003"/>
      <c r="BR40" s="2003"/>
      <c r="BS40" s="2416"/>
      <c r="BT40" s="922"/>
      <c r="BU40" s="2189"/>
      <c r="BV40" s="1957"/>
      <c r="BW40" s="2001"/>
      <c r="BX40" s="2001"/>
      <c r="BY40" s="2001"/>
      <c r="BZ40" s="1324"/>
      <c r="CA40" s="1819"/>
      <c r="CD40" s="1819"/>
    </row>
    <row r="41" spans="1:82" s="2304" customFormat="1" ht="12.75" customHeight="1" x14ac:dyDescent="0.2">
      <c r="A41" s="1193"/>
      <c r="B41" s="1193" t="s">
        <v>269</v>
      </c>
      <c r="C41" s="957">
        <v>-2372</v>
      </c>
      <c r="D41" s="1035">
        <v>-0.17655377744696688</v>
      </c>
      <c r="E41" s="1317"/>
      <c r="F41" s="914">
        <v>11063</v>
      </c>
      <c r="G41" s="914">
        <v>7978</v>
      </c>
      <c r="H41" s="1006">
        <v>14264</v>
      </c>
      <c r="I41" s="1006">
        <v>11848</v>
      </c>
      <c r="J41" s="1032">
        <v>13435</v>
      </c>
      <c r="K41" s="1006">
        <v>13715</v>
      </c>
      <c r="L41" s="1006">
        <v>10220</v>
      </c>
      <c r="M41" s="1006">
        <v>10170</v>
      </c>
      <c r="N41" s="1032">
        <v>141</v>
      </c>
      <c r="O41" s="1006">
        <v>140</v>
      </c>
      <c r="P41" s="1006">
        <v>0</v>
      </c>
      <c r="Q41" s="1006">
        <v>208</v>
      </c>
      <c r="R41" s="1032">
        <v>77</v>
      </c>
      <c r="S41" s="1006">
        <v>450</v>
      </c>
      <c r="T41" s="1006">
        <v>3842</v>
      </c>
      <c r="U41" s="1006">
        <v>6177</v>
      </c>
      <c r="V41" s="1032">
        <v>6622</v>
      </c>
      <c r="W41" s="1006">
        <v>2057</v>
      </c>
      <c r="X41" s="1006">
        <v>3029</v>
      </c>
      <c r="Y41" s="1006">
        <v>1899</v>
      </c>
      <c r="Z41" s="1032">
        <v>4796</v>
      </c>
      <c r="AA41" s="1006">
        <v>3028</v>
      </c>
      <c r="AB41" s="1006">
        <v>4530</v>
      </c>
      <c r="AC41" s="1006">
        <v>1493</v>
      </c>
      <c r="AD41" s="1032">
        <v>1711</v>
      </c>
      <c r="AE41" s="1006">
        <v>2576</v>
      </c>
      <c r="AF41" s="1006">
        <v>3575</v>
      </c>
      <c r="AG41" s="1006">
        <v>3872</v>
      </c>
      <c r="AH41" s="1032">
        <v>7482</v>
      </c>
      <c r="AI41" s="1006">
        <v>8088</v>
      </c>
      <c r="AJ41" s="1006">
        <v>8840</v>
      </c>
      <c r="AK41" s="1006">
        <v>6082</v>
      </c>
      <c r="AL41" s="1032">
        <v>7340</v>
      </c>
      <c r="AM41" s="1006">
        <v>8163</v>
      </c>
      <c r="AN41" s="1006">
        <v>8285</v>
      </c>
      <c r="AO41" s="1006">
        <v>7688</v>
      </c>
      <c r="AP41" s="1032">
        <v>6690</v>
      </c>
      <c r="AQ41" s="1142">
        <v>0</v>
      </c>
      <c r="AR41" s="1142">
        <v>0</v>
      </c>
      <c r="AS41" s="1142">
        <v>0</v>
      </c>
      <c r="AT41" s="1881">
        <v>0</v>
      </c>
      <c r="AU41" s="1142">
        <v>0</v>
      </c>
      <c r="AV41" s="1142">
        <v>0</v>
      </c>
      <c r="AW41" s="1142">
        <v>0</v>
      </c>
      <c r="AX41" s="1881">
        <v>0</v>
      </c>
      <c r="AY41" s="1882">
        <v>0</v>
      </c>
      <c r="AZ41" s="1881">
        <v>0</v>
      </c>
      <c r="BA41" s="1881">
        <v>0</v>
      </c>
      <c r="BB41" s="1881">
        <v>0</v>
      </c>
      <c r="BC41" s="1882">
        <v>0</v>
      </c>
      <c r="BD41" s="1881">
        <v>0</v>
      </c>
      <c r="BE41" s="1881">
        <v>0</v>
      </c>
      <c r="BF41" s="1881">
        <v>0</v>
      </c>
      <c r="BG41" s="1367"/>
      <c r="BH41" s="1032">
        <v>7978</v>
      </c>
      <c r="BI41" s="1032">
        <v>13715</v>
      </c>
      <c r="BJ41" s="1006">
        <v>140</v>
      </c>
      <c r="BK41" s="1038">
        <v>450</v>
      </c>
      <c r="BL41" s="1038">
        <v>2057</v>
      </c>
      <c r="BM41" s="1038">
        <v>3028</v>
      </c>
      <c r="BN41" s="1038">
        <v>2576</v>
      </c>
      <c r="BO41" s="1038">
        <v>8088</v>
      </c>
      <c r="BP41" s="1968">
        <v>8163</v>
      </c>
      <c r="BQ41" s="2003">
        <v>0</v>
      </c>
      <c r="BR41" s="2003">
        <v>0</v>
      </c>
      <c r="BS41" s="2000">
        <v>0</v>
      </c>
      <c r="BT41" s="922" t="e">
        <v>#DIV/0!</v>
      </c>
      <c r="BU41" s="2189">
        <v>0</v>
      </c>
      <c r="BV41" s="1971">
        <v>0</v>
      </c>
      <c r="BW41" s="2001">
        <v>0</v>
      </c>
      <c r="BX41" s="2001">
        <v>0</v>
      </c>
      <c r="BY41" s="2001">
        <v>973</v>
      </c>
      <c r="BZ41" s="1324"/>
      <c r="CA41" s="1819"/>
      <c r="CD41" s="1819"/>
    </row>
    <row r="42" spans="1:82" s="2304" customFormat="1" ht="12.75" customHeight="1" x14ac:dyDescent="0.2">
      <c r="A42" s="1193"/>
      <c r="B42" s="1193" t="s">
        <v>108</v>
      </c>
      <c r="C42" s="957">
        <v>0</v>
      </c>
      <c r="D42" s="1035">
        <v>0</v>
      </c>
      <c r="E42" s="1317"/>
      <c r="F42" s="1321">
        <v>7500</v>
      </c>
      <c r="G42" s="1321">
        <v>7500</v>
      </c>
      <c r="H42" s="1398">
        <v>7500</v>
      </c>
      <c r="I42" s="1398">
        <v>7500</v>
      </c>
      <c r="J42" s="1397">
        <v>7500</v>
      </c>
      <c r="K42" s="1398">
        <v>7500</v>
      </c>
      <c r="L42" s="1398">
        <v>7500</v>
      </c>
      <c r="M42" s="1398">
        <v>7500</v>
      </c>
      <c r="N42" s="1397">
        <v>7500</v>
      </c>
      <c r="O42" s="1398">
        <v>7500</v>
      </c>
      <c r="P42" s="1398">
        <v>7500</v>
      </c>
      <c r="Q42" s="1398">
        <v>7500</v>
      </c>
      <c r="R42" s="1397">
        <v>7500</v>
      </c>
      <c r="S42" s="1398">
        <v>15000</v>
      </c>
      <c r="T42" s="1398">
        <v>15000</v>
      </c>
      <c r="U42" s="1398">
        <v>15000</v>
      </c>
      <c r="V42" s="1397">
        <v>15000</v>
      </c>
      <c r="W42" s="1398">
        <v>15000</v>
      </c>
      <c r="X42" s="1398">
        <v>15000</v>
      </c>
      <c r="Y42" s="1398">
        <v>15000</v>
      </c>
      <c r="Z42" s="1397">
        <v>15000</v>
      </c>
      <c r="AA42" s="1398">
        <v>15000</v>
      </c>
      <c r="AB42" s="1398">
        <v>15000</v>
      </c>
      <c r="AC42" s="1398">
        <v>15000</v>
      </c>
      <c r="AD42" s="1397">
        <v>15000</v>
      </c>
      <c r="AE42" s="1398">
        <v>15000</v>
      </c>
      <c r="AF42" s="1398">
        <v>15000</v>
      </c>
      <c r="AG42" s="1398">
        <v>15000</v>
      </c>
      <c r="AH42" s="1397">
        <v>15000</v>
      </c>
      <c r="AI42" s="1398">
        <v>15000</v>
      </c>
      <c r="AJ42" s="1398">
        <v>15000</v>
      </c>
      <c r="AK42" s="1398">
        <v>15000</v>
      </c>
      <c r="AL42" s="1397">
        <v>15000</v>
      </c>
      <c r="AM42" s="1398">
        <v>15000</v>
      </c>
      <c r="AN42" s="1398">
        <v>15000</v>
      </c>
      <c r="AO42" s="1398">
        <v>15000</v>
      </c>
      <c r="AP42" s="1397">
        <v>15000</v>
      </c>
      <c r="AQ42" s="1398">
        <v>15000</v>
      </c>
      <c r="AR42" s="1398">
        <v>15000</v>
      </c>
      <c r="AS42" s="1398">
        <v>15000</v>
      </c>
      <c r="AT42" s="1397">
        <v>15000</v>
      </c>
      <c r="AU42" s="1398">
        <v>25000</v>
      </c>
      <c r="AV42" s="1398">
        <v>25000</v>
      </c>
      <c r="AW42" s="1398">
        <v>25000</v>
      </c>
      <c r="AX42" s="1397">
        <v>25000</v>
      </c>
      <c r="AY42" s="1367">
        <v>25000</v>
      </c>
      <c r="AZ42" s="1397">
        <v>25000</v>
      </c>
      <c r="BA42" s="1397">
        <v>25000</v>
      </c>
      <c r="BB42" s="1397">
        <v>25000</v>
      </c>
      <c r="BC42" s="1367">
        <v>25000</v>
      </c>
      <c r="BD42" s="1881">
        <v>0</v>
      </c>
      <c r="BE42" s="1881">
        <v>0</v>
      </c>
      <c r="BF42" s="1881">
        <v>0</v>
      </c>
      <c r="BG42" s="1367"/>
      <c r="BH42" s="1032">
        <v>7500</v>
      </c>
      <c r="BI42" s="1397">
        <v>7500</v>
      </c>
      <c r="BJ42" s="1398">
        <v>7500</v>
      </c>
      <c r="BK42" s="1038">
        <v>15000</v>
      </c>
      <c r="BL42" s="1038">
        <v>15000</v>
      </c>
      <c r="BM42" s="1038">
        <v>15000</v>
      </c>
      <c r="BN42" s="1038">
        <v>15000</v>
      </c>
      <c r="BO42" s="1038">
        <v>15000</v>
      </c>
      <c r="BP42" s="1968">
        <v>15000</v>
      </c>
      <c r="BQ42" s="926">
        <v>15000</v>
      </c>
      <c r="BR42" s="926">
        <v>25000</v>
      </c>
      <c r="BS42" s="2000">
        <v>-10000</v>
      </c>
      <c r="BT42" s="922">
        <v>-0.4</v>
      </c>
      <c r="BU42" s="1317">
        <v>25000</v>
      </c>
      <c r="BV42" s="1317">
        <v>25000</v>
      </c>
      <c r="BW42" s="2001">
        <v>0</v>
      </c>
      <c r="BX42" s="2001">
        <v>0</v>
      </c>
      <c r="BY42" s="2001">
        <v>10000</v>
      </c>
      <c r="BZ42" s="1324"/>
      <c r="CA42" s="1819"/>
      <c r="CD42" s="1819"/>
    </row>
    <row r="43" spans="1:82" s="2304" customFormat="1" ht="12.75" customHeight="1" x14ac:dyDescent="0.2">
      <c r="A43" s="1193"/>
      <c r="B43" s="1193" t="s">
        <v>403</v>
      </c>
      <c r="C43" s="957">
        <v>70243</v>
      </c>
      <c r="D43" s="1035">
        <v>1.2269733969152299</v>
      </c>
      <c r="E43" s="1317"/>
      <c r="F43" s="1321">
        <v>127492</v>
      </c>
      <c r="G43" s="1321">
        <v>127225</v>
      </c>
      <c r="H43" s="1398">
        <v>126964</v>
      </c>
      <c r="I43" s="1398">
        <v>126707</v>
      </c>
      <c r="J43" s="1397">
        <v>57249</v>
      </c>
      <c r="K43" s="1398">
        <v>57081</v>
      </c>
      <c r="L43" s="1398">
        <v>56916</v>
      </c>
      <c r="M43" s="1398">
        <v>56755</v>
      </c>
      <c r="N43" s="1397">
        <v>56597</v>
      </c>
      <c r="O43" s="1398">
        <v>56442</v>
      </c>
      <c r="P43" s="1398">
        <v>56263</v>
      </c>
      <c r="Q43" s="1398"/>
      <c r="R43" s="1397"/>
      <c r="S43" s="1398"/>
      <c r="T43" s="1398"/>
      <c r="U43" s="1398"/>
      <c r="V43" s="1397"/>
      <c r="W43" s="1398"/>
      <c r="X43" s="1398"/>
      <c r="Y43" s="1398"/>
      <c r="Z43" s="1397"/>
      <c r="AA43" s="1398"/>
      <c r="AB43" s="1398"/>
      <c r="AC43" s="1398"/>
      <c r="AD43" s="1397"/>
      <c r="AE43" s="1398"/>
      <c r="AF43" s="1398"/>
      <c r="AG43" s="1398"/>
      <c r="AH43" s="1397"/>
      <c r="AI43" s="1398"/>
      <c r="AJ43" s="1398"/>
      <c r="AK43" s="1398"/>
      <c r="AL43" s="1397"/>
      <c r="AM43" s="1398"/>
      <c r="AN43" s="1398"/>
      <c r="AO43" s="1398"/>
      <c r="AP43" s="1397"/>
      <c r="AQ43" s="1398"/>
      <c r="AR43" s="1398"/>
      <c r="AS43" s="1398"/>
      <c r="AT43" s="1397"/>
      <c r="AU43" s="1398"/>
      <c r="AV43" s="1398"/>
      <c r="AW43" s="1398"/>
      <c r="AX43" s="1397"/>
      <c r="AY43" s="1367"/>
      <c r="AZ43" s="1397"/>
      <c r="BA43" s="1397"/>
      <c r="BB43" s="1397"/>
      <c r="BC43" s="1367"/>
      <c r="BD43" s="1881"/>
      <c r="BE43" s="1881"/>
      <c r="BF43" s="1881"/>
      <c r="BG43" s="1367"/>
      <c r="BH43" s="1032">
        <v>127225</v>
      </c>
      <c r="BI43" s="1397">
        <v>57081</v>
      </c>
      <c r="BJ43" s="1398">
        <v>56442</v>
      </c>
      <c r="BK43" s="1038">
        <v>0</v>
      </c>
      <c r="BL43" s="1038">
        <v>0</v>
      </c>
      <c r="BM43" s="1038">
        <v>0</v>
      </c>
      <c r="BN43" s="1038"/>
      <c r="BO43" s="1038"/>
      <c r="BP43" s="1968"/>
      <c r="BQ43" s="926"/>
      <c r="BR43" s="926"/>
      <c r="BS43" s="2000"/>
      <c r="BT43" s="922"/>
      <c r="BU43" s="1317"/>
      <c r="BV43" s="1957"/>
      <c r="BW43" s="2001"/>
      <c r="BX43" s="2001"/>
      <c r="BY43" s="2001"/>
      <c r="BZ43" s="1324"/>
      <c r="CA43" s="1819"/>
      <c r="CD43" s="1819"/>
    </row>
    <row r="44" spans="1:82" s="2304" customFormat="1" ht="12.75" customHeight="1" x14ac:dyDescent="0.2">
      <c r="A44" s="1193"/>
      <c r="B44" s="1193" t="s">
        <v>622</v>
      </c>
      <c r="C44" s="957">
        <v>-12963</v>
      </c>
      <c r="D44" s="1035">
        <v>-0.84953142407759352</v>
      </c>
      <c r="E44" s="1317"/>
      <c r="F44" s="914">
        <v>2296</v>
      </c>
      <c r="G44" s="914">
        <v>1997</v>
      </c>
      <c r="H44" s="1006">
        <v>2338</v>
      </c>
      <c r="I44" s="1006">
        <v>2004</v>
      </c>
      <c r="J44" s="1032">
        <v>15259</v>
      </c>
      <c r="K44" s="1006">
        <v>13571</v>
      </c>
      <c r="L44" s="1006">
        <v>12031</v>
      </c>
      <c r="M44" s="1006">
        <v>13354</v>
      </c>
      <c r="N44" s="1032">
        <v>12481</v>
      </c>
      <c r="O44" s="1006">
        <v>11858</v>
      </c>
      <c r="P44" s="1006">
        <v>9651</v>
      </c>
      <c r="Q44" s="1006">
        <v>8992</v>
      </c>
      <c r="R44" s="1032">
        <v>9892</v>
      </c>
      <c r="S44" s="1006">
        <v>8722</v>
      </c>
      <c r="T44" s="1006">
        <v>11481</v>
      </c>
      <c r="U44" s="1006">
        <v>11361</v>
      </c>
      <c r="V44" s="1032">
        <v>11584</v>
      </c>
      <c r="W44" s="1006">
        <v>10275</v>
      </c>
      <c r="X44" s="1006">
        <v>9608</v>
      </c>
      <c r="Y44" s="1006">
        <v>15130</v>
      </c>
      <c r="Z44" s="1032">
        <v>15821</v>
      </c>
      <c r="AA44" s="1006">
        <v>14912</v>
      </c>
      <c r="AB44" s="1006">
        <v>12110</v>
      </c>
      <c r="AC44" s="1006">
        <v>12375</v>
      </c>
      <c r="AD44" s="1032">
        <v>12244</v>
      </c>
      <c r="AE44" s="1006">
        <v>16169</v>
      </c>
      <c r="AF44" s="1006">
        <v>15913</v>
      </c>
      <c r="AG44" s="1006">
        <v>16047</v>
      </c>
      <c r="AH44" s="1032">
        <v>16882</v>
      </c>
      <c r="AI44" s="1006">
        <v>17454</v>
      </c>
      <c r="AJ44" s="1006">
        <v>18218</v>
      </c>
      <c r="AK44" s="1142">
        <v>0</v>
      </c>
      <c r="AL44" s="1881">
        <v>0</v>
      </c>
      <c r="AM44" s="1142">
        <v>0</v>
      </c>
      <c r="AN44" s="1142">
        <v>0</v>
      </c>
      <c r="AO44" s="1142">
        <v>0</v>
      </c>
      <c r="AP44" s="1881">
        <v>0</v>
      </c>
      <c r="AQ44" s="1142">
        <v>0</v>
      </c>
      <c r="AR44" s="1142">
        <v>0</v>
      </c>
      <c r="AS44" s="1398"/>
      <c r="AT44" s="1397"/>
      <c r="AU44" s="1398"/>
      <c r="AV44" s="1398"/>
      <c r="AW44" s="1398"/>
      <c r="AX44" s="1397"/>
      <c r="AY44" s="1367"/>
      <c r="AZ44" s="1397"/>
      <c r="BA44" s="1397"/>
      <c r="BB44" s="1397"/>
      <c r="BC44" s="1367"/>
      <c r="BD44" s="1881"/>
      <c r="BE44" s="1881"/>
      <c r="BF44" s="1881"/>
      <c r="BG44" s="1367"/>
      <c r="BH44" s="1032">
        <v>1997</v>
      </c>
      <c r="BI44" s="1032">
        <v>13571</v>
      </c>
      <c r="BJ44" s="1006">
        <v>11858</v>
      </c>
      <c r="BK44" s="1038">
        <v>8722</v>
      </c>
      <c r="BL44" s="1038">
        <v>10275</v>
      </c>
      <c r="BM44" s="1038">
        <v>14912</v>
      </c>
      <c r="BN44" s="1038">
        <v>16169</v>
      </c>
      <c r="BO44" s="1038">
        <v>17454</v>
      </c>
      <c r="BP44" s="1953">
        <v>0</v>
      </c>
      <c r="BQ44" s="2003">
        <v>0</v>
      </c>
      <c r="BR44" s="2003">
        <v>0</v>
      </c>
      <c r="BS44" s="2000">
        <v>0</v>
      </c>
      <c r="BT44" s="922" t="e">
        <v>#DIV/0!</v>
      </c>
      <c r="BU44" s="2189">
        <v>0</v>
      </c>
      <c r="BV44" s="1971">
        <v>0</v>
      </c>
      <c r="BW44" s="2001"/>
      <c r="BX44" s="2001"/>
      <c r="BY44" s="2001"/>
      <c r="BZ44" s="1324"/>
      <c r="CA44" s="1819"/>
      <c r="CD44" s="1819"/>
    </row>
    <row r="45" spans="1:82" s="2304" customFormat="1" ht="12.75" customHeight="1" x14ac:dyDescent="0.2">
      <c r="A45" s="1193"/>
      <c r="B45" s="1193" t="s">
        <v>109</v>
      </c>
      <c r="C45" s="957">
        <v>20120</v>
      </c>
      <c r="D45" s="1035">
        <v>2.4549548725119483E-2</v>
      </c>
      <c r="E45" s="1317"/>
      <c r="F45" s="1321">
        <v>839687</v>
      </c>
      <c r="G45" s="1321">
        <v>876363</v>
      </c>
      <c r="H45" s="1398">
        <v>839166</v>
      </c>
      <c r="I45" s="1398">
        <v>798053</v>
      </c>
      <c r="J45" s="1397">
        <v>819567</v>
      </c>
      <c r="K45" s="1398">
        <v>841352</v>
      </c>
      <c r="L45" s="1398">
        <v>766332</v>
      </c>
      <c r="M45" s="1398">
        <v>720384</v>
      </c>
      <c r="N45" s="1397">
        <v>741877</v>
      </c>
      <c r="O45" s="1398">
        <v>764785</v>
      </c>
      <c r="P45" s="1398">
        <v>735603</v>
      </c>
      <c r="Q45" s="1398">
        <v>727928</v>
      </c>
      <c r="R45" s="1397">
        <v>735678</v>
      </c>
      <c r="S45" s="1398">
        <v>749929</v>
      </c>
      <c r="T45" s="1398">
        <v>789211</v>
      </c>
      <c r="U45" s="1398">
        <v>1128485</v>
      </c>
      <c r="V45" s="1397">
        <v>1127969</v>
      </c>
      <c r="W45" s="1398">
        <v>1117542</v>
      </c>
      <c r="X45" s="1398">
        <v>1107952</v>
      </c>
      <c r="Y45" s="1398">
        <v>1141811</v>
      </c>
      <c r="Z45" s="1397">
        <v>1123293</v>
      </c>
      <c r="AA45" s="1398">
        <v>1168680</v>
      </c>
      <c r="AB45" s="1398">
        <v>1119396</v>
      </c>
      <c r="AC45" s="1398">
        <v>1082613</v>
      </c>
      <c r="AD45" s="1397">
        <v>1068625</v>
      </c>
      <c r="AE45" s="1398">
        <v>1049163</v>
      </c>
      <c r="AF45" s="1398">
        <v>1051183</v>
      </c>
      <c r="AG45" s="1398">
        <v>1033842</v>
      </c>
      <c r="AH45" s="1397">
        <v>1057969</v>
      </c>
      <c r="AI45" s="1398">
        <v>992125</v>
      </c>
      <c r="AJ45" s="1398">
        <v>852295</v>
      </c>
      <c r="AK45" s="1398">
        <v>863493</v>
      </c>
      <c r="AL45" s="1397">
        <v>848241</v>
      </c>
      <c r="AM45" s="1398">
        <v>756892</v>
      </c>
      <c r="AN45" s="1398">
        <v>724726</v>
      </c>
      <c r="AO45" s="1398">
        <v>680530</v>
      </c>
      <c r="AP45" s="1397">
        <v>670996</v>
      </c>
      <c r="AQ45" s="1398">
        <v>401745</v>
      </c>
      <c r="AR45" s="1398">
        <v>400667</v>
      </c>
      <c r="AS45" s="1398">
        <v>388225</v>
      </c>
      <c r="AT45" s="1397">
        <v>385396</v>
      </c>
      <c r="AU45" s="1398">
        <v>372704</v>
      </c>
      <c r="AV45" s="1398">
        <v>357961</v>
      </c>
      <c r="AW45" s="1398">
        <v>414308</v>
      </c>
      <c r="AX45" s="1397">
        <v>439902</v>
      </c>
      <c r="AY45" s="1367">
        <v>357444</v>
      </c>
      <c r="AZ45" s="1397">
        <v>390228</v>
      </c>
      <c r="BA45" s="1397">
        <v>382313</v>
      </c>
      <c r="BB45" s="1397">
        <v>389241</v>
      </c>
      <c r="BC45" s="1367">
        <v>372191</v>
      </c>
      <c r="BD45" s="1397">
        <v>355228</v>
      </c>
      <c r="BE45" s="1397">
        <v>327089</v>
      </c>
      <c r="BF45" s="1397">
        <v>311198</v>
      </c>
      <c r="BG45" s="1367"/>
      <c r="BH45" s="1032">
        <v>876363</v>
      </c>
      <c r="BI45" s="1397">
        <v>841352</v>
      </c>
      <c r="BJ45" s="1398">
        <v>764785</v>
      </c>
      <c r="BK45" s="1038">
        <v>749929</v>
      </c>
      <c r="BL45" s="1038">
        <v>1117542</v>
      </c>
      <c r="BM45" s="1038">
        <v>1168680</v>
      </c>
      <c r="BN45" s="1038">
        <v>1049163</v>
      </c>
      <c r="BO45" s="1038">
        <v>992125</v>
      </c>
      <c r="BP45" s="1968">
        <v>756892</v>
      </c>
      <c r="BQ45" s="926">
        <v>401745</v>
      </c>
      <c r="BR45" s="926">
        <v>372704</v>
      </c>
      <c r="BS45" s="2000">
        <v>29041</v>
      </c>
      <c r="BT45" s="922">
        <v>7.7919743281531728E-2</v>
      </c>
      <c r="BU45" s="1317">
        <v>357444</v>
      </c>
      <c r="BV45" s="1317">
        <v>372191</v>
      </c>
      <c r="BW45" s="2001">
        <v>287830</v>
      </c>
      <c r="BX45" s="2001">
        <v>222211</v>
      </c>
      <c r="BY45" s="2001">
        <v>98687</v>
      </c>
      <c r="BZ45" s="1324"/>
      <c r="CA45" s="1819"/>
      <c r="CD45" s="1819"/>
    </row>
    <row r="46" spans="1:82" s="2304" customFormat="1" ht="12.75" customHeight="1" thickBot="1" x14ac:dyDescent="0.25">
      <c r="A46" s="1197" t="s">
        <v>247</v>
      </c>
      <c r="B46" s="1197"/>
      <c r="C46" s="2969">
        <v>1136660</v>
      </c>
      <c r="D46" s="2970">
        <v>0.26923357515545371</v>
      </c>
      <c r="E46" s="1875"/>
      <c r="F46" s="1876">
        <v>5358496</v>
      </c>
      <c r="G46" s="1876">
        <v>4749294</v>
      </c>
      <c r="H46" s="1883">
        <v>3998083</v>
      </c>
      <c r="I46" s="1883">
        <v>4220131</v>
      </c>
      <c r="J46" s="1884">
        <v>4221836</v>
      </c>
      <c r="K46" s="1883">
        <v>4020736</v>
      </c>
      <c r="L46" s="1883">
        <v>3317204</v>
      </c>
      <c r="M46" s="1883">
        <v>3413398</v>
      </c>
      <c r="N46" s="1884">
        <v>3623250</v>
      </c>
      <c r="O46" s="1883">
        <v>5203516</v>
      </c>
      <c r="P46" s="1883">
        <v>2776098</v>
      </c>
      <c r="Q46" s="1883">
        <v>3960901</v>
      </c>
      <c r="R46" s="1884">
        <v>4083107</v>
      </c>
      <c r="S46" s="1883">
        <v>3424546</v>
      </c>
      <c r="T46" s="1883">
        <v>2763315</v>
      </c>
      <c r="U46" s="1883">
        <v>3981552</v>
      </c>
      <c r="V46" s="1884">
        <v>4428413</v>
      </c>
      <c r="W46" s="1883">
        <v>4369905</v>
      </c>
      <c r="X46" s="1883">
        <v>3930036</v>
      </c>
      <c r="Y46" s="1883">
        <v>4719202</v>
      </c>
      <c r="Z46" s="1884">
        <v>4371138</v>
      </c>
      <c r="AA46" s="1883">
        <v>5014622</v>
      </c>
      <c r="AB46" s="1883">
        <v>4122920</v>
      </c>
      <c r="AC46" s="1883">
        <v>4274258</v>
      </c>
      <c r="AD46" s="1884">
        <v>5355869</v>
      </c>
      <c r="AE46" s="1883">
        <v>4631938</v>
      </c>
      <c r="AF46" s="1883">
        <v>5005637</v>
      </c>
      <c r="AG46" s="1883">
        <v>5114481</v>
      </c>
      <c r="AH46" s="1884">
        <v>5105838</v>
      </c>
      <c r="AI46" s="1883">
        <v>5762723</v>
      </c>
      <c r="AJ46" s="1883">
        <v>4439877</v>
      </c>
      <c r="AK46" s="1883">
        <v>5665166</v>
      </c>
      <c r="AL46" s="1884">
        <v>4429105</v>
      </c>
      <c r="AM46" s="1883">
        <v>5097500</v>
      </c>
      <c r="AN46" s="1883">
        <v>4555884</v>
      </c>
      <c r="AO46" s="1883">
        <v>5261916</v>
      </c>
      <c r="AP46" s="1884">
        <v>3961904</v>
      </c>
      <c r="AQ46" s="1883">
        <v>3123848</v>
      </c>
      <c r="AR46" s="1883">
        <v>2583857</v>
      </c>
      <c r="AS46" s="1883">
        <v>3407005</v>
      </c>
      <c r="AT46" s="1884">
        <v>2184790</v>
      </c>
      <c r="AU46" s="1883">
        <v>2022099</v>
      </c>
      <c r="AV46" s="1883">
        <v>1679685</v>
      </c>
      <c r="AW46" s="1883">
        <v>1942070</v>
      </c>
      <c r="AX46" s="1884">
        <v>2333893</v>
      </c>
      <c r="AY46" s="1886">
        <v>2098718</v>
      </c>
      <c r="AZ46" s="1884">
        <v>1972741</v>
      </c>
      <c r="BA46" s="1884">
        <v>2525725</v>
      </c>
      <c r="BB46" s="1884">
        <v>2693627</v>
      </c>
      <c r="BC46" s="1886">
        <v>2609942</v>
      </c>
      <c r="BD46" s="1884">
        <v>1794143</v>
      </c>
      <c r="BE46" s="1884">
        <v>1665413</v>
      </c>
      <c r="BF46" s="1884">
        <v>1789397</v>
      </c>
      <c r="BG46" s="1887"/>
      <c r="BH46" s="1884">
        <v>4749294</v>
      </c>
      <c r="BI46" s="1884">
        <v>4020736</v>
      </c>
      <c r="BJ46" s="1883">
        <v>5203516</v>
      </c>
      <c r="BK46" s="1888">
        <v>3424546</v>
      </c>
      <c r="BL46" s="1888">
        <v>4369905</v>
      </c>
      <c r="BM46" s="1888">
        <v>5014622</v>
      </c>
      <c r="BN46" s="1888">
        <v>4603502</v>
      </c>
      <c r="BO46" s="1888">
        <v>5762723</v>
      </c>
      <c r="BP46" s="2193">
        <v>5097500</v>
      </c>
      <c r="BQ46" s="2191">
        <v>3123848</v>
      </c>
      <c r="BR46" s="2191">
        <v>2022099</v>
      </c>
      <c r="BS46" s="2000">
        <v>1101749</v>
      </c>
      <c r="BT46" s="922">
        <v>0.54485413424367457</v>
      </c>
      <c r="BU46" s="2190">
        <v>2098718</v>
      </c>
      <c r="BV46" s="2190">
        <v>2609942</v>
      </c>
      <c r="BW46" s="2192">
        <v>2177973</v>
      </c>
      <c r="BX46" s="2192">
        <v>1638165</v>
      </c>
      <c r="BY46" s="2192">
        <v>1508366</v>
      </c>
      <c r="BZ46" s="2014"/>
      <c r="CA46" s="1819"/>
      <c r="CD46" s="1819"/>
    </row>
    <row r="47" spans="1:82" ht="12.75" customHeight="1" thickTop="1" x14ac:dyDescent="0.2">
      <c r="A47" s="1201"/>
      <c r="B47" s="1201"/>
      <c r="C47" s="1009"/>
      <c r="D47" s="952"/>
      <c r="E47" s="908"/>
      <c r="F47" s="908"/>
      <c r="G47" s="908"/>
      <c r="H47" s="952"/>
      <c r="I47" s="952"/>
      <c r="J47" s="952"/>
      <c r="K47" s="952"/>
      <c r="L47" s="952"/>
      <c r="M47" s="952"/>
      <c r="N47" s="952"/>
      <c r="O47" s="952"/>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c r="AS47" s="952"/>
      <c r="AT47" s="952"/>
      <c r="AU47" s="952"/>
      <c r="AV47" s="952"/>
      <c r="AW47" s="952"/>
      <c r="AX47" s="1890"/>
      <c r="AY47" s="1890"/>
      <c r="AZ47" s="1890"/>
      <c r="BA47" s="1890"/>
      <c r="BB47" s="1890"/>
      <c r="BC47" s="1890"/>
      <c r="BD47" s="1890"/>
      <c r="BE47" s="1890"/>
      <c r="BF47" s="1890"/>
      <c r="BG47" s="1807"/>
      <c r="BH47" s="1205"/>
      <c r="BI47" s="1807"/>
      <c r="BJ47" s="1807"/>
      <c r="BK47" s="1807"/>
      <c r="BL47" s="1807"/>
      <c r="BM47" s="1442"/>
      <c r="BN47" s="1442"/>
      <c r="BO47" s="1442"/>
      <c r="BP47" s="1334"/>
      <c r="BQ47" s="1334"/>
      <c r="BR47" s="1334"/>
      <c r="BS47" s="916"/>
      <c r="BT47" s="908"/>
      <c r="BU47" s="1144"/>
      <c r="BV47" s="1144"/>
      <c r="BW47" s="1144"/>
      <c r="BX47" s="1144"/>
      <c r="BY47" s="1144"/>
      <c r="BZ47" s="1145"/>
      <c r="CA47" s="1315"/>
      <c r="CD47" s="1315"/>
    </row>
    <row r="48" spans="1:82" ht="12.75" customHeight="1" x14ac:dyDescent="0.2">
      <c r="A48" s="946" t="s">
        <v>357</v>
      </c>
      <c r="B48" s="972"/>
      <c r="F48" s="1315"/>
      <c r="G48" s="1315"/>
      <c r="H48" s="1357"/>
      <c r="U48" s="1311"/>
      <c r="V48" s="1311"/>
      <c r="W48" s="1311"/>
      <c r="X48" s="1311"/>
      <c r="Y48" s="1311"/>
      <c r="Z48" s="1311"/>
      <c r="AA48" s="1311"/>
      <c r="AB48" s="1311"/>
      <c r="AC48" s="1311"/>
      <c r="AD48" s="1311"/>
      <c r="AE48" s="1311"/>
      <c r="AF48" s="1311"/>
      <c r="AG48" s="1311"/>
      <c r="AH48" s="1311"/>
      <c r="AI48" s="1311"/>
      <c r="AJ48" s="1311"/>
      <c r="AK48" s="1311"/>
      <c r="AL48" s="1311"/>
      <c r="AM48" s="1311"/>
      <c r="AN48" s="1311"/>
      <c r="AO48" s="1311"/>
      <c r="AP48" s="1311"/>
      <c r="AQ48" s="1065"/>
      <c r="AR48" s="1065"/>
      <c r="AS48" s="1065"/>
      <c r="AT48" s="1065"/>
      <c r="AU48" s="1065"/>
      <c r="AV48" s="1065"/>
      <c r="AW48" s="1065"/>
      <c r="AX48" s="1311"/>
      <c r="AY48" s="2728"/>
      <c r="AZ48" s="2728"/>
      <c r="BA48" s="2728"/>
      <c r="BB48" s="1311"/>
      <c r="BC48" s="2728"/>
      <c r="BD48" s="1311"/>
      <c r="BE48" s="1311"/>
      <c r="BF48" s="2758"/>
      <c r="BG48" s="2759"/>
      <c r="BH48" s="2759"/>
      <c r="BI48" s="2759"/>
      <c r="BJ48" s="2759"/>
      <c r="BK48" s="2759"/>
      <c r="BL48" s="2759"/>
      <c r="BM48" s="2760"/>
      <c r="BN48" s="2760"/>
      <c r="BO48" s="2760"/>
      <c r="BP48" s="2761"/>
      <c r="BQ48" s="2761"/>
      <c r="BR48" s="2761"/>
      <c r="BS48" s="1961"/>
      <c r="BT48" s="1961"/>
      <c r="BY48" s="1315"/>
      <c r="BZ48" s="1315"/>
      <c r="CA48" s="1315"/>
    </row>
    <row r="49" spans="1:79" x14ac:dyDescent="0.2">
      <c r="A49" s="971" t="s">
        <v>28</v>
      </c>
      <c r="B49" s="1184"/>
      <c r="C49" s="1442"/>
      <c r="D49" s="1442"/>
      <c r="E49" s="1334"/>
      <c r="F49" s="1334"/>
      <c r="G49" s="1334"/>
      <c r="H49" s="2929"/>
      <c r="I49" s="2763"/>
      <c r="J49" s="2763"/>
      <c r="K49" s="2763"/>
      <c r="L49" s="1077"/>
      <c r="M49" s="2763"/>
      <c r="N49" s="2763"/>
      <c r="O49" s="2763"/>
      <c r="P49" s="2763"/>
      <c r="Q49" s="2763"/>
      <c r="R49" s="2763"/>
      <c r="S49" s="2763"/>
      <c r="T49" s="2763"/>
      <c r="U49" s="1065"/>
      <c r="V49" s="1065"/>
      <c r="W49" s="1065"/>
      <c r="X49" s="1065"/>
      <c r="Y49" s="1065"/>
      <c r="Z49" s="1065"/>
      <c r="AA49" s="1065"/>
      <c r="AB49" s="1065"/>
      <c r="AC49" s="1065"/>
      <c r="AD49" s="1065"/>
      <c r="AE49" s="1065"/>
      <c r="AF49" s="1065"/>
      <c r="AG49" s="1065"/>
      <c r="AH49" s="1065"/>
      <c r="AI49" s="1065"/>
      <c r="AJ49" s="1065"/>
      <c r="AK49" s="1065"/>
      <c r="AL49" s="1065"/>
      <c r="AM49" s="1065"/>
      <c r="AN49" s="1065"/>
      <c r="AO49" s="1065"/>
      <c r="AP49" s="1065"/>
      <c r="AQ49" s="1065"/>
      <c r="AR49" s="1065"/>
      <c r="AS49" s="1065"/>
      <c r="AT49" s="1065"/>
      <c r="AU49" s="1065"/>
      <c r="AV49" s="1065"/>
      <c r="AW49" s="1065"/>
      <c r="AX49" s="1077"/>
      <c r="AY49" s="1077"/>
      <c r="AZ49" s="1077"/>
      <c r="BA49" s="2728"/>
      <c r="BB49" s="1077"/>
      <c r="BC49" s="2733"/>
      <c r="BD49" s="2733"/>
      <c r="BE49" s="1077"/>
      <c r="BF49" s="1065"/>
      <c r="BG49" s="2759"/>
      <c r="BH49" s="2759"/>
      <c r="BI49" s="2759"/>
      <c r="BJ49" s="2759"/>
      <c r="BK49" s="2759"/>
      <c r="BL49" s="2759"/>
      <c r="BM49" s="2760"/>
      <c r="BN49" s="2760"/>
      <c r="BO49" s="2760"/>
      <c r="BP49" s="2761"/>
      <c r="BQ49" s="2761"/>
      <c r="BR49" s="2761"/>
      <c r="BS49" s="2762"/>
      <c r="BT49" s="2762"/>
      <c r="BU49" s="1961"/>
      <c r="BV49" s="1961"/>
      <c r="BY49" s="1315"/>
      <c r="BZ49" s="1315"/>
      <c r="CA49" s="1315"/>
    </row>
    <row r="50" spans="1:79" x14ac:dyDescent="0.2">
      <c r="A50" s="941"/>
      <c r="C50" s="1193"/>
      <c r="D50" s="1193"/>
      <c r="E50" s="1153"/>
      <c r="F50" s="1246"/>
      <c r="G50" s="1246"/>
      <c r="H50" s="1246"/>
      <c r="I50" s="1246"/>
      <c r="J50" s="1924"/>
      <c r="K50" s="1246"/>
      <c r="L50" s="1924"/>
      <c r="M50" s="1924"/>
      <c r="N50" s="1924"/>
      <c r="O50" s="1924"/>
      <c r="P50" s="1924"/>
      <c r="Q50" s="1924"/>
      <c r="R50" s="1924"/>
      <c r="S50" s="1924"/>
      <c r="T50" s="1924"/>
      <c r="U50" s="1077"/>
      <c r="V50" s="1077"/>
      <c r="W50" s="1077"/>
      <c r="X50" s="1077"/>
      <c r="Y50" s="1077"/>
      <c r="Z50" s="1077"/>
      <c r="AA50" s="1077"/>
      <c r="AB50" s="1077"/>
      <c r="AC50" s="1077"/>
      <c r="AD50" s="1077"/>
      <c r="AE50" s="1077"/>
      <c r="AF50" s="1077"/>
      <c r="AG50" s="1077"/>
      <c r="AH50" s="1077"/>
      <c r="AI50" s="1077"/>
      <c r="AJ50" s="1077"/>
      <c r="AK50" s="1077"/>
      <c r="AL50" s="1077"/>
      <c r="AM50" s="1077"/>
      <c r="AN50" s="1077"/>
      <c r="AO50" s="1077"/>
      <c r="AP50" s="1077"/>
      <c r="AQ50" s="1077"/>
      <c r="AR50" s="1077"/>
      <c r="AS50" s="1077"/>
      <c r="AT50" s="1077"/>
      <c r="AU50" s="1077"/>
      <c r="AV50" s="1077"/>
      <c r="AW50" s="1077"/>
      <c r="AX50" s="1065"/>
      <c r="AY50" s="2759"/>
      <c r="AZ50" s="2759"/>
      <c r="BA50" s="2759"/>
      <c r="BB50" s="1065"/>
      <c r="BC50" s="1065"/>
      <c r="BD50" s="1065"/>
      <c r="BE50" s="1065"/>
      <c r="BF50" s="1077"/>
      <c r="BG50" s="1289"/>
      <c r="BH50" s="1289"/>
      <c r="BI50" s="1289"/>
      <c r="BJ50" s="1289"/>
      <c r="BK50" s="1289"/>
      <c r="BL50" s="1289"/>
      <c r="BM50" s="1450"/>
      <c r="BN50" s="1450"/>
      <c r="BO50" s="1450"/>
      <c r="BP50" s="2755"/>
      <c r="BQ50" s="2755"/>
      <c r="BR50" s="2755"/>
      <c r="BS50" s="2755"/>
      <c r="BT50" s="2755">
        <v>1072708</v>
      </c>
      <c r="BU50" s="1929"/>
      <c r="BV50" s="1929"/>
      <c r="BY50" s="1315"/>
      <c r="BZ50" s="1315"/>
      <c r="CA50" s="1315"/>
    </row>
    <row r="51" spans="1:79" x14ac:dyDescent="0.2">
      <c r="A51" s="946" t="s">
        <v>709</v>
      </c>
      <c r="C51" s="1193"/>
      <c r="D51" s="1193"/>
      <c r="E51" s="1153"/>
      <c r="F51" s="1246"/>
      <c r="G51" s="1246"/>
      <c r="H51" s="1246"/>
      <c r="I51" s="1246"/>
      <c r="J51" s="1924"/>
      <c r="K51" s="1246"/>
      <c r="L51" s="1924"/>
      <c r="M51" s="1924"/>
      <c r="N51" s="1924"/>
      <c r="O51" s="1924"/>
      <c r="P51" s="1924"/>
      <c r="Q51" s="1924"/>
      <c r="R51" s="1924"/>
      <c r="S51" s="1924"/>
      <c r="T51" s="1924"/>
      <c r="U51" s="1077"/>
      <c r="V51" s="1077"/>
      <c r="W51" s="1077"/>
      <c r="X51" s="1077"/>
      <c r="Y51" s="1077"/>
      <c r="Z51" s="1077"/>
      <c r="AA51" s="1077"/>
      <c r="AB51" s="1077"/>
      <c r="AC51" s="1077"/>
      <c r="AD51" s="1077"/>
      <c r="AE51" s="1077"/>
      <c r="AF51" s="1077"/>
      <c r="AG51" s="1077"/>
      <c r="AH51" s="1077"/>
      <c r="AI51" s="1077"/>
      <c r="AJ51" s="1077"/>
      <c r="AK51" s="1077"/>
      <c r="AL51" s="1077"/>
      <c r="AM51" s="1077"/>
      <c r="AN51" s="1077"/>
      <c r="AO51" s="1077"/>
      <c r="AP51" s="1077"/>
      <c r="AQ51" s="1077"/>
      <c r="AR51" s="1077"/>
      <c r="AS51" s="1077"/>
      <c r="AT51" s="1077"/>
      <c r="AU51" s="1077"/>
      <c r="AV51" s="1077"/>
      <c r="AW51" s="1077"/>
      <c r="AX51" s="1065"/>
      <c r="AY51" s="2759"/>
      <c r="AZ51" s="2759"/>
      <c r="BA51" s="2759"/>
      <c r="BB51" s="1065"/>
      <c r="BC51" s="1065"/>
      <c r="BD51" s="1065"/>
      <c r="BE51" s="1065"/>
      <c r="BF51" s="1077"/>
      <c r="BG51" s="1289"/>
      <c r="BH51" s="1289"/>
      <c r="BI51" s="1289"/>
      <c r="BJ51" s="1289"/>
      <c r="BK51" s="1289"/>
      <c r="BL51" s="1289"/>
      <c r="BM51" s="1450"/>
      <c r="BN51" s="1450"/>
      <c r="BO51" s="1450"/>
      <c r="BP51" s="2755"/>
      <c r="BQ51" s="2755"/>
      <c r="BR51" s="2755"/>
      <c r="BS51" s="2755"/>
      <c r="BT51" s="2755"/>
      <c r="BU51" s="1929"/>
      <c r="BV51" s="1929"/>
      <c r="BY51" s="1315"/>
      <c r="BZ51" s="1315"/>
      <c r="CA51" s="1315"/>
    </row>
    <row r="52" spans="1:79" x14ac:dyDescent="0.2">
      <c r="C52" s="1193"/>
      <c r="D52" s="1193"/>
      <c r="E52" s="1153"/>
      <c r="F52" s="1246"/>
      <c r="G52" s="1246"/>
      <c r="H52" s="1246"/>
      <c r="I52" s="1246"/>
      <c r="J52" s="1924"/>
      <c r="K52" s="1246"/>
      <c r="L52" s="1924"/>
      <c r="M52" s="1924"/>
      <c r="N52" s="1924"/>
      <c r="O52" s="1924"/>
      <c r="P52" s="1924"/>
      <c r="Q52" s="1924"/>
      <c r="R52" s="1924"/>
      <c r="S52" s="1924"/>
      <c r="T52" s="1924"/>
      <c r="U52" s="1077"/>
      <c r="V52" s="1077"/>
      <c r="W52" s="1077"/>
      <c r="X52" s="1077"/>
      <c r="Y52" s="1077"/>
      <c r="Z52" s="1077"/>
      <c r="AA52" s="1077"/>
      <c r="AB52" s="1077"/>
      <c r="AC52" s="1077"/>
      <c r="AD52" s="1077"/>
      <c r="AE52" s="1077"/>
      <c r="AF52" s="1077"/>
      <c r="AG52" s="1077"/>
      <c r="AH52" s="1077"/>
      <c r="AI52" s="1077"/>
      <c r="AJ52" s="1077"/>
      <c r="AK52" s="1077"/>
      <c r="AL52" s="1077"/>
      <c r="AM52" s="1077"/>
      <c r="AN52" s="1077"/>
      <c r="AO52" s="1077"/>
      <c r="AP52" s="1077"/>
      <c r="AQ52" s="1077"/>
      <c r="AR52" s="1077"/>
      <c r="AS52" s="1077"/>
      <c r="AT52" s="1077"/>
      <c r="AU52" s="1077"/>
      <c r="AV52" s="1077"/>
      <c r="AW52" s="1077"/>
      <c r="AX52" s="1065"/>
      <c r="AY52" s="2759"/>
      <c r="AZ52" s="2759"/>
      <c r="BA52" s="2759"/>
      <c r="BB52" s="1065"/>
      <c r="BC52" s="1065"/>
      <c r="BD52" s="1065"/>
      <c r="BE52" s="1065"/>
      <c r="BF52" s="1077"/>
      <c r="BG52" s="1289"/>
      <c r="BH52" s="1289"/>
      <c r="BI52" s="1289"/>
      <c r="BJ52" s="1289"/>
      <c r="BK52" s="1289"/>
      <c r="BL52" s="1289"/>
      <c r="BM52" s="1450"/>
      <c r="BN52" s="1450"/>
      <c r="BO52" s="1450"/>
      <c r="BP52" s="2755"/>
      <c r="BQ52" s="2755"/>
      <c r="BR52" s="2755"/>
      <c r="BS52" s="2755"/>
      <c r="BT52" s="2755"/>
      <c r="BU52" s="1929"/>
      <c r="BV52" s="1929"/>
      <c r="BY52" s="1315"/>
      <c r="BZ52" s="1315"/>
      <c r="CA52" s="1315"/>
    </row>
    <row r="53" spans="1:79" x14ac:dyDescent="0.2">
      <c r="B53" s="1193"/>
      <c r="C53" s="1247"/>
      <c r="D53" s="1879"/>
      <c r="E53" s="1153"/>
      <c r="F53" s="1160"/>
      <c r="G53" s="1160"/>
      <c r="H53" s="1246"/>
      <c r="I53" s="1246"/>
      <c r="J53" s="1924"/>
      <c r="K53" s="1246"/>
      <c r="L53" s="1924"/>
      <c r="M53" s="1924"/>
      <c r="N53" s="1924"/>
      <c r="O53" s="1924"/>
      <c r="P53" s="1924"/>
      <c r="Q53" s="1924"/>
      <c r="R53" s="1924"/>
      <c r="S53" s="1924"/>
      <c r="T53" s="1924"/>
      <c r="U53" s="1077"/>
      <c r="V53" s="1077"/>
      <c r="W53" s="1077"/>
      <c r="X53" s="1077"/>
      <c r="Y53" s="1077"/>
      <c r="Z53" s="1077"/>
      <c r="AA53" s="1077"/>
      <c r="AB53" s="1077"/>
      <c r="AC53" s="1077"/>
      <c r="AD53" s="1077"/>
      <c r="AE53" s="1077"/>
      <c r="AF53" s="1077"/>
      <c r="AG53" s="1077"/>
      <c r="AH53" s="1077"/>
      <c r="AI53" s="1077"/>
      <c r="AJ53" s="1077"/>
      <c r="AK53" s="1077"/>
      <c r="AL53" s="1077"/>
      <c r="AM53" s="1077"/>
      <c r="AN53" s="1077"/>
      <c r="AO53" s="1077"/>
      <c r="AP53" s="1077"/>
      <c r="AQ53" s="1077"/>
      <c r="AR53" s="1077"/>
      <c r="AS53" s="1077"/>
      <c r="AT53" s="1077"/>
      <c r="AU53" s="1077"/>
      <c r="AV53" s="1077"/>
      <c r="AW53" s="1077"/>
      <c r="AX53" s="1065"/>
      <c r="AY53" s="2759"/>
      <c r="AZ53" s="2759"/>
      <c r="BA53" s="2759"/>
      <c r="BB53" s="1065"/>
      <c r="BC53" s="1065"/>
      <c r="BD53" s="1065"/>
      <c r="BE53" s="1065"/>
      <c r="BF53" s="1077"/>
      <c r="BG53" s="1289"/>
      <c r="BH53" s="1289"/>
      <c r="BI53" s="1289"/>
      <c r="BJ53" s="1289"/>
      <c r="BK53" s="1289"/>
      <c r="BL53" s="1289"/>
      <c r="BM53" s="1450"/>
      <c r="BN53" s="1450"/>
      <c r="BO53" s="1450"/>
      <c r="BP53" s="2755"/>
      <c r="BQ53" s="2755"/>
      <c r="BR53" s="2755"/>
      <c r="BS53" s="2755"/>
      <c r="BT53" s="2755"/>
      <c r="BU53" s="1929"/>
      <c r="BV53" s="1929"/>
      <c r="BY53" s="1315"/>
      <c r="BZ53" s="1315"/>
      <c r="CA53" s="1315"/>
    </row>
    <row r="54" spans="1:79" x14ac:dyDescent="0.2">
      <c r="B54" s="1193"/>
      <c r="C54" s="1247"/>
      <c r="D54" s="1879"/>
      <c r="E54" s="1153"/>
      <c r="F54" s="1160"/>
      <c r="G54" s="1160"/>
      <c r="H54" s="1246"/>
      <c r="I54" s="1246"/>
      <c r="J54" s="1924"/>
      <c r="K54" s="1246"/>
      <c r="L54" s="1924"/>
      <c r="M54" s="1924"/>
      <c r="N54" s="1924"/>
      <c r="O54" s="1924"/>
      <c r="P54" s="1924"/>
      <c r="Q54" s="1924"/>
      <c r="R54" s="1924"/>
      <c r="S54" s="1450"/>
      <c r="T54" s="1450"/>
      <c r="U54" s="1077"/>
      <c r="V54" s="1077"/>
      <c r="W54" s="1289"/>
      <c r="X54" s="1289"/>
      <c r="Y54" s="1077"/>
      <c r="Z54" s="1077"/>
      <c r="AA54" s="1289"/>
      <c r="AB54" s="1289"/>
      <c r="AC54" s="1077"/>
      <c r="AD54" s="1077"/>
      <c r="AE54" s="1289"/>
      <c r="AF54" s="1289"/>
      <c r="AG54" s="1077"/>
      <c r="AH54" s="1077"/>
      <c r="AI54" s="1289"/>
      <c r="AJ54" s="1289"/>
      <c r="AK54" s="1077"/>
      <c r="AL54" s="1077"/>
      <c r="AM54" s="1289"/>
      <c r="AN54" s="1289"/>
      <c r="AO54" s="1077"/>
      <c r="AP54" s="1077"/>
      <c r="AQ54" s="1077"/>
      <c r="AR54" s="1077"/>
      <c r="AS54" s="1077"/>
      <c r="AT54" s="1077"/>
      <c r="AU54" s="1077"/>
      <c r="AV54" s="1077"/>
      <c r="AW54" s="1077"/>
      <c r="AX54" s="2728"/>
      <c r="AY54" s="2728"/>
      <c r="AZ54" s="2728"/>
      <c r="BA54" s="2728"/>
      <c r="BB54" s="2728"/>
      <c r="BC54" s="2728"/>
      <c r="BD54" s="2728"/>
      <c r="BE54" s="2728"/>
      <c r="BF54" s="1077"/>
      <c r="BG54" s="1289"/>
      <c r="BH54" s="1289"/>
      <c r="BI54" s="1289"/>
      <c r="BJ54" s="1289"/>
      <c r="BK54" s="1289"/>
      <c r="BL54" s="1289"/>
      <c r="BM54" s="1450"/>
      <c r="BN54" s="1450"/>
      <c r="BO54" s="1450"/>
      <c r="BP54" s="2755"/>
      <c r="BQ54" s="2755"/>
      <c r="BR54" s="2755"/>
      <c r="BS54" s="2755"/>
      <c r="BT54" s="2755"/>
      <c r="BU54" s="1929"/>
      <c r="BV54" s="1929"/>
    </row>
    <row r="55" spans="1:79" x14ac:dyDescent="0.2">
      <c r="B55" s="1193"/>
      <c r="C55" s="1247"/>
      <c r="D55" s="1879"/>
      <c r="E55" s="1153"/>
      <c r="F55" s="1160"/>
      <c r="G55" s="1160"/>
      <c r="H55" s="1246"/>
      <c r="I55" s="1246"/>
      <c r="J55" s="1924"/>
      <c r="K55" s="1246"/>
      <c r="L55" s="1924"/>
      <c r="M55" s="1924"/>
      <c r="N55" s="1924"/>
      <c r="O55" s="1924"/>
      <c r="P55" s="1924"/>
      <c r="Q55" s="1924"/>
      <c r="R55" s="1924"/>
      <c r="S55" s="1450"/>
      <c r="T55" s="1450"/>
      <c r="U55" s="2728"/>
      <c r="V55" s="2728"/>
      <c r="W55" s="1289"/>
      <c r="X55" s="1289"/>
      <c r="Y55" s="2728"/>
      <c r="Z55" s="2728"/>
      <c r="AA55" s="1289"/>
      <c r="AB55" s="1289"/>
      <c r="AC55" s="2728"/>
      <c r="AD55" s="2728"/>
      <c r="AE55" s="1289"/>
      <c r="AF55" s="1289"/>
      <c r="AG55" s="2728"/>
      <c r="AH55" s="2728"/>
      <c r="AI55" s="1289"/>
      <c r="AJ55" s="1289"/>
      <c r="AK55" s="2728"/>
      <c r="AL55" s="2728"/>
      <c r="AM55" s="1289"/>
      <c r="AN55" s="1289"/>
      <c r="AO55" s="2728"/>
      <c r="AP55" s="2728"/>
      <c r="AQ55" s="2728"/>
      <c r="AR55" s="2728"/>
      <c r="AS55" s="2728"/>
      <c r="AT55" s="2728"/>
      <c r="AU55" s="2728"/>
      <c r="AV55" s="2728"/>
      <c r="AW55" s="2728"/>
      <c r="AX55" s="2728"/>
      <c r="AY55" s="2728"/>
      <c r="AZ55" s="2728"/>
      <c r="BA55" s="2728"/>
      <c r="BB55" s="2728"/>
      <c r="BC55" s="2728"/>
      <c r="BD55" s="2728"/>
      <c r="BE55" s="2728"/>
      <c r="BF55" s="2728"/>
      <c r="BG55" s="2728"/>
      <c r="BH55" s="2728"/>
      <c r="BI55" s="2728"/>
      <c r="BJ55" s="2728"/>
      <c r="BK55" s="2728"/>
      <c r="BL55" s="2728"/>
      <c r="BS55" s="2755"/>
      <c r="BT55" s="2755"/>
      <c r="BZ55" s="1315"/>
      <c r="CA55" s="1315"/>
    </row>
    <row r="56" spans="1:79" x14ac:dyDescent="0.2">
      <c r="B56" s="1193"/>
      <c r="C56" s="1247"/>
      <c r="D56" s="1879"/>
      <c r="F56" s="1146"/>
      <c r="G56" s="1146"/>
      <c r="H56" s="1215"/>
      <c r="I56" s="1215"/>
      <c r="K56" s="1215"/>
      <c r="S56" s="2764"/>
      <c r="T56" s="2764"/>
      <c r="U56" s="1311"/>
      <c r="V56" s="1311"/>
      <c r="W56" s="2765"/>
      <c r="X56" s="2765"/>
      <c r="Y56" s="1311"/>
      <c r="Z56" s="1311"/>
      <c r="AA56" s="2766"/>
      <c r="AB56" s="2765"/>
      <c r="AC56" s="1311"/>
      <c r="AD56" s="1311"/>
      <c r="AE56" s="2766"/>
      <c r="AF56" s="2765"/>
      <c r="AG56" s="1311"/>
      <c r="AH56" s="1311"/>
      <c r="AI56" s="2766"/>
      <c r="AJ56" s="2765"/>
      <c r="AK56" s="1311"/>
      <c r="AL56" s="1311"/>
      <c r="AM56" s="2766"/>
      <c r="AN56" s="2765"/>
      <c r="AO56" s="1311"/>
      <c r="AP56" s="1311"/>
      <c r="AQ56" s="1311"/>
      <c r="AR56" s="1311"/>
      <c r="AS56" s="1311"/>
      <c r="AT56" s="1311"/>
      <c r="AU56" s="1311"/>
      <c r="AV56" s="1311"/>
      <c r="AW56" s="1311"/>
      <c r="AX56" s="2728"/>
      <c r="AY56" s="2728"/>
      <c r="AZ56" s="2728"/>
      <c r="BA56" s="2728"/>
      <c r="BB56" s="2728"/>
      <c r="BC56" s="2728"/>
      <c r="BD56" s="2728"/>
      <c r="BE56" s="2728"/>
      <c r="BF56" s="1077"/>
      <c r="BG56" s="2728"/>
      <c r="BH56" s="2728"/>
      <c r="BI56" s="2728"/>
      <c r="BJ56" s="2728"/>
      <c r="BK56" s="2728"/>
      <c r="BL56" s="2728"/>
      <c r="BU56" s="2568"/>
      <c r="BV56" s="2568"/>
    </row>
    <row r="57" spans="1:79" x14ac:dyDescent="0.2">
      <c r="B57" s="1193"/>
      <c r="C57" s="1247"/>
      <c r="D57" s="1879"/>
      <c r="F57" s="1146"/>
      <c r="G57" s="1146"/>
      <c r="H57" s="1215"/>
      <c r="I57" s="1215"/>
      <c r="K57" s="1215"/>
      <c r="U57" s="1311"/>
      <c r="V57" s="1311"/>
      <c r="W57" s="1311"/>
      <c r="X57" s="1311"/>
      <c r="Y57" s="1311"/>
      <c r="Z57" s="1311"/>
      <c r="AA57" s="1311"/>
      <c r="AB57" s="1311"/>
      <c r="AC57" s="1311"/>
      <c r="AD57" s="1311"/>
      <c r="AE57" s="1311"/>
      <c r="AF57" s="1311"/>
      <c r="AG57" s="1311"/>
      <c r="AH57" s="1311"/>
      <c r="AI57" s="1311"/>
      <c r="AJ57" s="1311"/>
      <c r="AK57" s="1311"/>
      <c r="AL57" s="1311"/>
      <c r="AM57" s="1311"/>
      <c r="AN57" s="1311"/>
      <c r="AO57" s="1311"/>
      <c r="AP57" s="1311"/>
      <c r="AQ57" s="1311"/>
      <c r="AR57" s="1311"/>
      <c r="AS57" s="1311"/>
      <c r="AT57" s="1311"/>
      <c r="AU57" s="1311"/>
      <c r="AV57" s="1311"/>
      <c r="AW57" s="1311"/>
      <c r="AX57" s="2728"/>
      <c r="AY57" s="2728"/>
      <c r="AZ57" s="2728"/>
      <c r="BA57" s="2728"/>
      <c r="BB57" s="2728"/>
      <c r="BC57" s="2728"/>
      <c r="BD57" s="2728"/>
      <c r="BE57" s="2728"/>
      <c r="BF57" s="1311"/>
      <c r="BG57" s="2728"/>
      <c r="BH57" s="2728"/>
      <c r="BI57" s="2728"/>
      <c r="BJ57" s="2728"/>
      <c r="BK57" s="2728"/>
      <c r="BL57" s="2728"/>
      <c r="BU57" s="2568"/>
      <c r="BV57" s="2568"/>
    </row>
    <row r="58" spans="1:79" x14ac:dyDescent="0.2">
      <c r="B58" s="1193"/>
      <c r="C58" s="1247"/>
      <c r="D58" s="1879"/>
      <c r="F58" s="1146"/>
      <c r="G58" s="1146"/>
      <c r="H58" s="1215"/>
      <c r="I58" s="1215"/>
      <c r="K58" s="1215"/>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2728"/>
      <c r="AY58" s="2728"/>
      <c r="AZ58" s="2728"/>
      <c r="BA58" s="2728"/>
      <c r="BB58" s="2728"/>
      <c r="BC58" s="2728"/>
      <c r="BD58" s="2728"/>
      <c r="BE58" s="2728"/>
      <c r="BF58" s="1311"/>
      <c r="BG58" s="2728"/>
      <c r="BH58" s="2728"/>
      <c r="BI58" s="2728"/>
      <c r="BJ58" s="2728"/>
      <c r="BK58" s="2728"/>
      <c r="BL58" s="2728"/>
      <c r="BU58" s="2729"/>
      <c r="BV58" s="2729"/>
    </row>
    <row r="59" spans="1:79" x14ac:dyDescent="0.2">
      <c r="B59" s="1193"/>
      <c r="C59" s="1247"/>
      <c r="D59" s="1879"/>
      <c r="F59" s="1146"/>
      <c r="G59" s="1146"/>
      <c r="H59" s="1215"/>
      <c r="I59" s="1215"/>
      <c r="U59" s="1311"/>
      <c r="V59" s="1311"/>
      <c r="W59" s="1311"/>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2728"/>
      <c r="AY59" s="2728"/>
      <c r="AZ59" s="2728"/>
      <c r="BA59" s="2728"/>
      <c r="BB59" s="2728"/>
      <c r="BC59" s="2728"/>
      <c r="BD59" s="2728"/>
      <c r="BE59" s="2728"/>
      <c r="BF59" s="2194"/>
      <c r="BG59" s="2728"/>
      <c r="BH59" s="2728"/>
      <c r="BI59" s="2728"/>
      <c r="BJ59" s="2728"/>
      <c r="BK59" s="2728"/>
      <c r="BL59" s="2728"/>
      <c r="BU59" s="2729"/>
      <c r="BV59" s="2729"/>
    </row>
    <row r="60" spans="1:79" x14ac:dyDescent="0.2">
      <c r="B60" s="1193"/>
      <c r="C60" s="1247"/>
      <c r="D60" s="1879"/>
      <c r="BF60" s="1077"/>
      <c r="BU60" s="2729"/>
      <c r="BV60" s="2729"/>
    </row>
    <row r="61" spans="1:79" x14ac:dyDescent="0.2">
      <c r="B61" s="1193"/>
      <c r="C61" s="1247"/>
      <c r="D61" s="1879"/>
      <c r="BF61" s="1077"/>
      <c r="BU61" s="2729"/>
      <c r="BV61" s="2729"/>
    </row>
    <row r="62" spans="1:79" x14ac:dyDescent="0.2">
      <c r="B62" s="1193"/>
      <c r="C62" s="1247"/>
      <c r="D62" s="1879"/>
      <c r="BF62" s="2733"/>
      <c r="BU62" s="2729"/>
      <c r="BV62" s="2729"/>
    </row>
    <row r="63" spans="1:79" x14ac:dyDescent="0.2">
      <c r="B63" s="1193"/>
      <c r="C63" s="1312"/>
      <c r="BF63" s="1077"/>
      <c r="BU63" s="1929"/>
      <c r="BV63" s="1929"/>
    </row>
    <row r="64" spans="1:79" x14ac:dyDescent="0.2">
      <c r="B64" s="1193"/>
      <c r="C64" s="1312"/>
      <c r="BF64" s="1077"/>
      <c r="BU64" s="1929"/>
      <c r="BV64" s="1929"/>
    </row>
    <row r="65" spans="2:74" x14ac:dyDescent="0.2">
      <c r="B65" s="1193"/>
      <c r="C65" s="1247"/>
      <c r="D65" s="1879"/>
      <c r="BF65" s="1077"/>
      <c r="BU65" s="1315"/>
      <c r="BV65" s="1315"/>
    </row>
    <row r="66" spans="2:74" x14ac:dyDescent="0.2">
      <c r="B66" s="1193"/>
      <c r="C66" s="1247"/>
      <c r="D66" s="1879"/>
      <c r="BF66" s="1357"/>
      <c r="BU66" s="1315"/>
      <c r="BV66" s="1315"/>
    </row>
    <row r="67" spans="2:74" x14ac:dyDescent="0.2">
      <c r="B67" s="1193"/>
      <c r="C67" s="1247"/>
      <c r="D67" s="1879"/>
      <c r="BF67" s="1357"/>
      <c r="BU67" s="1315"/>
      <c r="BV67" s="1315"/>
    </row>
    <row r="68" spans="2:74" x14ac:dyDescent="0.2">
      <c r="B68" s="1193"/>
      <c r="C68" s="1247"/>
      <c r="D68" s="1879"/>
      <c r="BU68" s="1315"/>
      <c r="BV68" s="1315"/>
    </row>
    <row r="69" spans="2:74" x14ac:dyDescent="0.2">
      <c r="B69" s="1193"/>
      <c r="C69" s="1247"/>
      <c r="D69" s="1879"/>
      <c r="BU69" s="1315"/>
      <c r="BV69" s="1315"/>
    </row>
    <row r="70" spans="2:74" x14ac:dyDescent="0.2">
      <c r="B70" s="1193"/>
      <c r="C70" s="1247"/>
      <c r="D70" s="1879"/>
    </row>
    <row r="71" spans="2:74" x14ac:dyDescent="0.2">
      <c r="B71" s="1193"/>
      <c r="C71" s="1247"/>
      <c r="D71" s="1879"/>
    </row>
    <row r="72" spans="2:74" x14ac:dyDescent="0.2">
      <c r="B72" s="1193"/>
      <c r="C72" s="1247"/>
      <c r="D72" s="1879"/>
    </row>
    <row r="73" spans="2:74" x14ac:dyDescent="0.2">
      <c r="B73" s="1193"/>
      <c r="C73" s="1247"/>
      <c r="D73" s="1879"/>
    </row>
    <row r="74" spans="2:74" x14ac:dyDescent="0.2">
      <c r="B74" s="1193"/>
      <c r="C74" s="1247"/>
      <c r="D74" s="1879"/>
    </row>
    <row r="75" spans="2:74" x14ac:dyDescent="0.2">
      <c r="B75" s="1193"/>
      <c r="C75" s="1312"/>
    </row>
    <row r="76" spans="2:74" x14ac:dyDescent="0.2">
      <c r="B76" s="1193"/>
      <c r="C76" s="1247"/>
      <c r="D76" s="1879"/>
    </row>
    <row r="77" spans="2:74" x14ac:dyDescent="0.2">
      <c r="C77" s="1312"/>
    </row>
    <row r="91" spans="21:21" x14ac:dyDescent="0.2">
      <c r="U91" s="1311"/>
    </row>
    <row r="92" spans="21:21" x14ac:dyDescent="0.2">
      <c r="U92" s="1311"/>
    </row>
    <row r="93" spans="21:21" x14ac:dyDescent="0.2">
      <c r="U93" s="1311"/>
    </row>
    <row r="94" spans="21:21" x14ac:dyDescent="0.2">
      <c r="U94" s="1311"/>
    </row>
    <row r="95" spans="21:21" x14ac:dyDescent="0.2">
      <c r="U95" s="1311"/>
    </row>
    <row r="96" spans="21:21" x14ac:dyDescent="0.2">
      <c r="U96" s="1311"/>
    </row>
    <row r="97" spans="21:21" x14ac:dyDescent="0.2">
      <c r="U97" s="1311"/>
    </row>
    <row r="98" spans="21:21" x14ac:dyDescent="0.2">
      <c r="U98" s="1311"/>
    </row>
  </sheetData>
  <mergeCells count="4">
    <mergeCell ref="C11:D11"/>
    <mergeCell ref="BS10:BT10"/>
    <mergeCell ref="BS11:BT11"/>
    <mergeCell ref="C10:D10"/>
  </mergeCells>
  <phoneticPr fontId="14" type="noConversion"/>
  <conditionalFormatting sqref="A47:B47">
    <cfRule type="cellIs" dxfId="27" priority="1" stopIfTrue="1" operator="equal">
      <formula>0</formula>
    </cfRule>
  </conditionalFormatting>
  <printOptions horizontalCentered="1"/>
  <pageMargins left="0" right="0" top="0.75" bottom="0" header="0" footer="0"/>
  <pageSetup scale="60" orientation="landscape" r:id="rId1"/>
  <headerFooter alignWithMargins="0">
    <oddFooter>&amp;L&amp;F&amp;CPage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5:BI104"/>
  <sheetViews>
    <sheetView workbookViewId="0"/>
  </sheetViews>
  <sheetFormatPr defaultRowHeight="12.75" outlineLevelRow="1" x14ac:dyDescent="0.2"/>
  <cols>
    <col min="1" max="1" width="2.7109375" customWidth="1"/>
    <col min="2" max="2" width="45.42578125" customWidth="1"/>
    <col min="3" max="3" width="9.5703125" customWidth="1"/>
    <col min="4" max="4" width="9.7109375" customWidth="1"/>
    <col min="5" max="5" width="1.5703125" style="3" customWidth="1"/>
    <col min="6" max="8" width="9.5703125" style="481" hidden="1" customWidth="1"/>
    <col min="9" max="13" width="9.5703125" style="481" customWidth="1"/>
    <col min="14" max="17" width="9.5703125" style="3" customWidth="1"/>
    <col min="18" max="24" width="9.5703125" style="3" hidden="1" customWidth="1"/>
    <col min="25" max="25" width="7.7109375" style="3" hidden="1" customWidth="1"/>
    <col min="26" max="26" width="7" style="3" hidden="1" customWidth="1"/>
    <col min="27" max="27" width="7.5703125" style="3" hidden="1" customWidth="1"/>
    <col min="28" max="28" width="7" style="3" hidden="1" customWidth="1"/>
    <col min="29" max="30" width="8" hidden="1" customWidth="1"/>
    <col min="31" max="37" width="8.5703125" hidden="1" customWidth="1"/>
    <col min="38" max="38" width="1.5703125" customWidth="1"/>
    <col min="39" max="40" width="10.140625" style="407" hidden="1" customWidth="1"/>
    <col min="41" max="41" width="10.140625" hidden="1" customWidth="1"/>
    <col min="42" max="42" width="9.85546875" hidden="1" customWidth="1"/>
    <col min="43" max="43" width="1.5703125" hidden="1" customWidth="1"/>
    <col min="44" max="44" width="9.7109375" style="480" customWidth="1"/>
    <col min="45" max="45" width="9.7109375" style="407" customWidth="1"/>
    <col min="46" max="48" width="9.7109375" customWidth="1"/>
    <col min="49" max="53" width="9.7109375" hidden="1" customWidth="1"/>
    <col min="54" max="54" width="1.5703125" customWidth="1"/>
  </cols>
  <sheetData>
    <row r="5" spans="1:61" x14ac:dyDescent="0.2">
      <c r="A5" s="3"/>
      <c r="B5" s="3"/>
      <c r="C5" s="3"/>
      <c r="D5" s="3"/>
      <c r="AC5" s="3"/>
      <c r="AD5" s="3"/>
      <c r="AE5" s="3"/>
    </row>
    <row r="6" spans="1:61" ht="18" customHeight="1" x14ac:dyDescent="0.2">
      <c r="A6" s="81" t="s">
        <v>84</v>
      </c>
      <c r="B6" s="3"/>
      <c r="C6" s="3"/>
      <c r="D6" s="3"/>
      <c r="AC6" s="3"/>
      <c r="AD6" s="3"/>
      <c r="AE6" s="3"/>
    </row>
    <row r="7" spans="1:61" ht="18" customHeight="1" x14ac:dyDescent="0.2">
      <c r="A7" s="81" t="s">
        <v>215</v>
      </c>
      <c r="B7" s="4"/>
      <c r="C7" s="4"/>
      <c r="D7" s="4"/>
      <c r="E7" s="4"/>
      <c r="F7" s="4"/>
      <c r="G7" s="4"/>
      <c r="H7" s="4"/>
      <c r="I7" s="4"/>
      <c r="J7" s="4"/>
      <c r="K7" s="4"/>
      <c r="L7" s="4"/>
      <c r="M7" s="4"/>
      <c r="N7" s="4"/>
      <c r="O7" s="4"/>
      <c r="P7" s="4"/>
      <c r="Q7" s="4"/>
      <c r="R7" s="4"/>
      <c r="S7" s="4"/>
      <c r="T7" s="4"/>
      <c r="U7" s="4"/>
      <c r="V7" s="4"/>
      <c r="W7" s="4"/>
      <c r="X7" s="4"/>
      <c r="Y7" s="4"/>
      <c r="Z7" s="4"/>
      <c r="AA7" s="4"/>
      <c r="AB7" s="4"/>
      <c r="AC7" s="3"/>
      <c r="AD7" s="3"/>
      <c r="AE7" s="3"/>
    </row>
    <row r="8" spans="1:61" ht="9.75" customHeight="1" x14ac:dyDescent="0.2">
      <c r="A8" s="2"/>
      <c r="B8" s="2"/>
      <c r="C8" s="281"/>
      <c r="D8" s="281"/>
      <c r="E8" s="2"/>
      <c r="F8" s="281"/>
      <c r="G8" s="281"/>
      <c r="H8" s="281"/>
      <c r="I8" s="281"/>
      <c r="J8" s="281"/>
      <c r="K8" s="281"/>
      <c r="L8" s="281"/>
      <c r="M8" s="281"/>
      <c r="N8" s="281"/>
      <c r="O8" s="281"/>
      <c r="P8" s="281"/>
      <c r="Q8" s="281"/>
      <c r="R8" s="281"/>
      <c r="S8" s="281"/>
      <c r="T8" s="281"/>
      <c r="U8" s="281"/>
      <c r="V8" s="281"/>
      <c r="W8" s="281"/>
      <c r="X8" s="281"/>
      <c r="Y8" s="281"/>
      <c r="Z8" s="281"/>
      <c r="AA8" s="281"/>
      <c r="AB8" s="281"/>
      <c r="AC8" s="25"/>
      <c r="AD8" s="25"/>
      <c r="AE8" s="25"/>
      <c r="AO8" s="367"/>
      <c r="AP8" s="367"/>
      <c r="AV8" s="25"/>
      <c r="AW8" s="25"/>
      <c r="AX8" s="25"/>
      <c r="AY8" s="25"/>
      <c r="AZ8" s="25"/>
    </row>
    <row r="9" spans="1:61" x14ac:dyDescent="0.2">
      <c r="A9" s="5" t="s">
        <v>1</v>
      </c>
      <c r="B9" s="6"/>
      <c r="C9" s="3204" t="s">
        <v>312</v>
      </c>
      <c r="D9" s="3205"/>
      <c r="E9" s="184"/>
      <c r="F9" s="273"/>
      <c r="G9" s="273"/>
      <c r="H9" s="273"/>
      <c r="I9" s="17"/>
      <c r="J9" s="273"/>
      <c r="K9" s="273"/>
      <c r="L9" s="273"/>
      <c r="M9" s="17"/>
      <c r="N9" s="15"/>
      <c r="O9" s="16"/>
      <c r="P9" s="273"/>
      <c r="Q9" s="17"/>
      <c r="R9" s="15"/>
      <c r="S9" s="16"/>
      <c r="T9" s="273"/>
      <c r="U9" s="17"/>
      <c r="V9" s="481"/>
      <c r="W9" s="16"/>
      <c r="X9" s="2"/>
      <c r="Y9" s="17"/>
      <c r="Z9" s="16"/>
      <c r="AA9" s="481"/>
      <c r="AB9" s="273"/>
      <c r="AC9" s="17"/>
      <c r="AD9" s="16"/>
      <c r="AE9" s="16"/>
      <c r="AF9" s="16"/>
      <c r="AG9" s="16"/>
      <c r="AH9" s="20"/>
      <c r="AI9" s="17"/>
      <c r="AJ9" s="17"/>
      <c r="AK9" s="17"/>
      <c r="AL9" s="22"/>
      <c r="AM9" s="445" t="s">
        <v>299</v>
      </c>
      <c r="AN9" s="433"/>
      <c r="AO9" s="433" t="s">
        <v>284</v>
      </c>
      <c r="AP9" s="434"/>
      <c r="AQ9" s="13"/>
      <c r="AR9" s="46"/>
      <c r="AS9" s="46"/>
      <c r="AT9" s="46"/>
      <c r="AU9" s="46"/>
      <c r="AV9" s="46"/>
      <c r="AW9" s="20"/>
      <c r="AX9" s="20"/>
      <c r="AY9" s="46"/>
      <c r="AZ9" s="46"/>
      <c r="BA9" s="46"/>
      <c r="BB9" s="23"/>
    </row>
    <row r="10" spans="1:61" ht="13.5" x14ac:dyDescent="0.2">
      <c r="A10" s="5" t="s">
        <v>2</v>
      </c>
      <c r="B10" s="6"/>
      <c r="C10" s="3201" t="s">
        <v>38</v>
      </c>
      <c r="D10" s="3202"/>
      <c r="E10" s="355"/>
      <c r="F10" s="19" t="s">
        <v>315</v>
      </c>
      <c r="G10" s="19" t="s">
        <v>314</v>
      </c>
      <c r="H10" s="19" t="s">
        <v>313</v>
      </c>
      <c r="I10" s="12" t="s">
        <v>311</v>
      </c>
      <c r="J10" s="19" t="s">
        <v>270</v>
      </c>
      <c r="K10" s="19" t="s">
        <v>271</v>
      </c>
      <c r="L10" s="19" t="s">
        <v>272</v>
      </c>
      <c r="M10" s="12" t="s">
        <v>273</v>
      </c>
      <c r="N10" s="18" t="s">
        <v>223</v>
      </c>
      <c r="O10" s="19" t="s">
        <v>224</v>
      </c>
      <c r="P10" s="19" t="s">
        <v>225</v>
      </c>
      <c r="Q10" s="12" t="s">
        <v>222</v>
      </c>
      <c r="R10" s="18" t="s">
        <v>189</v>
      </c>
      <c r="S10" s="19" t="s">
        <v>190</v>
      </c>
      <c r="T10" s="19" t="s">
        <v>191</v>
      </c>
      <c r="U10" s="12" t="s">
        <v>192</v>
      </c>
      <c r="V10" s="19" t="s">
        <v>121</v>
      </c>
      <c r="W10" s="19" t="s">
        <v>120</v>
      </c>
      <c r="X10" s="19" t="s">
        <v>119</v>
      </c>
      <c r="Y10" s="12" t="s">
        <v>118</v>
      </c>
      <c r="Z10" s="19" t="s">
        <v>81</v>
      </c>
      <c r="AA10" s="19" t="s">
        <v>82</v>
      </c>
      <c r="AB10" s="19" t="s">
        <v>83</v>
      </c>
      <c r="AC10" s="12" t="s">
        <v>29</v>
      </c>
      <c r="AD10" s="19" t="s">
        <v>30</v>
      </c>
      <c r="AE10" s="19" t="s">
        <v>31</v>
      </c>
      <c r="AF10" s="19" t="s">
        <v>32</v>
      </c>
      <c r="AG10" s="19" t="s">
        <v>33</v>
      </c>
      <c r="AH10" s="21" t="s">
        <v>34</v>
      </c>
      <c r="AI10" s="12" t="s">
        <v>35</v>
      </c>
      <c r="AJ10" s="12" t="s">
        <v>36</v>
      </c>
      <c r="AK10" s="12" t="s">
        <v>37</v>
      </c>
      <c r="AL10" s="184"/>
      <c r="AM10" s="19" t="s">
        <v>271</v>
      </c>
      <c r="AN10" s="19" t="s">
        <v>224</v>
      </c>
      <c r="AO10" s="3206" t="s">
        <v>38</v>
      </c>
      <c r="AP10" s="3207"/>
      <c r="AQ10" s="14"/>
      <c r="AR10" s="18" t="s">
        <v>275</v>
      </c>
      <c r="AS10" s="18" t="s">
        <v>227</v>
      </c>
      <c r="AT10" s="18" t="s">
        <v>123</v>
      </c>
      <c r="AU10" s="18" t="s">
        <v>122</v>
      </c>
      <c r="AV10" s="18" t="s">
        <v>42</v>
      </c>
      <c r="AW10" s="21" t="s">
        <v>39</v>
      </c>
      <c r="AX10" s="21" t="s">
        <v>40</v>
      </c>
      <c r="AY10" s="12" t="s">
        <v>142</v>
      </c>
      <c r="AZ10" s="12" t="s">
        <v>143</v>
      </c>
      <c r="BA10" s="12" t="s">
        <v>144</v>
      </c>
      <c r="BB10" s="23"/>
      <c r="BC10" s="3"/>
      <c r="BG10" s="3"/>
      <c r="BH10" s="3"/>
      <c r="BI10" s="3"/>
    </row>
    <row r="11" spans="1:61" s="407" customFormat="1" x14ac:dyDescent="0.2">
      <c r="A11" s="5"/>
      <c r="B11" s="6"/>
      <c r="C11" s="529"/>
      <c r="D11" s="419"/>
      <c r="E11" s="355"/>
      <c r="F11" s="421" t="s">
        <v>240</v>
      </c>
      <c r="G11" s="421" t="s">
        <v>240</v>
      </c>
      <c r="H11" s="421" t="s">
        <v>240</v>
      </c>
      <c r="I11" s="422" t="s">
        <v>240</v>
      </c>
      <c r="J11" s="421" t="s">
        <v>240</v>
      </c>
      <c r="K11" s="421" t="s">
        <v>240</v>
      </c>
      <c r="L11" s="421" t="s">
        <v>240</v>
      </c>
      <c r="M11" s="422" t="s">
        <v>240</v>
      </c>
      <c r="N11" s="420" t="s">
        <v>240</v>
      </c>
      <c r="O11" s="421" t="s">
        <v>240</v>
      </c>
      <c r="P11" s="421" t="s">
        <v>240</v>
      </c>
      <c r="Q11" s="422" t="s">
        <v>240</v>
      </c>
      <c r="R11" s="420" t="s">
        <v>240</v>
      </c>
      <c r="S11" s="421" t="s">
        <v>240</v>
      </c>
      <c r="T11" s="421" t="s">
        <v>240</v>
      </c>
      <c r="U11" s="422" t="s">
        <v>240</v>
      </c>
      <c r="V11" s="420" t="s">
        <v>241</v>
      </c>
      <c r="W11" s="421" t="s">
        <v>241</v>
      </c>
      <c r="X11" s="422" t="s">
        <v>241</v>
      </c>
      <c r="Y11" s="422" t="s">
        <v>241</v>
      </c>
      <c r="Z11" s="13"/>
      <c r="AA11" s="13"/>
      <c r="AB11" s="13"/>
      <c r="AC11" s="159"/>
      <c r="AD11" s="13"/>
      <c r="AE11" s="13"/>
      <c r="AF11" s="13"/>
      <c r="AG11" s="13"/>
      <c r="AH11" s="184"/>
      <c r="AI11" s="159"/>
      <c r="AJ11" s="159"/>
      <c r="AK11" s="159"/>
      <c r="AL11" s="184"/>
      <c r="AM11" s="420" t="s">
        <v>240</v>
      </c>
      <c r="AN11" s="421" t="s">
        <v>240</v>
      </c>
      <c r="AO11" s="435"/>
      <c r="AP11" s="436"/>
      <c r="AQ11" s="415"/>
      <c r="AR11" s="420" t="s">
        <v>240</v>
      </c>
      <c r="AS11" s="420" t="s">
        <v>240</v>
      </c>
      <c r="AT11" s="420" t="s">
        <v>240</v>
      </c>
      <c r="AU11" s="420" t="s">
        <v>241</v>
      </c>
      <c r="AV11" s="420" t="s">
        <v>241</v>
      </c>
      <c r="AW11" s="423" t="s">
        <v>241</v>
      </c>
      <c r="AX11" s="423" t="s">
        <v>241</v>
      </c>
      <c r="AY11" s="159"/>
      <c r="AZ11" s="159"/>
      <c r="BA11" s="159"/>
      <c r="BB11" s="23"/>
      <c r="BC11" s="3"/>
      <c r="BG11" s="3"/>
      <c r="BH11" s="3"/>
      <c r="BI11" s="3"/>
    </row>
    <row r="12" spans="1:61" ht="12.75" customHeight="1" x14ac:dyDescent="0.2">
      <c r="A12" s="85" t="s">
        <v>59</v>
      </c>
      <c r="B12" s="7"/>
      <c r="C12" s="105"/>
      <c r="D12" s="107"/>
      <c r="E12" s="47"/>
      <c r="F12" s="483"/>
      <c r="G12" s="483"/>
      <c r="H12" s="483"/>
      <c r="I12" s="107"/>
      <c r="J12" s="483"/>
      <c r="K12" s="483"/>
      <c r="L12" s="483"/>
      <c r="M12" s="107"/>
      <c r="N12" s="91"/>
      <c r="O12" s="125"/>
      <c r="P12" s="91"/>
      <c r="Q12" s="107"/>
      <c r="R12" s="91"/>
      <c r="S12" s="125"/>
      <c r="T12" s="91"/>
      <c r="U12" s="107"/>
      <c r="V12" s="91"/>
      <c r="W12" s="125"/>
      <c r="X12" s="91"/>
      <c r="Y12" s="107"/>
      <c r="Z12" s="91"/>
      <c r="AA12" s="125"/>
      <c r="AB12" s="91"/>
      <c r="AC12" s="107"/>
      <c r="AD12" s="125"/>
      <c r="AE12" s="91"/>
      <c r="AF12" s="91"/>
      <c r="AG12" s="107"/>
      <c r="AH12" s="47"/>
      <c r="AI12" s="107"/>
      <c r="AJ12" s="107"/>
      <c r="AK12" s="107"/>
      <c r="AL12" s="47"/>
      <c r="AM12" s="91"/>
      <c r="AN12" s="91"/>
      <c r="AO12" s="125"/>
      <c r="AP12" s="106"/>
      <c r="AQ12" s="44"/>
      <c r="AR12" s="47"/>
      <c r="AS12" s="47"/>
      <c r="AT12" s="47"/>
      <c r="AU12" s="47"/>
      <c r="AV12" s="47"/>
      <c r="AW12" s="47"/>
      <c r="AX12" s="47"/>
      <c r="AY12" s="218"/>
      <c r="AZ12" s="218"/>
      <c r="BA12" s="218"/>
      <c r="BB12" s="23"/>
      <c r="BC12" s="3"/>
      <c r="BG12" s="3"/>
    </row>
    <row r="13" spans="1:61" ht="12.75" customHeight="1" x14ac:dyDescent="0.2">
      <c r="A13" s="6"/>
      <c r="B13" s="44" t="s">
        <v>186</v>
      </c>
      <c r="C13" s="34" t="e">
        <f>I13-M13</f>
        <v>#REF!</v>
      </c>
      <c r="D13" s="39" t="e">
        <f>IF(OR((C13/M13)&gt;3,(C13/M13)&lt;-3),"n.m.",(C13/M13))</f>
        <v>#REF!</v>
      </c>
      <c r="E13" s="350"/>
      <c r="F13" s="502" t="e">
        <f>+#REF!</f>
        <v>#REF!</v>
      </c>
      <c r="G13" s="502" t="e">
        <f>+#REF!</f>
        <v>#REF!</v>
      </c>
      <c r="H13" s="502" t="e">
        <f>+#REF!</f>
        <v>#REF!</v>
      </c>
      <c r="I13" s="143" t="e">
        <f>+#REF!</f>
        <v>#REF!</v>
      </c>
      <c r="J13" s="502" t="e">
        <f>+#REF!</f>
        <v>#REF!</v>
      </c>
      <c r="K13" s="502" t="e">
        <f>+#REF!</f>
        <v>#REF!</v>
      </c>
      <c r="L13" s="502" t="e">
        <f>+#REF!</f>
        <v>#REF!</v>
      </c>
      <c r="M13" s="143" t="e">
        <f>+#REF!</f>
        <v>#REF!</v>
      </c>
      <c r="N13" s="263" t="e">
        <f>#REF!</f>
        <v>#REF!</v>
      </c>
      <c r="O13" s="263" t="e">
        <f>#REF!</f>
        <v>#REF!</v>
      </c>
      <c r="P13" s="263" t="e">
        <f>#REF!</f>
        <v>#REF!</v>
      </c>
      <c r="Q13" s="143" t="e">
        <f>#REF!</f>
        <v>#REF!</v>
      </c>
      <c r="R13" s="263" t="e">
        <f>#REF!</f>
        <v>#REF!</v>
      </c>
      <c r="S13" s="263" t="e">
        <f>#REF!</f>
        <v>#REF!</v>
      </c>
      <c r="T13" s="263" t="e">
        <f>#REF!</f>
        <v>#REF!</v>
      </c>
      <c r="U13" s="143">
        <v>58053</v>
      </c>
      <c r="V13" s="263">
        <v>39289</v>
      </c>
      <c r="W13" s="263">
        <v>67352</v>
      </c>
      <c r="X13" s="263">
        <v>34463</v>
      </c>
      <c r="Y13" s="143">
        <v>36477</v>
      </c>
      <c r="Z13" s="263">
        <v>31276</v>
      </c>
      <c r="AA13" s="263">
        <v>20429</v>
      </c>
      <c r="AB13" s="263">
        <v>29110</v>
      </c>
      <c r="AC13" s="143">
        <v>42035</v>
      </c>
      <c r="AD13" s="140">
        <v>39733</v>
      </c>
      <c r="AE13" s="108">
        <v>52078</v>
      </c>
      <c r="AF13" s="108">
        <v>48387</v>
      </c>
      <c r="AG13" s="109">
        <v>72387</v>
      </c>
      <c r="AH13" s="116">
        <v>68481</v>
      </c>
      <c r="AI13" s="109">
        <v>58781</v>
      </c>
      <c r="AJ13" s="109">
        <v>46473</v>
      </c>
      <c r="AK13" s="109">
        <v>53589</v>
      </c>
      <c r="AL13" s="47"/>
      <c r="AM13" s="235" t="e">
        <f>SUM(K13:M13)</f>
        <v>#REF!</v>
      </c>
      <c r="AN13" s="235" t="e">
        <f>SUM(O13:Q13)</f>
        <v>#REF!</v>
      </c>
      <c r="AO13" s="28" t="e">
        <f>AR13-AS13</f>
        <v>#REF!</v>
      </c>
      <c r="AP13" s="498" t="e">
        <f>IF(OR((AO13/AS13)&gt;3,(AO13/AS13)&lt;-3),"n.m.",(AO13/AS13))</f>
        <v>#REF!</v>
      </c>
      <c r="AQ13" s="44"/>
      <c r="AR13" s="499" t="e">
        <f>SUM(J13:M13)</f>
        <v>#REF!</v>
      </c>
      <c r="AS13" s="129" t="e">
        <f>SUM(N13:Q13)</f>
        <v>#REF!</v>
      </c>
      <c r="AT13" s="129">
        <v>338520</v>
      </c>
      <c r="AU13" s="129">
        <v>177581</v>
      </c>
      <c r="AV13" s="129">
        <v>122850</v>
      </c>
      <c r="AW13" s="129">
        <v>212585</v>
      </c>
      <c r="AX13" s="129">
        <v>227324</v>
      </c>
      <c r="AY13" s="37">
        <v>189074</v>
      </c>
      <c r="AZ13" s="37">
        <v>123564</v>
      </c>
      <c r="BA13" s="37">
        <v>127269</v>
      </c>
      <c r="BB13" s="91"/>
      <c r="BC13" s="91"/>
      <c r="BG13" s="3"/>
    </row>
    <row r="14" spans="1:61" ht="12.75" customHeight="1" x14ac:dyDescent="0.2">
      <c r="A14" s="6"/>
      <c r="B14" s="482" t="s">
        <v>304</v>
      </c>
      <c r="C14" s="34" t="e">
        <f>I14-M14</f>
        <v>#REF!</v>
      </c>
      <c r="D14" s="27" t="e">
        <f>IF(OR((C14/M14)&gt;3,(C14/M14)&lt;-3),"n.m.",(C14/M14))</f>
        <v>#REF!</v>
      </c>
      <c r="E14" s="350"/>
      <c r="F14" s="502" t="e">
        <f>+#REF!</f>
        <v>#REF!</v>
      </c>
      <c r="G14" s="502" t="e">
        <f>+#REF!</f>
        <v>#REF!</v>
      </c>
      <c r="H14" s="502" t="e">
        <f>+#REF!</f>
        <v>#REF!</v>
      </c>
      <c r="I14" s="143" t="e">
        <f>+#REF!</f>
        <v>#REF!</v>
      </c>
      <c r="J14" s="502" t="e">
        <f>+#REF!</f>
        <v>#REF!</v>
      </c>
      <c r="K14" s="502" t="e">
        <f>+#REF!</f>
        <v>#REF!</v>
      </c>
      <c r="L14" s="502" t="e">
        <f>+#REF!</f>
        <v>#REF!</v>
      </c>
      <c r="M14" s="143" t="e">
        <f>+#REF!</f>
        <v>#REF!</v>
      </c>
      <c r="N14" s="263" t="e">
        <f>#REF!</f>
        <v>#REF!</v>
      </c>
      <c r="O14" s="263" t="e">
        <f>#REF!</f>
        <v>#REF!</v>
      </c>
      <c r="P14" s="263" t="e">
        <f>#REF!</f>
        <v>#REF!</v>
      </c>
      <c r="Q14" s="143" t="e">
        <f>#REF!</f>
        <v>#REF!</v>
      </c>
      <c r="R14" s="263" t="e">
        <f>#REF!</f>
        <v>#REF!</v>
      </c>
      <c r="S14" s="263" t="e">
        <f>#REF!</f>
        <v>#REF!</v>
      </c>
      <c r="T14" s="263" t="e">
        <f>#REF!</f>
        <v>#REF!</v>
      </c>
      <c r="U14" s="143">
        <v>46307</v>
      </c>
      <c r="V14" s="263">
        <v>54086</v>
      </c>
      <c r="W14" s="263">
        <v>50900</v>
      </c>
      <c r="X14" s="263">
        <v>39596</v>
      </c>
      <c r="Y14" s="143">
        <v>39676</v>
      </c>
      <c r="Z14" s="263">
        <v>36739</v>
      </c>
      <c r="AA14" s="263">
        <v>33072</v>
      </c>
      <c r="AB14" s="263">
        <v>43016</v>
      </c>
      <c r="AC14" s="143">
        <v>56801</v>
      </c>
      <c r="AD14" s="139">
        <v>53686</v>
      </c>
      <c r="AE14" s="139">
        <v>60447</v>
      </c>
      <c r="AF14" s="139">
        <v>56588</v>
      </c>
      <c r="AG14" s="139">
        <v>74990</v>
      </c>
      <c r="AH14" s="103">
        <v>74727</v>
      </c>
      <c r="AI14" s="143">
        <v>67907</v>
      </c>
      <c r="AJ14" s="143">
        <v>54960</v>
      </c>
      <c r="AK14" s="143">
        <v>70996</v>
      </c>
      <c r="AL14" s="47"/>
      <c r="AM14" s="494" t="e">
        <f>SUM(K14:M14)</f>
        <v>#REF!</v>
      </c>
      <c r="AN14" s="494" t="e">
        <f>SUM(O14:Q14)</f>
        <v>#REF!</v>
      </c>
      <c r="AO14" s="28" t="e">
        <f>AR14-AS14</f>
        <v>#REF!</v>
      </c>
      <c r="AP14" s="498" t="e">
        <f t="shared" ref="AP14:AP31" si="0">IF(OR((AO14/AS14)&gt;3,(AO14/AS14)&lt;-3),"n.m.",(AO14/AS14))</f>
        <v>#REF!</v>
      </c>
      <c r="AQ14" s="44"/>
      <c r="AR14" s="499" t="e">
        <f>SUM(J14:M14)</f>
        <v>#REF!</v>
      </c>
      <c r="AS14" s="129" t="e">
        <f>SUM(N14:Q14)</f>
        <v>#REF!</v>
      </c>
      <c r="AT14" s="129">
        <v>228098</v>
      </c>
      <c r="AU14" s="129">
        <v>184258</v>
      </c>
      <c r="AV14" s="129">
        <v>169628</v>
      </c>
      <c r="AW14" s="129">
        <v>245711</v>
      </c>
      <c r="AX14" s="129">
        <v>268590</v>
      </c>
      <c r="AY14" s="37">
        <v>223925</v>
      </c>
      <c r="AZ14" s="37">
        <v>178176</v>
      </c>
      <c r="BA14" s="37">
        <v>175983</v>
      </c>
      <c r="BB14" s="91"/>
      <c r="BC14" s="91"/>
      <c r="BG14" s="3"/>
    </row>
    <row r="15" spans="1:61" ht="12.75" customHeight="1" x14ac:dyDescent="0.2">
      <c r="A15" s="6"/>
      <c r="B15" s="44" t="s">
        <v>92</v>
      </c>
      <c r="C15" s="34">
        <f>I15-M15</f>
        <v>-2689</v>
      </c>
      <c r="D15" s="27">
        <f>IF(OR((C15/M15)&gt;3,(C15/M15)&lt;-3),"n.m.",(C15/M15))</f>
        <v>-0.54944830404577039</v>
      </c>
      <c r="E15" s="350"/>
      <c r="F15" s="502">
        <f>+'13 Other'!AA14</f>
        <v>1853</v>
      </c>
      <c r="G15" s="502">
        <f>+'13 Other'!AB14</f>
        <v>4988</v>
      </c>
      <c r="H15" s="502">
        <f>+'13 Other'!AC14</f>
        <v>6372</v>
      </c>
      <c r="I15" s="143">
        <f>+'13 Other'!AD14</f>
        <v>2205</v>
      </c>
      <c r="J15" s="502">
        <f>+'13 Other'!AE14</f>
        <v>5045</v>
      </c>
      <c r="K15" s="502">
        <f>+'13 Other'!AF14</f>
        <v>4535</v>
      </c>
      <c r="L15" s="502">
        <f>+'13 Other'!AG14</f>
        <v>10003</v>
      </c>
      <c r="M15" s="143">
        <f>+'13 Other'!AH16</f>
        <v>4894</v>
      </c>
      <c r="N15" s="263">
        <f>'13 Other'!AI14</f>
        <v>10101</v>
      </c>
      <c r="O15" s="263">
        <f>'13 Other'!AJ14</f>
        <v>9737</v>
      </c>
      <c r="P15" s="263">
        <f>'13 Other'!AK14</f>
        <v>2636</v>
      </c>
      <c r="Q15" s="143">
        <f>'13 Other'!AL14</f>
        <v>7623</v>
      </c>
      <c r="R15" s="263">
        <f>'13 Other'!AM14</f>
        <v>11120</v>
      </c>
      <c r="S15" s="263">
        <f>'13 Other'!AN14</f>
        <v>8477</v>
      </c>
      <c r="T15" s="263">
        <f>'13 Other'!AO14</f>
        <v>7783</v>
      </c>
      <c r="U15" s="143">
        <v>4558</v>
      </c>
      <c r="V15" s="263">
        <v>4647</v>
      </c>
      <c r="W15" s="263">
        <v>5374</v>
      </c>
      <c r="X15" s="263">
        <v>5131</v>
      </c>
      <c r="Y15" s="143">
        <v>11781</v>
      </c>
      <c r="Z15" s="263">
        <v>4769</v>
      </c>
      <c r="AA15" s="263">
        <v>4406</v>
      </c>
      <c r="AB15" s="263">
        <v>8649</v>
      </c>
      <c r="AC15" s="143">
        <v>10062</v>
      </c>
      <c r="AD15" s="139">
        <v>11018</v>
      </c>
      <c r="AE15" s="139">
        <v>12605</v>
      </c>
      <c r="AF15" s="139">
        <v>12383</v>
      </c>
      <c r="AG15" s="139">
        <v>14764</v>
      </c>
      <c r="AH15" s="103">
        <v>10416</v>
      </c>
      <c r="AI15" s="143">
        <v>8017</v>
      </c>
      <c r="AJ15" s="143">
        <v>6975</v>
      </c>
      <c r="AK15" s="143">
        <v>8665</v>
      </c>
      <c r="AL15" s="47"/>
      <c r="AM15" s="494">
        <f>SUM(K15:M15)</f>
        <v>19432</v>
      </c>
      <c r="AN15" s="494">
        <f>SUM(O15:Q15)</f>
        <v>19996</v>
      </c>
      <c r="AO15" s="28">
        <f>AR15-AS15</f>
        <v>-5620</v>
      </c>
      <c r="AP15" s="498">
        <f t="shared" si="0"/>
        <v>-0.18672957437618368</v>
      </c>
      <c r="AQ15" s="44"/>
      <c r="AR15" s="499">
        <f>SUM(J15:M15)</f>
        <v>24477</v>
      </c>
      <c r="AS15" s="129">
        <f>SUM(N15:Q15)</f>
        <v>30097</v>
      </c>
      <c r="AT15" s="129">
        <v>31938</v>
      </c>
      <c r="AU15" s="129">
        <v>26933</v>
      </c>
      <c r="AV15" s="129">
        <v>27886</v>
      </c>
      <c r="AW15" s="129">
        <v>50770</v>
      </c>
      <c r="AX15" s="129">
        <v>34578</v>
      </c>
      <c r="AY15" s="37">
        <v>24555</v>
      </c>
      <c r="AZ15" s="37">
        <v>14948</v>
      </c>
      <c r="BA15" s="37">
        <v>14416</v>
      </c>
      <c r="BB15" s="91"/>
      <c r="BC15" s="91"/>
      <c r="BG15" s="3"/>
    </row>
    <row r="16" spans="1:61" ht="12.75" customHeight="1" x14ac:dyDescent="0.2">
      <c r="A16" s="7"/>
      <c r="B16" s="6"/>
      <c r="C16" s="110" t="e">
        <f>I16-M16</f>
        <v>#REF!</v>
      </c>
      <c r="D16" s="111" t="e">
        <f>IF(OR((C16/M16)&gt;3,(C16/M16)&lt;-3),"n.m.",(C16/M16))</f>
        <v>#REF!</v>
      </c>
      <c r="E16" s="350"/>
      <c r="F16" s="147" t="e">
        <f t="shared" ref="F16:K16" si="1">SUM(F13:F15)</f>
        <v>#REF!</v>
      </c>
      <c r="G16" s="147" t="e">
        <f t="shared" si="1"/>
        <v>#REF!</v>
      </c>
      <c r="H16" s="147" t="e">
        <f t="shared" si="1"/>
        <v>#REF!</v>
      </c>
      <c r="I16" s="148" t="e">
        <f t="shared" si="1"/>
        <v>#REF!</v>
      </c>
      <c r="J16" s="147" t="e">
        <f t="shared" si="1"/>
        <v>#REF!</v>
      </c>
      <c r="K16" s="147" t="e">
        <f t="shared" si="1"/>
        <v>#REF!</v>
      </c>
      <c r="L16" s="147" t="e">
        <f t="shared" ref="L16:Q16" si="2">SUM(L13:L15)</f>
        <v>#REF!</v>
      </c>
      <c r="M16" s="148" t="e">
        <f t="shared" si="2"/>
        <v>#REF!</v>
      </c>
      <c r="N16" s="147" t="e">
        <f t="shared" si="2"/>
        <v>#REF!</v>
      </c>
      <c r="O16" s="147" t="e">
        <f t="shared" si="2"/>
        <v>#REF!</v>
      </c>
      <c r="P16" s="147" t="e">
        <f t="shared" si="2"/>
        <v>#REF!</v>
      </c>
      <c r="Q16" s="148" t="e">
        <f t="shared" si="2"/>
        <v>#REF!</v>
      </c>
      <c r="R16" s="147" t="e">
        <f>SUM(R13:R15)</f>
        <v>#REF!</v>
      </c>
      <c r="S16" s="147" t="e">
        <f>SUM(S13:S15)</f>
        <v>#REF!</v>
      </c>
      <c r="T16" s="147" t="e">
        <f>SUM(T13:T15)</f>
        <v>#REF!</v>
      </c>
      <c r="U16" s="148">
        <f>SUM(U13:U15)</f>
        <v>108918</v>
      </c>
      <c r="V16" s="147">
        <v>98022</v>
      </c>
      <c r="W16" s="147">
        <v>123626</v>
      </c>
      <c r="X16" s="147">
        <v>79190</v>
      </c>
      <c r="Y16" s="148">
        <v>87934</v>
      </c>
      <c r="Z16" s="147">
        <v>72784</v>
      </c>
      <c r="AA16" s="147">
        <v>57907</v>
      </c>
      <c r="AB16" s="147">
        <v>80775</v>
      </c>
      <c r="AC16" s="147">
        <v>108898</v>
      </c>
      <c r="AD16" s="117">
        <v>104437</v>
      </c>
      <c r="AE16" s="147">
        <v>125130</v>
      </c>
      <c r="AF16" s="147">
        <v>117358</v>
      </c>
      <c r="AG16" s="147">
        <v>162141</v>
      </c>
      <c r="AH16" s="117">
        <v>153624</v>
      </c>
      <c r="AI16" s="148">
        <v>134705</v>
      </c>
      <c r="AJ16" s="148">
        <v>108408</v>
      </c>
      <c r="AK16" s="148">
        <v>133250</v>
      </c>
      <c r="AL16" s="47"/>
      <c r="AM16" s="147" t="e">
        <f>SUM(AM13:AM15)</f>
        <v>#REF!</v>
      </c>
      <c r="AN16" s="147" t="e">
        <f>SUM(AN13:AN15)</f>
        <v>#REF!</v>
      </c>
      <c r="AO16" s="244" t="e">
        <f>AR16-AS16</f>
        <v>#REF!</v>
      </c>
      <c r="AP16" s="111" t="e">
        <f t="shared" si="0"/>
        <v>#REF!</v>
      </c>
      <c r="AQ16" s="44"/>
      <c r="AR16" s="130" t="e">
        <f>SUM(AR13:AR15)</f>
        <v>#REF!</v>
      </c>
      <c r="AS16" s="130" t="e">
        <f>SUM(AS13:AS15)</f>
        <v>#REF!</v>
      </c>
      <c r="AT16" s="130">
        <v>598556</v>
      </c>
      <c r="AU16" s="130">
        <v>388772</v>
      </c>
      <c r="AV16" s="130">
        <v>320364</v>
      </c>
      <c r="AW16" s="130">
        <v>509066</v>
      </c>
      <c r="AX16" s="130">
        <v>530492</v>
      </c>
      <c r="AY16" s="130">
        <f>SUM(AY13:AY15)</f>
        <v>437554</v>
      </c>
      <c r="AZ16" s="130">
        <f>SUM(AZ13:AZ15)</f>
        <v>316688</v>
      </c>
      <c r="BA16" s="219">
        <v>317668</v>
      </c>
      <c r="BB16" s="91"/>
      <c r="BC16" s="91"/>
      <c r="BG16" s="3"/>
    </row>
    <row r="17" spans="1:59" ht="12.75" customHeight="1" x14ac:dyDescent="0.2">
      <c r="A17" s="85" t="s">
        <v>5</v>
      </c>
      <c r="B17" s="6"/>
      <c r="C17" s="34"/>
      <c r="D17" s="27"/>
      <c r="E17" s="350"/>
      <c r="F17" s="502"/>
      <c r="G17" s="502"/>
      <c r="H17" s="502"/>
      <c r="I17" s="143"/>
      <c r="J17" s="502"/>
      <c r="K17" s="502"/>
      <c r="L17" s="502"/>
      <c r="M17" s="143"/>
      <c r="N17" s="263"/>
      <c r="O17" s="263"/>
      <c r="P17" s="263"/>
      <c r="Q17" s="143"/>
      <c r="R17" s="263"/>
      <c r="S17" s="263"/>
      <c r="T17" s="263"/>
      <c r="U17" s="143"/>
      <c r="V17" s="263"/>
      <c r="W17" s="263"/>
      <c r="X17" s="263"/>
      <c r="Y17" s="143"/>
      <c r="Z17" s="272"/>
      <c r="AA17" s="263"/>
      <c r="AB17" s="263"/>
      <c r="AC17" s="143"/>
      <c r="AD17" s="151"/>
      <c r="AE17" s="139"/>
      <c r="AF17" s="139"/>
      <c r="AG17" s="139"/>
      <c r="AH17" s="103"/>
      <c r="AI17" s="143"/>
      <c r="AJ17" s="143"/>
      <c r="AK17" s="143"/>
      <c r="AL17" s="47"/>
      <c r="AM17" s="91"/>
      <c r="AN17" s="91"/>
      <c r="AO17" s="28"/>
      <c r="AP17" s="27"/>
      <c r="AQ17" s="44"/>
      <c r="AR17" s="131"/>
      <c r="AS17" s="131"/>
      <c r="AT17" s="131"/>
      <c r="AU17" s="131"/>
      <c r="AV17" s="131"/>
      <c r="AW17" s="129"/>
      <c r="AX17" s="129"/>
      <c r="AY17" s="37"/>
      <c r="AZ17" s="37"/>
      <c r="BA17" s="37"/>
      <c r="BB17" s="91"/>
      <c r="BC17" s="91"/>
      <c r="BG17" s="3"/>
    </row>
    <row r="18" spans="1:59" s="480" customFormat="1" ht="12.75" customHeight="1" x14ac:dyDescent="0.2">
      <c r="A18" s="408"/>
      <c r="B18" s="6" t="s">
        <v>292</v>
      </c>
      <c r="C18" s="459">
        <f t="shared" ref="C18:C36" si="3">I18-M18</f>
        <v>-9081</v>
      </c>
      <c r="D18" s="498">
        <f t="shared" ref="D18:D29" si="4">IF(OR((C18/M18)&gt;3,(C18/M18)&lt;-3),"n.m.",(C18/M18))</f>
        <v>-0.28840473846349285</v>
      </c>
      <c r="E18" s="497"/>
      <c r="F18" s="502"/>
      <c r="G18" s="502"/>
      <c r="H18" s="502"/>
      <c r="I18" s="143">
        <v>22406</v>
      </c>
      <c r="J18" s="502">
        <v>42572</v>
      </c>
      <c r="K18" s="502">
        <v>50525</v>
      </c>
      <c r="L18" s="502">
        <v>31407</v>
      </c>
      <c r="M18" s="143">
        <v>31487</v>
      </c>
      <c r="N18" s="502">
        <v>57210</v>
      </c>
      <c r="O18" s="502">
        <v>46334</v>
      </c>
      <c r="P18" s="502">
        <v>38835</v>
      </c>
      <c r="Q18" s="143">
        <v>58739</v>
      </c>
      <c r="R18" s="502">
        <v>89001</v>
      </c>
      <c r="S18" s="502">
        <v>93267</v>
      </c>
      <c r="T18" s="502">
        <v>46394</v>
      </c>
      <c r="U18" s="143"/>
      <c r="V18" s="502"/>
      <c r="W18" s="502"/>
      <c r="X18" s="502"/>
      <c r="Y18" s="143"/>
      <c r="Z18" s="502"/>
      <c r="AA18" s="502"/>
      <c r="AB18" s="502"/>
      <c r="AC18" s="143"/>
      <c r="AD18" s="114"/>
      <c r="AE18" s="139"/>
      <c r="AF18" s="139"/>
      <c r="AG18" s="139"/>
      <c r="AH18" s="486"/>
      <c r="AI18" s="143"/>
      <c r="AJ18" s="143"/>
      <c r="AK18" s="143"/>
      <c r="AL18" s="47"/>
      <c r="AM18" s="494">
        <f t="shared" ref="AM18:AM34" si="5">SUM(K18:M18)</f>
        <v>113419</v>
      </c>
      <c r="AN18" s="494">
        <f t="shared" ref="AN18:AN34" si="6">SUM(O18:Q18)</f>
        <v>143908</v>
      </c>
      <c r="AO18" s="507">
        <f t="shared" ref="AO18:AO31" si="7">AR18-AS18</f>
        <v>-45126</v>
      </c>
      <c r="AP18" s="498">
        <f t="shared" si="0"/>
        <v>-0.22437685526335416</v>
      </c>
      <c r="AQ18" s="482"/>
      <c r="AR18" s="499">
        <f t="shared" ref="AR18:AR34" si="8">SUM(J18:M18)</f>
        <v>155991</v>
      </c>
      <c r="AS18" s="499">
        <v>201117</v>
      </c>
      <c r="AT18" s="499">
        <v>277879</v>
      </c>
      <c r="AU18" s="499">
        <v>182044</v>
      </c>
      <c r="AV18" s="499">
        <v>141136</v>
      </c>
      <c r="AW18" s="499">
        <v>226244</v>
      </c>
      <c r="AX18" s="499"/>
      <c r="AY18" s="37"/>
      <c r="AZ18" s="37"/>
      <c r="BA18" s="37"/>
      <c r="BB18" s="483"/>
      <c r="BC18" s="483"/>
      <c r="BG18" s="481"/>
    </row>
    <row r="19" spans="1:59" s="480" customFormat="1" ht="12.75" customHeight="1" x14ac:dyDescent="0.2">
      <c r="A19" s="408"/>
      <c r="B19" s="6" t="s">
        <v>293</v>
      </c>
      <c r="C19" s="267">
        <f t="shared" si="3"/>
        <v>1347</v>
      </c>
      <c r="D19" s="92">
        <f t="shared" si="4"/>
        <v>0.32094353109363832</v>
      </c>
      <c r="E19" s="497"/>
      <c r="F19" s="271"/>
      <c r="G19" s="271"/>
      <c r="H19" s="271"/>
      <c r="I19" s="146">
        <v>5544</v>
      </c>
      <c r="J19" s="271">
        <v>5436</v>
      </c>
      <c r="K19" s="271">
        <v>6168</v>
      </c>
      <c r="L19" s="271">
        <v>7680</v>
      </c>
      <c r="M19" s="146">
        <v>4197</v>
      </c>
      <c r="N19" s="271">
        <v>7417</v>
      </c>
      <c r="O19" s="271">
        <v>4597</v>
      </c>
      <c r="P19" s="271">
        <v>5903</v>
      </c>
      <c r="Q19" s="146">
        <v>-2011</v>
      </c>
      <c r="R19" s="271">
        <v>-2346</v>
      </c>
      <c r="S19" s="271">
        <v>2005</v>
      </c>
      <c r="T19" s="271">
        <v>2966</v>
      </c>
      <c r="U19" s="143"/>
      <c r="V19" s="502"/>
      <c r="W19" s="502"/>
      <c r="X19" s="502"/>
      <c r="Y19" s="143"/>
      <c r="Z19" s="502"/>
      <c r="AA19" s="502"/>
      <c r="AB19" s="502"/>
      <c r="AC19" s="143"/>
      <c r="AD19" s="114"/>
      <c r="AE19" s="139"/>
      <c r="AF19" s="139"/>
      <c r="AG19" s="139"/>
      <c r="AH19" s="486"/>
      <c r="AI19" s="143"/>
      <c r="AJ19" s="143"/>
      <c r="AK19" s="143"/>
      <c r="AL19" s="47"/>
      <c r="AM19" s="243">
        <f t="shared" si="5"/>
        <v>18045</v>
      </c>
      <c r="AN19" s="243">
        <f t="shared" si="6"/>
        <v>8489</v>
      </c>
      <c r="AO19" s="100">
        <f t="shared" si="7"/>
        <v>7574</v>
      </c>
      <c r="AP19" s="92">
        <f t="shared" si="0"/>
        <v>0.47614257873891996</v>
      </c>
      <c r="AQ19" s="482"/>
      <c r="AR19" s="134">
        <f t="shared" si="8"/>
        <v>23481</v>
      </c>
      <c r="AS19" s="134">
        <v>15907</v>
      </c>
      <c r="AT19" s="134">
        <v>3497</v>
      </c>
      <c r="AU19" s="134">
        <v>13721</v>
      </c>
      <c r="AV19" s="134">
        <v>4928</v>
      </c>
      <c r="AW19" s="134">
        <v>5477</v>
      </c>
      <c r="AX19" s="499"/>
      <c r="AY19" s="37"/>
      <c r="AZ19" s="37"/>
      <c r="BA19" s="37"/>
      <c r="BB19" s="483"/>
      <c r="BC19" s="483"/>
      <c r="BG19" s="481"/>
    </row>
    <row r="20" spans="1:59" ht="12.75" customHeight="1" x14ac:dyDescent="0.2">
      <c r="A20" s="7"/>
      <c r="B20" s="482" t="s">
        <v>211</v>
      </c>
      <c r="C20" s="34">
        <f t="shared" si="3"/>
        <v>-7734</v>
      </c>
      <c r="D20" s="27">
        <f t="shared" si="4"/>
        <v>-0.21673579195157494</v>
      </c>
      <c r="E20" s="350"/>
      <c r="F20" s="502"/>
      <c r="G20" s="502"/>
      <c r="H20" s="502"/>
      <c r="I20" s="143">
        <f>+I18+I19</f>
        <v>27950</v>
      </c>
      <c r="J20" s="502">
        <f>SUM(J18:J19)</f>
        <v>48008</v>
      </c>
      <c r="K20" s="502">
        <f>SUM(K18:K19)</f>
        <v>56693</v>
      </c>
      <c r="L20" s="502">
        <v>39087</v>
      </c>
      <c r="M20" s="143">
        <v>35684</v>
      </c>
      <c r="N20" s="263">
        <v>64627</v>
      </c>
      <c r="O20" s="263">
        <f>51829-898</f>
        <v>50931</v>
      </c>
      <c r="P20" s="263">
        <v>44738</v>
      </c>
      <c r="Q20" s="143">
        <v>56728</v>
      </c>
      <c r="R20" s="263">
        <v>86655</v>
      </c>
      <c r="S20" s="263">
        <v>95272</v>
      </c>
      <c r="T20" s="263">
        <v>49360</v>
      </c>
      <c r="U20" s="143">
        <v>50089</v>
      </c>
      <c r="V20" s="263">
        <v>48182</v>
      </c>
      <c r="W20" s="263">
        <v>65080</v>
      </c>
      <c r="X20" s="263">
        <v>38928</v>
      </c>
      <c r="Y20" s="143">
        <v>43575</v>
      </c>
      <c r="Z20" s="263">
        <v>29690</v>
      </c>
      <c r="AA20" s="263">
        <v>28216</v>
      </c>
      <c r="AB20" s="263">
        <v>35846</v>
      </c>
      <c r="AC20" s="143">
        <v>52312</v>
      </c>
      <c r="AD20" s="114">
        <v>42278</v>
      </c>
      <c r="AE20" s="139">
        <v>58353</v>
      </c>
      <c r="AF20" s="139">
        <v>52413</v>
      </c>
      <c r="AG20" s="139">
        <v>78677</v>
      </c>
      <c r="AH20" s="103">
        <v>77445</v>
      </c>
      <c r="AI20" s="143">
        <v>67818</v>
      </c>
      <c r="AJ20" s="143">
        <v>52505</v>
      </c>
      <c r="AK20" s="143">
        <v>65428</v>
      </c>
      <c r="AL20" s="47"/>
      <c r="AM20" s="494">
        <f t="shared" si="5"/>
        <v>131464</v>
      </c>
      <c r="AN20" s="494">
        <f t="shared" si="6"/>
        <v>152397</v>
      </c>
      <c r="AO20" s="28">
        <f t="shared" si="7"/>
        <v>-37552</v>
      </c>
      <c r="AP20" s="27">
        <f t="shared" si="0"/>
        <v>-0.17303155411383073</v>
      </c>
      <c r="AQ20" s="44"/>
      <c r="AR20" s="499">
        <f>SUM(AR18:AR19)</f>
        <v>179472</v>
      </c>
      <c r="AS20" s="129">
        <f>SUM(N20:Q20)</f>
        <v>217024</v>
      </c>
      <c r="AT20" s="129">
        <f>SUM(R20:U20)</f>
        <v>281376</v>
      </c>
      <c r="AU20" s="129">
        <v>195765</v>
      </c>
      <c r="AV20" s="129">
        <v>146064</v>
      </c>
      <c r="AW20" s="129">
        <v>231721</v>
      </c>
      <c r="AX20" s="129">
        <v>263196</v>
      </c>
      <c r="AY20" s="37">
        <v>221165</v>
      </c>
      <c r="AZ20" s="37">
        <v>154427</v>
      </c>
      <c r="BA20" s="37">
        <v>164826</v>
      </c>
      <c r="BB20" s="91"/>
      <c r="BC20" s="91"/>
      <c r="BG20" s="3"/>
    </row>
    <row r="21" spans="1:59" ht="12.75" customHeight="1" x14ac:dyDescent="0.2">
      <c r="A21" s="7"/>
      <c r="B21" s="44" t="s">
        <v>64</v>
      </c>
      <c r="C21" s="34">
        <f t="shared" si="3"/>
        <v>-1085</v>
      </c>
      <c r="D21" s="27">
        <f t="shared" si="4"/>
        <v>-7.994400235779546E-2</v>
      </c>
      <c r="E21" s="350"/>
      <c r="F21" s="502"/>
      <c r="G21" s="502"/>
      <c r="H21" s="502"/>
      <c r="I21" s="143">
        <v>12487</v>
      </c>
      <c r="J21" s="502">
        <v>12411</v>
      </c>
      <c r="K21" s="502">
        <v>11698</v>
      </c>
      <c r="L21" s="502">
        <v>12687</v>
      </c>
      <c r="M21" s="143">
        <v>13572</v>
      </c>
      <c r="N21" s="263">
        <v>13896</v>
      </c>
      <c r="O21" s="263">
        <f>16652-4300-275</f>
        <v>12077</v>
      </c>
      <c r="P21" s="263">
        <v>11648</v>
      </c>
      <c r="Q21" s="143">
        <v>13773</v>
      </c>
      <c r="R21" s="263">
        <v>14496</v>
      </c>
      <c r="S21" s="263">
        <v>12178</v>
      </c>
      <c r="T21" s="263">
        <v>13744</v>
      </c>
      <c r="U21" s="143">
        <v>13380</v>
      </c>
      <c r="V21" s="263">
        <v>13818</v>
      </c>
      <c r="W21" s="263">
        <v>12075</v>
      </c>
      <c r="X21" s="263">
        <v>11462</v>
      </c>
      <c r="Y21" s="143">
        <v>11235</v>
      </c>
      <c r="Z21" s="263">
        <v>11808</v>
      </c>
      <c r="AA21" s="263">
        <v>10244</v>
      </c>
      <c r="AB21" s="263">
        <v>11347</v>
      </c>
      <c r="AC21" s="143">
        <v>12594</v>
      </c>
      <c r="AD21" s="114">
        <v>12403</v>
      </c>
      <c r="AE21" s="139">
        <v>10559</v>
      </c>
      <c r="AF21" s="139">
        <v>10399</v>
      </c>
      <c r="AG21" s="139">
        <v>11856</v>
      </c>
      <c r="AH21" s="103">
        <v>11055</v>
      </c>
      <c r="AI21" s="143">
        <v>9161</v>
      </c>
      <c r="AJ21" s="143">
        <v>9102</v>
      </c>
      <c r="AK21" s="143">
        <v>10041</v>
      </c>
      <c r="AL21" s="47"/>
      <c r="AM21" s="235">
        <f t="shared" si="5"/>
        <v>37957</v>
      </c>
      <c r="AN21" s="235">
        <f t="shared" si="6"/>
        <v>37498</v>
      </c>
      <c r="AO21" s="28">
        <f t="shared" si="7"/>
        <v>-1026</v>
      </c>
      <c r="AP21" s="27">
        <f t="shared" si="0"/>
        <v>-1.9963419854457719E-2</v>
      </c>
      <c r="AQ21" s="44"/>
      <c r="AR21" s="499">
        <f t="shared" si="8"/>
        <v>50368</v>
      </c>
      <c r="AS21" s="129">
        <f t="shared" ref="AS21:AS34" si="9">SUM(N21:Q21)</f>
        <v>51394</v>
      </c>
      <c r="AT21" s="129">
        <f t="shared" ref="AT21:AT31" si="10">SUM(R21:U21)</f>
        <v>53798</v>
      </c>
      <c r="AU21" s="129">
        <v>48590</v>
      </c>
      <c r="AV21" s="129">
        <v>45993</v>
      </c>
      <c r="AW21" s="129">
        <v>45217</v>
      </c>
      <c r="AX21" s="129">
        <v>39359</v>
      </c>
      <c r="AY21" s="37">
        <v>37196</v>
      </c>
      <c r="AZ21" s="37">
        <v>36920</v>
      </c>
      <c r="BA21" s="37">
        <v>31335</v>
      </c>
      <c r="BB21" s="91"/>
      <c r="BC21" s="91"/>
      <c r="BG21" s="3"/>
    </row>
    <row r="22" spans="1:59" ht="12.75" hidden="1" customHeight="1" x14ac:dyDescent="0.2">
      <c r="A22" s="7"/>
      <c r="B22" s="6" t="s">
        <v>195</v>
      </c>
      <c r="C22" s="34">
        <f t="shared" si="3"/>
        <v>0</v>
      </c>
      <c r="D22" s="27" t="e">
        <f t="shared" si="4"/>
        <v>#DIV/0!</v>
      </c>
      <c r="E22" s="350"/>
      <c r="F22" s="507"/>
      <c r="G22" s="507"/>
      <c r="H22" s="507"/>
      <c r="I22" s="26"/>
      <c r="J22" s="507"/>
      <c r="K22" s="507"/>
      <c r="L22" s="507"/>
      <c r="M22" s="26"/>
      <c r="N22" s="28"/>
      <c r="O22" s="28"/>
      <c r="P22" s="28"/>
      <c r="Q22" s="26"/>
      <c r="R22" s="28"/>
      <c r="S22" s="28"/>
      <c r="T22" s="28"/>
      <c r="U22" s="26"/>
      <c r="V22" s="28">
        <v>0</v>
      </c>
      <c r="W22" s="28">
        <v>0</v>
      </c>
      <c r="X22" s="28">
        <v>0</v>
      </c>
      <c r="Y22" s="26">
        <v>0</v>
      </c>
      <c r="Z22" s="28">
        <v>0</v>
      </c>
      <c r="AA22" s="28">
        <v>0</v>
      </c>
      <c r="AB22" s="28">
        <v>0</v>
      </c>
      <c r="AC22" s="26">
        <v>0</v>
      </c>
      <c r="AD22" s="160"/>
      <c r="AE22" s="160"/>
      <c r="AF22" s="160"/>
      <c r="AG22" s="164"/>
      <c r="AH22" s="129"/>
      <c r="AI22" s="164"/>
      <c r="AJ22" s="164"/>
      <c r="AK22" s="164"/>
      <c r="AL22" s="131"/>
      <c r="AM22" s="235">
        <f t="shared" si="5"/>
        <v>0</v>
      </c>
      <c r="AN22" s="235">
        <f t="shared" si="6"/>
        <v>0</v>
      </c>
      <c r="AO22" s="180">
        <f t="shared" si="7"/>
        <v>0</v>
      </c>
      <c r="AP22" s="27" t="e">
        <f t="shared" si="0"/>
        <v>#DIV/0!</v>
      </c>
      <c r="AQ22" s="169"/>
      <c r="AR22" s="499">
        <f t="shared" si="8"/>
        <v>0</v>
      </c>
      <c r="AS22" s="129">
        <f t="shared" si="9"/>
        <v>0</v>
      </c>
      <c r="AT22" s="129">
        <f t="shared" si="10"/>
        <v>0</v>
      </c>
      <c r="AU22" s="37">
        <v>0</v>
      </c>
      <c r="AV22" s="37">
        <v>0</v>
      </c>
      <c r="AW22" s="37">
        <v>0</v>
      </c>
      <c r="AX22" s="37">
        <v>0</v>
      </c>
      <c r="AY22" s="37">
        <v>0</v>
      </c>
      <c r="AZ22" s="37"/>
      <c r="BA22" s="37"/>
      <c r="BB22" s="91"/>
      <c r="BC22" s="91"/>
      <c r="BG22" s="3"/>
    </row>
    <row r="23" spans="1:59" ht="12.75" customHeight="1" x14ac:dyDescent="0.2">
      <c r="A23" s="7"/>
      <c r="B23" s="44" t="s">
        <v>93</v>
      </c>
      <c r="C23" s="34">
        <f t="shared" si="3"/>
        <v>-1205</v>
      </c>
      <c r="D23" s="27">
        <f t="shared" si="4"/>
        <v>-0.24845360824742269</v>
      </c>
      <c r="E23" s="350"/>
      <c r="F23" s="502"/>
      <c r="G23" s="502"/>
      <c r="H23" s="502"/>
      <c r="I23" s="143">
        <v>3645</v>
      </c>
      <c r="J23" s="502">
        <v>4416</v>
      </c>
      <c r="K23" s="502">
        <v>4503</v>
      </c>
      <c r="L23" s="502">
        <v>3784</v>
      </c>
      <c r="M23" s="143">
        <v>4850</v>
      </c>
      <c r="N23" s="263">
        <v>4636</v>
      </c>
      <c r="O23" s="263">
        <v>5332</v>
      </c>
      <c r="P23" s="263">
        <v>5193</v>
      </c>
      <c r="Q23" s="143">
        <v>6806</v>
      </c>
      <c r="R23" s="263">
        <v>6617</v>
      </c>
      <c r="S23" s="263">
        <v>6104</v>
      </c>
      <c r="T23" s="263">
        <v>5375</v>
      </c>
      <c r="U23" s="143">
        <v>5783</v>
      </c>
      <c r="V23" s="263">
        <v>5147</v>
      </c>
      <c r="W23" s="263">
        <v>4751</v>
      </c>
      <c r="X23" s="263">
        <v>4541</v>
      </c>
      <c r="Y23" s="143">
        <v>4327</v>
      </c>
      <c r="Z23" s="263">
        <v>3862</v>
      </c>
      <c r="AA23" s="263">
        <v>4063</v>
      </c>
      <c r="AB23" s="263">
        <v>3347</v>
      </c>
      <c r="AC23" s="143">
        <v>3325</v>
      </c>
      <c r="AD23" s="114">
        <v>3357</v>
      </c>
      <c r="AE23" s="139">
        <v>4334</v>
      </c>
      <c r="AF23" s="139">
        <v>4309</v>
      </c>
      <c r="AG23" s="139">
        <v>4262</v>
      </c>
      <c r="AH23" s="103">
        <v>4096</v>
      </c>
      <c r="AI23" s="143">
        <v>3153</v>
      </c>
      <c r="AJ23" s="143">
        <v>3830</v>
      </c>
      <c r="AK23" s="143">
        <v>5904</v>
      </c>
      <c r="AL23" s="47"/>
      <c r="AM23" s="235">
        <f t="shared" si="5"/>
        <v>13137</v>
      </c>
      <c r="AN23" s="235">
        <f t="shared" si="6"/>
        <v>17331</v>
      </c>
      <c r="AO23" s="28">
        <f t="shared" si="7"/>
        <v>-4414</v>
      </c>
      <c r="AP23" s="27">
        <f t="shared" si="0"/>
        <v>-0.20093777029180135</v>
      </c>
      <c r="AQ23" s="44"/>
      <c r="AR23" s="499">
        <f t="shared" si="8"/>
        <v>17553</v>
      </c>
      <c r="AS23" s="129">
        <f t="shared" si="9"/>
        <v>21967</v>
      </c>
      <c r="AT23" s="129">
        <f t="shared" si="10"/>
        <v>23879</v>
      </c>
      <c r="AU23" s="129">
        <v>18766</v>
      </c>
      <c r="AV23" s="129">
        <v>14597</v>
      </c>
      <c r="AW23" s="129">
        <v>16262</v>
      </c>
      <c r="AX23" s="129">
        <v>16983</v>
      </c>
      <c r="AY23" s="37">
        <v>17399</v>
      </c>
      <c r="AZ23" s="37">
        <v>15700</v>
      </c>
      <c r="BA23" s="37">
        <v>16193</v>
      </c>
      <c r="BB23" s="91"/>
      <c r="BC23" s="91"/>
      <c r="BG23" s="3"/>
    </row>
    <row r="24" spans="1:59" ht="12.75" customHeight="1" x14ac:dyDescent="0.2">
      <c r="A24" s="7"/>
      <c r="B24" s="44" t="s">
        <v>66</v>
      </c>
      <c r="C24" s="34">
        <f t="shared" si="3"/>
        <v>-413</v>
      </c>
      <c r="D24" s="27">
        <f t="shared" si="4"/>
        <v>-9.7405660377358497E-2</v>
      </c>
      <c r="E24" s="350"/>
      <c r="F24" s="502"/>
      <c r="G24" s="502"/>
      <c r="H24" s="502"/>
      <c r="I24" s="143">
        <v>3827</v>
      </c>
      <c r="J24" s="502">
        <v>4013</v>
      </c>
      <c r="K24" s="502">
        <v>3786</v>
      </c>
      <c r="L24" s="502">
        <v>4094</v>
      </c>
      <c r="M24" s="143">
        <v>4240</v>
      </c>
      <c r="N24" s="263">
        <v>4490</v>
      </c>
      <c r="O24" s="263">
        <v>4349</v>
      </c>
      <c r="P24" s="263">
        <v>4395</v>
      </c>
      <c r="Q24" s="143">
        <v>4575</v>
      </c>
      <c r="R24" s="263">
        <v>5263</v>
      </c>
      <c r="S24" s="263">
        <v>5085</v>
      </c>
      <c r="T24" s="263">
        <v>4655</v>
      </c>
      <c r="U24" s="143">
        <v>4086</v>
      </c>
      <c r="V24" s="263">
        <v>4079</v>
      </c>
      <c r="W24" s="263">
        <v>4027</v>
      </c>
      <c r="X24" s="263">
        <v>3885</v>
      </c>
      <c r="Y24" s="143">
        <v>3702</v>
      </c>
      <c r="Z24" s="263">
        <v>4062</v>
      </c>
      <c r="AA24" s="263">
        <v>4010</v>
      </c>
      <c r="AB24" s="263">
        <v>3660</v>
      </c>
      <c r="AC24" s="143">
        <v>3721</v>
      </c>
      <c r="AD24" s="114">
        <v>3733</v>
      </c>
      <c r="AE24" s="139">
        <v>3630</v>
      </c>
      <c r="AF24" s="139">
        <v>3659</v>
      </c>
      <c r="AG24" s="139">
        <v>3478</v>
      </c>
      <c r="AH24" s="103">
        <v>3407</v>
      </c>
      <c r="AI24" s="143">
        <v>3507</v>
      </c>
      <c r="AJ24" s="143">
        <v>3794</v>
      </c>
      <c r="AK24" s="143">
        <v>3821</v>
      </c>
      <c r="AL24" s="47"/>
      <c r="AM24" s="235">
        <f t="shared" si="5"/>
        <v>12120</v>
      </c>
      <c r="AN24" s="235">
        <f t="shared" si="6"/>
        <v>13319</v>
      </c>
      <c r="AO24" s="28">
        <f t="shared" si="7"/>
        <v>-1676</v>
      </c>
      <c r="AP24" s="27">
        <f t="shared" si="0"/>
        <v>-9.4109719804593178E-2</v>
      </c>
      <c r="AQ24" s="44"/>
      <c r="AR24" s="499">
        <f t="shared" si="8"/>
        <v>16133</v>
      </c>
      <c r="AS24" s="129">
        <f t="shared" si="9"/>
        <v>17809</v>
      </c>
      <c r="AT24" s="129">
        <f t="shared" si="10"/>
        <v>19089</v>
      </c>
      <c r="AU24" s="129">
        <v>15693</v>
      </c>
      <c r="AV24" s="129">
        <v>15453</v>
      </c>
      <c r="AW24" s="129">
        <v>14500</v>
      </c>
      <c r="AX24" s="129">
        <v>14529</v>
      </c>
      <c r="AY24" s="37">
        <v>12701</v>
      </c>
      <c r="AZ24" s="37">
        <v>9706</v>
      </c>
      <c r="BA24" s="37">
        <v>10444</v>
      </c>
      <c r="BB24" s="91"/>
      <c r="BC24" s="91"/>
      <c r="BG24" s="3"/>
    </row>
    <row r="25" spans="1:59" ht="12.75" customHeight="1" x14ac:dyDescent="0.2">
      <c r="A25" s="7"/>
      <c r="B25" s="44" t="s">
        <v>67</v>
      </c>
      <c r="C25" s="34">
        <f t="shared" si="3"/>
        <v>-511</v>
      </c>
      <c r="D25" s="27">
        <f t="shared" si="4"/>
        <v>-0.12363900314541496</v>
      </c>
      <c r="E25" s="350"/>
      <c r="F25" s="502"/>
      <c r="G25" s="502"/>
      <c r="H25" s="502"/>
      <c r="I25" s="143">
        <v>3622</v>
      </c>
      <c r="J25" s="502">
        <v>4103</v>
      </c>
      <c r="K25" s="502">
        <v>4087</v>
      </c>
      <c r="L25" s="502">
        <v>3963</v>
      </c>
      <c r="M25" s="143">
        <v>4133</v>
      </c>
      <c r="N25" s="263">
        <v>4924</v>
      </c>
      <c r="O25" s="263">
        <v>3872</v>
      </c>
      <c r="P25" s="263">
        <v>3885</v>
      </c>
      <c r="Q25" s="143">
        <v>3756</v>
      </c>
      <c r="R25" s="263">
        <v>3726</v>
      </c>
      <c r="S25" s="263">
        <v>3429</v>
      </c>
      <c r="T25" s="263">
        <v>4011</v>
      </c>
      <c r="U25" s="143">
        <v>3664</v>
      </c>
      <c r="V25" s="263">
        <v>3374</v>
      </c>
      <c r="W25" s="263">
        <v>3740</v>
      </c>
      <c r="X25" s="263">
        <v>3502</v>
      </c>
      <c r="Y25" s="143">
        <v>3811</v>
      </c>
      <c r="Z25" s="263">
        <v>4293</v>
      </c>
      <c r="AA25" s="263">
        <v>4604</v>
      </c>
      <c r="AB25" s="263">
        <v>4576</v>
      </c>
      <c r="AC25" s="143">
        <v>4647</v>
      </c>
      <c r="AD25" s="114">
        <v>4496</v>
      </c>
      <c r="AE25" s="139">
        <v>4310</v>
      </c>
      <c r="AF25" s="139">
        <v>4532</v>
      </c>
      <c r="AG25" s="139">
        <v>4498</v>
      </c>
      <c r="AH25" s="103">
        <v>4418</v>
      </c>
      <c r="AI25" s="143">
        <v>4199</v>
      </c>
      <c r="AJ25" s="143">
        <v>4325</v>
      </c>
      <c r="AK25" s="143">
        <v>4019</v>
      </c>
      <c r="AL25" s="47"/>
      <c r="AM25" s="235">
        <f t="shared" si="5"/>
        <v>12183</v>
      </c>
      <c r="AN25" s="235">
        <f t="shared" si="6"/>
        <v>11513</v>
      </c>
      <c r="AO25" s="28">
        <f t="shared" si="7"/>
        <v>-151</v>
      </c>
      <c r="AP25" s="27">
        <f t="shared" si="0"/>
        <v>-9.1865912271095699E-3</v>
      </c>
      <c r="AQ25" s="44"/>
      <c r="AR25" s="499">
        <f t="shared" si="8"/>
        <v>16286</v>
      </c>
      <c r="AS25" s="129">
        <f t="shared" si="9"/>
        <v>16437</v>
      </c>
      <c r="AT25" s="129">
        <f t="shared" si="10"/>
        <v>14830</v>
      </c>
      <c r="AU25" s="129">
        <v>14427</v>
      </c>
      <c r="AV25" s="129">
        <v>18120</v>
      </c>
      <c r="AW25" s="129">
        <v>17836</v>
      </c>
      <c r="AX25" s="129">
        <v>16961</v>
      </c>
      <c r="AY25" s="37">
        <v>14662</v>
      </c>
      <c r="AZ25" s="37">
        <v>13001</v>
      </c>
      <c r="BA25" s="37">
        <v>11453</v>
      </c>
      <c r="BB25" s="91"/>
      <c r="BC25" s="91"/>
      <c r="BG25" s="3"/>
    </row>
    <row r="26" spans="1:59" ht="12.75" customHeight="1" x14ac:dyDescent="0.2">
      <c r="A26" s="7"/>
      <c r="B26" s="44" t="s">
        <v>62</v>
      </c>
      <c r="C26" s="34">
        <f t="shared" si="3"/>
        <v>-777</v>
      </c>
      <c r="D26" s="27">
        <f t="shared" si="4"/>
        <v>-0.24705882352941178</v>
      </c>
      <c r="E26" s="350"/>
      <c r="F26" s="502"/>
      <c r="G26" s="502"/>
      <c r="H26" s="502"/>
      <c r="I26" s="143">
        <v>2368</v>
      </c>
      <c r="J26" s="502">
        <v>2231</v>
      </c>
      <c r="K26" s="502">
        <v>2706</v>
      </c>
      <c r="L26" s="502">
        <v>1856</v>
      </c>
      <c r="M26" s="143">
        <v>3145</v>
      </c>
      <c r="N26" s="263">
        <v>2822</v>
      </c>
      <c r="O26" s="263">
        <v>2286</v>
      </c>
      <c r="P26" s="263">
        <v>1893</v>
      </c>
      <c r="Q26" s="143">
        <v>2378</v>
      </c>
      <c r="R26" s="263">
        <v>2383</v>
      </c>
      <c r="S26" s="263">
        <v>2974</v>
      </c>
      <c r="T26" s="263">
        <v>1630</v>
      </c>
      <c r="U26" s="143">
        <v>540</v>
      </c>
      <c r="V26" s="263">
        <v>172</v>
      </c>
      <c r="W26" s="263">
        <v>429</v>
      </c>
      <c r="X26" s="263">
        <v>277</v>
      </c>
      <c r="Y26" s="143">
        <v>-260</v>
      </c>
      <c r="Z26" s="263">
        <v>198</v>
      </c>
      <c r="AA26" s="263">
        <v>1663</v>
      </c>
      <c r="AB26" s="263">
        <v>2707</v>
      </c>
      <c r="AC26" s="143">
        <v>3325</v>
      </c>
      <c r="AD26" s="114">
        <v>4900</v>
      </c>
      <c r="AE26" s="139">
        <v>6118</v>
      </c>
      <c r="AF26" s="139">
        <v>5934</v>
      </c>
      <c r="AG26" s="139">
        <v>5847</v>
      </c>
      <c r="AH26" s="103">
        <v>5089</v>
      </c>
      <c r="AI26" s="143">
        <v>4823</v>
      </c>
      <c r="AJ26" s="143">
        <v>5321</v>
      </c>
      <c r="AK26" s="143">
        <v>4888</v>
      </c>
      <c r="AL26" s="47"/>
      <c r="AM26" s="235">
        <f t="shared" si="5"/>
        <v>7707</v>
      </c>
      <c r="AN26" s="235">
        <f t="shared" si="6"/>
        <v>6557</v>
      </c>
      <c r="AO26" s="28">
        <f t="shared" si="7"/>
        <v>559</v>
      </c>
      <c r="AP26" s="27">
        <f t="shared" si="0"/>
        <v>5.96012368056296E-2</v>
      </c>
      <c r="AQ26" s="44"/>
      <c r="AR26" s="499">
        <f t="shared" si="8"/>
        <v>9938</v>
      </c>
      <c r="AS26" s="129">
        <f t="shared" si="9"/>
        <v>9379</v>
      </c>
      <c r="AT26" s="129">
        <f t="shared" si="10"/>
        <v>7527</v>
      </c>
      <c r="AU26" s="129">
        <v>618</v>
      </c>
      <c r="AV26" s="129">
        <v>7893</v>
      </c>
      <c r="AW26" s="129">
        <v>22799</v>
      </c>
      <c r="AX26" s="129">
        <v>20121</v>
      </c>
      <c r="AY26" s="37">
        <v>10820</v>
      </c>
      <c r="AZ26" s="37">
        <v>7823</v>
      </c>
      <c r="BA26" s="37">
        <v>3959</v>
      </c>
      <c r="BB26" s="91"/>
      <c r="BC26" s="91"/>
      <c r="BG26" s="3"/>
    </row>
    <row r="27" spans="1:59" ht="12.75" customHeight="1" x14ac:dyDescent="0.2">
      <c r="A27" s="7"/>
      <c r="B27" s="44" t="s">
        <v>68</v>
      </c>
      <c r="C27" s="34">
        <f t="shared" si="3"/>
        <v>-1876</v>
      </c>
      <c r="D27" s="27">
        <f t="shared" si="4"/>
        <v>-0.2040905134899913</v>
      </c>
      <c r="E27" s="350"/>
      <c r="F27" s="502"/>
      <c r="G27" s="502"/>
      <c r="H27" s="502"/>
      <c r="I27" s="143">
        <v>7316</v>
      </c>
      <c r="J27" s="502">
        <v>8088</v>
      </c>
      <c r="K27" s="502">
        <v>8977</v>
      </c>
      <c r="L27" s="502">
        <v>9260</v>
      </c>
      <c r="M27" s="143">
        <v>9192</v>
      </c>
      <c r="N27" s="263">
        <v>12634</v>
      </c>
      <c r="O27" s="263">
        <v>10435</v>
      </c>
      <c r="P27" s="263">
        <v>11255</v>
      </c>
      <c r="Q27" s="143">
        <v>10637</v>
      </c>
      <c r="R27" s="263">
        <v>14217</v>
      </c>
      <c r="S27" s="263">
        <v>12149</v>
      </c>
      <c r="T27" s="263">
        <v>11678</v>
      </c>
      <c r="U27" s="143">
        <v>10345</v>
      </c>
      <c r="V27" s="263">
        <v>12296</v>
      </c>
      <c r="W27" s="263">
        <v>9716</v>
      </c>
      <c r="X27" s="263">
        <v>7759</v>
      </c>
      <c r="Y27" s="143">
        <v>7413</v>
      </c>
      <c r="Z27" s="263">
        <v>5941</v>
      </c>
      <c r="AA27" s="263">
        <v>13192</v>
      </c>
      <c r="AB27" s="263">
        <v>10569</v>
      </c>
      <c r="AC27" s="143">
        <v>11595</v>
      </c>
      <c r="AD27" s="114">
        <v>10702</v>
      </c>
      <c r="AE27" s="139">
        <v>12891</v>
      </c>
      <c r="AF27" s="139">
        <v>9494</v>
      </c>
      <c r="AG27" s="139">
        <v>12158</v>
      </c>
      <c r="AH27" s="103">
        <v>8743</v>
      </c>
      <c r="AI27" s="143">
        <v>9700</v>
      </c>
      <c r="AJ27" s="143">
        <v>9574</v>
      </c>
      <c r="AK27" s="143">
        <v>14575</v>
      </c>
      <c r="AL27" s="47"/>
      <c r="AM27" s="235">
        <f t="shared" si="5"/>
        <v>27429</v>
      </c>
      <c r="AN27" s="235">
        <f t="shared" si="6"/>
        <v>32327</v>
      </c>
      <c r="AO27" s="28">
        <f t="shared" si="7"/>
        <v>-9444</v>
      </c>
      <c r="AP27" s="27">
        <f t="shared" si="0"/>
        <v>-0.21004870888103022</v>
      </c>
      <c r="AQ27" s="44"/>
      <c r="AR27" s="499">
        <f t="shared" si="8"/>
        <v>35517</v>
      </c>
      <c r="AS27" s="129">
        <f t="shared" si="9"/>
        <v>44961</v>
      </c>
      <c r="AT27" s="129">
        <f t="shared" si="10"/>
        <v>48389</v>
      </c>
      <c r="AU27" s="129">
        <v>37184</v>
      </c>
      <c r="AV27" s="129">
        <v>41297</v>
      </c>
      <c r="AW27" s="129">
        <v>45245</v>
      </c>
      <c r="AX27" s="129">
        <v>42592</v>
      </c>
      <c r="AY27" s="37">
        <v>38066</v>
      </c>
      <c r="AZ27" s="37">
        <v>26292</v>
      </c>
      <c r="BA27" s="37">
        <v>21726</v>
      </c>
      <c r="BB27" s="91"/>
      <c r="BC27" s="91"/>
      <c r="BG27" s="3"/>
    </row>
    <row r="28" spans="1:59" ht="12.75" customHeight="1" x14ac:dyDescent="0.2">
      <c r="A28" s="7"/>
      <c r="B28" s="44" t="s">
        <v>69</v>
      </c>
      <c r="C28" s="34">
        <f t="shared" si="3"/>
        <v>-124</v>
      </c>
      <c r="D28" s="27">
        <f t="shared" si="4"/>
        <v>-5.4385964912280704E-2</v>
      </c>
      <c r="E28" s="350"/>
      <c r="F28" s="502"/>
      <c r="G28" s="502"/>
      <c r="H28" s="502"/>
      <c r="I28" s="143">
        <v>2156</v>
      </c>
      <c r="J28" s="502">
        <v>4130</v>
      </c>
      <c r="K28" s="502">
        <v>2981</v>
      </c>
      <c r="L28" s="502">
        <v>2285</v>
      </c>
      <c r="M28" s="143">
        <v>2280</v>
      </c>
      <c r="N28" s="263">
        <v>2386</v>
      </c>
      <c r="O28" s="263">
        <f>3210-837</f>
        <v>2373</v>
      </c>
      <c r="P28" s="263">
        <v>2307</v>
      </c>
      <c r="Q28" s="143">
        <v>2322</v>
      </c>
      <c r="R28" s="263">
        <v>2425</v>
      </c>
      <c r="S28" s="263">
        <v>2214</v>
      </c>
      <c r="T28" s="263">
        <v>3116</v>
      </c>
      <c r="U28" s="143">
        <v>2710</v>
      </c>
      <c r="V28" s="263">
        <v>1260</v>
      </c>
      <c r="W28" s="263">
        <v>1226</v>
      </c>
      <c r="X28" s="263">
        <v>1204</v>
      </c>
      <c r="Y28" s="143">
        <v>1192</v>
      </c>
      <c r="Z28" s="263">
        <v>1390</v>
      </c>
      <c r="AA28" s="263">
        <v>1936</v>
      </c>
      <c r="AB28" s="263">
        <v>1372</v>
      </c>
      <c r="AC28" s="143">
        <v>1355</v>
      </c>
      <c r="AD28" s="114">
        <v>1478</v>
      </c>
      <c r="AE28" s="139">
        <v>1452</v>
      </c>
      <c r="AF28" s="139">
        <v>1389</v>
      </c>
      <c r="AG28" s="139">
        <v>1286</v>
      </c>
      <c r="AH28" s="103">
        <v>1349</v>
      </c>
      <c r="AI28" s="143">
        <v>1280</v>
      </c>
      <c r="AJ28" s="143">
        <v>1418</v>
      </c>
      <c r="AK28" s="143">
        <v>1381</v>
      </c>
      <c r="AL28" s="47"/>
      <c r="AM28" s="235">
        <f t="shared" si="5"/>
        <v>7546</v>
      </c>
      <c r="AN28" s="235">
        <f t="shared" si="6"/>
        <v>7002</v>
      </c>
      <c r="AO28" s="28">
        <f t="shared" si="7"/>
        <v>2288</v>
      </c>
      <c r="AP28" s="27">
        <f t="shared" si="0"/>
        <v>0.24371538133787815</v>
      </c>
      <c r="AQ28" s="44"/>
      <c r="AR28" s="499">
        <f t="shared" si="8"/>
        <v>11676</v>
      </c>
      <c r="AS28" s="129">
        <f t="shared" si="9"/>
        <v>9388</v>
      </c>
      <c r="AT28" s="129">
        <f t="shared" si="10"/>
        <v>10465</v>
      </c>
      <c r="AU28" s="129">
        <v>4882</v>
      </c>
      <c r="AV28" s="129">
        <v>6053</v>
      </c>
      <c r="AW28" s="129">
        <v>5605</v>
      </c>
      <c r="AX28" s="129">
        <v>5428</v>
      </c>
      <c r="AY28" s="37">
        <v>3923</v>
      </c>
      <c r="AZ28" s="37">
        <v>2565</v>
      </c>
      <c r="BA28" s="37">
        <v>2849</v>
      </c>
      <c r="BB28" s="91"/>
      <c r="BC28" s="91"/>
      <c r="BG28" s="3"/>
    </row>
    <row r="29" spans="1:59" ht="12.75" customHeight="1" x14ac:dyDescent="0.2">
      <c r="A29" s="6"/>
      <c r="B29" s="44" t="s">
        <v>70</v>
      </c>
      <c r="C29" s="34">
        <f t="shared" si="3"/>
        <v>-683</v>
      </c>
      <c r="D29" s="27">
        <f t="shared" si="4"/>
        <v>-0.26391035548686242</v>
      </c>
      <c r="E29" s="350"/>
      <c r="F29" s="502"/>
      <c r="G29" s="502"/>
      <c r="H29" s="502"/>
      <c r="I29" s="143">
        <v>1905</v>
      </c>
      <c r="J29" s="502">
        <v>1993</v>
      </c>
      <c r="K29" s="502">
        <v>2071</v>
      </c>
      <c r="L29" s="502">
        <v>3527</v>
      </c>
      <c r="M29" s="143">
        <v>2588</v>
      </c>
      <c r="N29" s="263">
        <v>2802</v>
      </c>
      <c r="O29" s="263">
        <v>2446</v>
      </c>
      <c r="P29" s="263">
        <v>2763</v>
      </c>
      <c r="Q29" s="143">
        <v>3039</v>
      </c>
      <c r="R29" s="263">
        <v>3450</v>
      </c>
      <c r="S29" s="263">
        <v>3476</v>
      </c>
      <c r="T29" s="263">
        <v>3749</v>
      </c>
      <c r="U29" s="143">
        <v>3883</v>
      </c>
      <c r="V29" s="263">
        <v>4449</v>
      </c>
      <c r="W29" s="263">
        <v>5476</v>
      </c>
      <c r="X29" s="263">
        <v>4114</v>
      </c>
      <c r="Y29" s="143">
        <v>3772</v>
      </c>
      <c r="Z29" s="263">
        <v>4637</v>
      </c>
      <c r="AA29" s="263">
        <v>4127</v>
      </c>
      <c r="AB29" s="263">
        <v>3304</v>
      </c>
      <c r="AC29" s="143">
        <v>3855</v>
      </c>
      <c r="AD29" s="114">
        <v>4230</v>
      </c>
      <c r="AE29" s="139">
        <v>3260</v>
      </c>
      <c r="AF29" s="139">
        <v>3297</v>
      </c>
      <c r="AG29" s="139">
        <v>3251</v>
      </c>
      <c r="AH29" s="103">
        <v>3137</v>
      </c>
      <c r="AI29" s="143">
        <v>3316</v>
      </c>
      <c r="AJ29" s="143">
        <v>2833</v>
      </c>
      <c r="AK29" s="143">
        <v>2819</v>
      </c>
      <c r="AL29" s="47"/>
      <c r="AM29" s="235">
        <f t="shared" si="5"/>
        <v>8186</v>
      </c>
      <c r="AN29" s="235">
        <f t="shared" si="6"/>
        <v>8248</v>
      </c>
      <c r="AO29" s="28">
        <f t="shared" si="7"/>
        <v>-871</v>
      </c>
      <c r="AP29" s="27">
        <f t="shared" si="0"/>
        <v>-7.8823529411764709E-2</v>
      </c>
      <c r="AQ29" s="44"/>
      <c r="AR29" s="499">
        <f t="shared" si="8"/>
        <v>10179</v>
      </c>
      <c r="AS29" s="129">
        <f t="shared" si="9"/>
        <v>11050</v>
      </c>
      <c r="AT29" s="129">
        <f t="shared" si="10"/>
        <v>14558</v>
      </c>
      <c r="AU29" s="129">
        <v>17811</v>
      </c>
      <c r="AV29" s="129">
        <v>15923</v>
      </c>
      <c r="AW29" s="129">
        <v>14038</v>
      </c>
      <c r="AX29" s="129">
        <v>12105</v>
      </c>
      <c r="AY29" s="37">
        <v>9243</v>
      </c>
      <c r="AZ29" s="37">
        <v>7924</v>
      </c>
      <c r="BA29" s="37">
        <v>8240</v>
      </c>
      <c r="BB29" s="91"/>
      <c r="BC29" s="91"/>
      <c r="BG29" s="3"/>
    </row>
    <row r="30" spans="1:59" ht="12.75" customHeight="1" x14ac:dyDescent="0.2">
      <c r="A30" s="7"/>
      <c r="B30" s="6" t="s">
        <v>164</v>
      </c>
      <c r="C30" s="34">
        <f t="shared" si="3"/>
        <v>0</v>
      </c>
      <c r="D30" s="349">
        <v>0</v>
      </c>
      <c r="E30" s="350"/>
      <c r="F30" s="488"/>
      <c r="G30" s="488"/>
      <c r="H30" s="488"/>
      <c r="I30" s="109">
        <v>0</v>
      </c>
      <c r="J30" s="488">
        <v>0</v>
      </c>
      <c r="K30" s="488">
        <v>0</v>
      </c>
      <c r="L30" s="488">
        <v>15042</v>
      </c>
      <c r="M30" s="109">
        <v>0</v>
      </c>
      <c r="N30" s="140">
        <v>8153</v>
      </c>
      <c r="O30" s="140">
        <f>4300+275+899</f>
        <v>5474</v>
      </c>
      <c r="P30" s="140">
        <v>0</v>
      </c>
      <c r="Q30" s="109">
        <v>0</v>
      </c>
      <c r="R30" s="140">
        <v>0</v>
      </c>
      <c r="S30" s="140">
        <v>0</v>
      </c>
      <c r="T30" s="140">
        <v>0</v>
      </c>
      <c r="U30" s="109">
        <v>0</v>
      </c>
      <c r="V30" s="140">
        <v>0</v>
      </c>
      <c r="W30" s="140">
        <v>0</v>
      </c>
      <c r="X30" s="140">
        <v>0</v>
      </c>
      <c r="Y30" s="109">
        <v>0</v>
      </c>
      <c r="Z30" s="263">
        <v>142</v>
      </c>
      <c r="AA30" s="263">
        <v>2623</v>
      </c>
      <c r="AB30" s="140">
        <v>0</v>
      </c>
      <c r="AC30" s="109">
        <v>0</v>
      </c>
      <c r="AD30" s="142">
        <v>4000</v>
      </c>
      <c r="AE30" s="141">
        <v>0</v>
      </c>
      <c r="AF30" s="141">
        <v>0</v>
      </c>
      <c r="AG30" s="141">
        <v>0</v>
      </c>
      <c r="AH30" s="132">
        <v>0</v>
      </c>
      <c r="AI30" s="144">
        <v>0</v>
      </c>
      <c r="AJ30" s="143"/>
      <c r="AK30" s="143"/>
      <c r="AL30" s="47"/>
      <c r="AM30" s="140">
        <f t="shared" si="5"/>
        <v>15042</v>
      </c>
      <c r="AN30" s="28">
        <f t="shared" si="6"/>
        <v>5474</v>
      </c>
      <c r="AO30" s="140">
        <f t="shared" si="7"/>
        <v>1415</v>
      </c>
      <c r="AP30" s="458">
        <f t="shared" si="0"/>
        <v>0.10383796873853379</v>
      </c>
      <c r="AQ30" s="47"/>
      <c r="AR30" s="499">
        <f t="shared" si="8"/>
        <v>15042</v>
      </c>
      <c r="AS30" s="144">
        <f>SUM(N30:Q30)</f>
        <v>13627</v>
      </c>
      <c r="AT30" s="144">
        <v>0</v>
      </c>
      <c r="AU30" s="144">
        <v>0</v>
      </c>
      <c r="AV30" s="132">
        <v>2765</v>
      </c>
      <c r="AW30" s="410">
        <v>4000</v>
      </c>
      <c r="AX30" s="132">
        <v>0</v>
      </c>
      <c r="AY30" s="132">
        <v>0</v>
      </c>
      <c r="AZ30" s="132">
        <v>0</v>
      </c>
      <c r="BA30" s="132">
        <v>0</v>
      </c>
      <c r="BB30" s="91"/>
      <c r="BC30" s="91"/>
      <c r="BG30" s="3"/>
    </row>
    <row r="31" spans="1:59" x14ac:dyDescent="0.2">
      <c r="A31" s="6"/>
      <c r="B31" s="6" t="s">
        <v>185</v>
      </c>
      <c r="C31" s="34">
        <f t="shared" si="3"/>
        <v>0</v>
      </c>
      <c r="D31" s="349">
        <v>0</v>
      </c>
      <c r="E31" s="350"/>
      <c r="F31" s="488"/>
      <c r="G31" s="488"/>
      <c r="H31" s="488"/>
      <c r="I31" s="109">
        <v>0</v>
      </c>
      <c r="J31" s="488">
        <v>0</v>
      </c>
      <c r="K31" s="488">
        <v>0</v>
      </c>
      <c r="L31" s="488">
        <v>388</v>
      </c>
      <c r="M31" s="109">
        <v>0</v>
      </c>
      <c r="N31" s="140">
        <v>0</v>
      </c>
      <c r="O31" s="140">
        <v>2700</v>
      </c>
      <c r="P31" s="140">
        <v>2956</v>
      </c>
      <c r="Q31" s="109">
        <v>0</v>
      </c>
      <c r="R31" s="140">
        <v>0</v>
      </c>
      <c r="S31" s="140">
        <v>1750</v>
      </c>
      <c r="T31" s="140">
        <v>0</v>
      </c>
      <c r="U31" s="109">
        <v>10990</v>
      </c>
      <c r="V31" s="140">
        <v>5000</v>
      </c>
      <c r="W31" s="140">
        <v>0</v>
      </c>
      <c r="X31" s="140">
        <v>0</v>
      </c>
      <c r="Y31" s="109">
        <v>0</v>
      </c>
      <c r="Z31" s="140">
        <v>0</v>
      </c>
      <c r="AA31" s="140">
        <v>0</v>
      </c>
      <c r="AB31" s="140">
        <v>0</v>
      </c>
      <c r="AC31" s="109">
        <v>0</v>
      </c>
      <c r="AD31" s="115">
        <v>0</v>
      </c>
      <c r="AE31" s="141"/>
      <c r="AF31" s="141"/>
      <c r="AG31" s="141"/>
      <c r="AH31" s="132"/>
      <c r="AI31" s="144"/>
      <c r="AJ31" s="144"/>
      <c r="AK31" s="144"/>
      <c r="AL31" s="47"/>
      <c r="AM31" s="488">
        <f t="shared" si="5"/>
        <v>388</v>
      </c>
      <c r="AN31" s="235">
        <f t="shared" si="6"/>
        <v>5656</v>
      </c>
      <c r="AO31" s="140">
        <f t="shared" si="7"/>
        <v>-5268</v>
      </c>
      <c r="AP31" s="27">
        <f t="shared" si="0"/>
        <v>-0.93140028288543142</v>
      </c>
      <c r="AQ31" s="44"/>
      <c r="AR31" s="499">
        <f t="shared" si="8"/>
        <v>388</v>
      </c>
      <c r="AS31" s="129">
        <f t="shared" si="9"/>
        <v>5656</v>
      </c>
      <c r="AT31" s="129">
        <f t="shared" si="10"/>
        <v>12740</v>
      </c>
      <c r="AU31" s="132">
        <v>5000</v>
      </c>
      <c r="AV31" s="132">
        <v>0</v>
      </c>
      <c r="AW31" s="410">
        <v>0</v>
      </c>
      <c r="AX31" s="132">
        <v>0</v>
      </c>
      <c r="AY31" s="132">
        <v>0</v>
      </c>
      <c r="AZ31" s="132"/>
      <c r="BA31" s="132"/>
      <c r="BB31" s="91"/>
      <c r="BC31" s="91"/>
      <c r="BG31" s="3"/>
    </row>
    <row r="32" spans="1:59" x14ac:dyDescent="0.2">
      <c r="A32" s="6"/>
      <c r="B32" s="44" t="s">
        <v>71</v>
      </c>
      <c r="C32" s="34">
        <f t="shared" si="3"/>
        <v>0</v>
      </c>
      <c r="D32" s="349">
        <v>0</v>
      </c>
      <c r="E32" s="350"/>
      <c r="F32" s="488"/>
      <c r="G32" s="488"/>
      <c r="H32" s="488"/>
      <c r="I32" s="109">
        <v>0</v>
      </c>
      <c r="J32" s="488">
        <v>0</v>
      </c>
      <c r="K32" s="488">
        <v>0</v>
      </c>
      <c r="L32" s="488">
        <v>0</v>
      </c>
      <c r="M32" s="109">
        <v>0</v>
      </c>
      <c r="N32" s="140">
        <v>0</v>
      </c>
      <c r="O32" s="140">
        <v>0</v>
      </c>
      <c r="P32" s="140">
        <v>0</v>
      </c>
      <c r="Q32" s="109">
        <v>0</v>
      </c>
      <c r="R32" s="140">
        <v>0</v>
      </c>
      <c r="S32" s="140">
        <v>0</v>
      </c>
      <c r="T32" s="140">
        <v>0</v>
      </c>
      <c r="U32" s="109">
        <v>0</v>
      </c>
      <c r="V32" s="140">
        <v>0</v>
      </c>
      <c r="W32" s="140">
        <v>0</v>
      </c>
      <c r="X32" s="140">
        <v>0</v>
      </c>
      <c r="Y32" s="109">
        <v>0</v>
      </c>
      <c r="Z32" s="140">
        <v>0</v>
      </c>
      <c r="AA32" s="140">
        <v>6700</v>
      </c>
      <c r="AB32" s="140">
        <v>0</v>
      </c>
      <c r="AC32" s="109">
        <v>0</v>
      </c>
      <c r="AD32" s="114">
        <v>4172</v>
      </c>
      <c r="AE32" s="139">
        <v>4226</v>
      </c>
      <c r="AF32" s="139">
        <v>4399</v>
      </c>
      <c r="AG32" s="140">
        <v>0</v>
      </c>
      <c r="AH32" s="116">
        <v>0</v>
      </c>
      <c r="AI32" s="109">
        <v>0</v>
      </c>
      <c r="AJ32" s="109">
        <v>0</v>
      </c>
      <c r="AK32" s="109">
        <v>0</v>
      </c>
      <c r="AL32" s="47"/>
      <c r="AM32" s="140">
        <f t="shared" si="5"/>
        <v>0</v>
      </c>
      <c r="AN32" s="140">
        <f t="shared" si="6"/>
        <v>0</v>
      </c>
      <c r="AO32" s="140">
        <v>0</v>
      </c>
      <c r="AP32" s="27">
        <v>0</v>
      </c>
      <c r="AQ32" s="44"/>
      <c r="AR32" s="409">
        <f t="shared" si="8"/>
        <v>0</v>
      </c>
      <c r="AS32" s="409">
        <f t="shared" si="9"/>
        <v>0</v>
      </c>
      <c r="AT32" s="116">
        <v>0</v>
      </c>
      <c r="AU32" s="116">
        <v>0</v>
      </c>
      <c r="AV32" s="116">
        <v>6700</v>
      </c>
      <c r="AW32" s="129">
        <v>12797</v>
      </c>
      <c r="AX32" s="132">
        <v>0</v>
      </c>
      <c r="AY32" s="37">
        <v>0</v>
      </c>
      <c r="AZ32" s="37">
        <v>0</v>
      </c>
      <c r="BA32" s="37">
        <v>0</v>
      </c>
      <c r="BB32" s="91"/>
      <c r="BC32" s="91"/>
      <c r="BG32" s="3"/>
    </row>
    <row r="33" spans="1:59" ht="12.75" customHeight="1" x14ac:dyDescent="0.2">
      <c r="A33" s="6"/>
      <c r="B33" s="87" t="s">
        <v>163</v>
      </c>
      <c r="C33" s="34">
        <f t="shared" si="3"/>
        <v>0</v>
      </c>
      <c r="D33" s="349">
        <v>0</v>
      </c>
      <c r="E33" s="350"/>
      <c r="F33" s="488"/>
      <c r="G33" s="488"/>
      <c r="H33" s="488"/>
      <c r="I33" s="109">
        <v>0</v>
      </c>
      <c r="J33" s="488">
        <v>0</v>
      </c>
      <c r="K33" s="488">
        <v>0</v>
      </c>
      <c r="L33" s="488">
        <v>0</v>
      </c>
      <c r="M33" s="109">
        <v>0</v>
      </c>
      <c r="N33" s="140">
        <v>0</v>
      </c>
      <c r="O33" s="140">
        <v>0</v>
      </c>
      <c r="P33" s="140">
        <v>0</v>
      </c>
      <c r="Q33" s="109">
        <v>0</v>
      </c>
      <c r="R33" s="140">
        <v>0</v>
      </c>
      <c r="S33" s="140">
        <v>0</v>
      </c>
      <c r="T33" s="140">
        <v>0</v>
      </c>
      <c r="U33" s="109">
        <v>0</v>
      </c>
      <c r="V33" s="140">
        <v>0</v>
      </c>
      <c r="W33" s="140">
        <v>0</v>
      </c>
      <c r="X33" s="140">
        <v>0</v>
      </c>
      <c r="Y33" s="109">
        <v>0</v>
      </c>
      <c r="Z33" s="140">
        <v>0</v>
      </c>
      <c r="AA33" s="140">
        <v>5347</v>
      </c>
      <c r="AB33" s="140">
        <v>0</v>
      </c>
      <c r="AC33" s="109">
        <v>0</v>
      </c>
      <c r="AD33" s="114">
        <v>54200</v>
      </c>
      <c r="AE33" s="141">
        <v>0</v>
      </c>
      <c r="AF33" s="141">
        <v>0</v>
      </c>
      <c r="AG33" s="141">
        <v>0</v>
      </c>
      <c r="AH33" s="132">
        <v>0</v>
      </c>
      <c r="AI33" s="144">
        <v>0</v>
      </c>
      <c r="AJ33" s="144">
        <v>0</v>
      </c>
      <c r="AK33" s="144">
        <v>0</v>
      </c>
      <c r="AL33" s="47"/>
      <c r="AM33" s="140">
        <f t="shared" si="5"/>
        <v>0</v>
      </c>
      <c r="AN33" s="140">
        <f t="shared" si="6"/>
        <v>0</v>
      </c>
      <c r="AO33" s="140">
        <v>0</v>
      </c>
      <c r="AP33" s="27">
        <v>0</v>
      </c>
      <c r="AQ33" s="44"/>
      <c r="AR33" s="410">
        <f t="shared" si="8"/>
        <v>0</v>
      </c>
      <c r="AS33" s="410">
        <f t="shared" si="9"/>
        <v>0</v>
      </c>
      <c r="AT33" s="132">
        <v>0</v>
      </c>
      <c r="AU33" s="132">
        <v>0</v>
      </c>
      <c r="AV33" s="132">
        <v>5347</v>
      </c>
      <c r="AW33" s="129">
        <v>54200</v>
      </c>
      <c r="AX33" s="132">
        <v>0</v>
      </c>
      <c r="AY33" s="37">
        <v>0</v>
      </c>
      <c r="AZ33" s="37">
        <v>0</v>
      </c>
      <c r="BA33" s="37">
        <v>0</v>
      </c>
      <c r="BB33" s="91"/>
      <c r="BC33" s="91"/>
      <c r="BG33" s="3"/>
    </row>
    <row r="34" spans="1:59" ht="12.75" customHeight="1" x14ac:dyDescent="0.2">
      <c r="A34" s="6"/>
      <c r="B34" s="6" t="s">
        <v>162</v>
      </c>
      <c r="C34" s="34">
        <f t="shared" si="3"/>
        <v>0</v>
      </c>
      <c r="D34" s="349">
        <v>0</v>
      </c>
      <c r="E34" s="350"/>
      <c r="F34" s="488"/>
      <c r="G34" s="488"/>
      <c r="H34" s="488"/>
      <c r="I34" s="109">
        <v>0</v>
      </c>
      <c r="J34" s="488">
        <v>0</v>
      </c>
      <c r="K34" s="488">
        <v>0</v>
      </c>
      <c r="L34" s="488">
        <v>0</v>
      </c>
      <c r="M34" s="109">
        <v>0</v>
      </c>
      <c r="N34" s="140">
        <v>0</v>
      </c>
      <c r="O34" s="140">
        <v>0</v>
      </c>
      <c r="P34" s="140">
        <v>0</v>
      </c>
      <c r="Q34" s="109">
        <v>0</v>
      </c>
      <c r="R34" s="140">
        <v>0</v>
      </c>
      <c r="S34" s="140">
        <v>0</v>
      </c>
      <c r="T34" s="140">
        <v>0</v>
      </c>
      <c r="U34" s="109">
        <v>0</v>
      </c>
      <c r="V34" s="140">
        <v>0</v>
      </c>
      <c r="W34" s="140">
        <v>0</v>
      </c>
      <c r="X34" s="140">
        <v>0</v>
      </c>
      <c r="Y34" s="109">
        <v>0</v>
      </c>
      <c r="Z34" s="140">
        <v>0</v>
      </c>
      <c r="AA34" s="140">
        <v>3958</v>
      </c>
      <c r="AB34" s="140">
        <v>0</v>
      </c>
      <c r="AC34" s="109">
        <v>0</v>
      </c>
      <c r="AD34" s="115">
        <v>0</v>
      </c>
      <c r="AE34" s="141">
        <v>0</v>
      </c>
      <c r="AF34" s="141">
        <v>0</v>
      </c>
      <c r="AG34" s="141">
        <v>0</v>
      </c>
      <c r="AH34" s="132">
        <v>0</v>
      </c>
      <c r="AI34" s="144">
        <v>0</v>
      </c>
      <c r="AJ34" s="144"/>
      <c r="AK34" s="144"/>
      <c r="AL34" s="47"/>
      <c r="AM34" s="140">
        <f t="shared" si="5"/>
        <v>0</v>
      </c>
      <c r="AN34" s="140">
        <f t="shared" si="6"/>
        <v>0</v>
      </c>
      <c r="AO34" s="140">
        <v>0</v>
      </c>
      <c r="AP34" s="27">
        <v>0</v>
      </c>
      <c r="AQ34" s="44"/>
      <c r="AR34" s="410">
        <f t="shared" si="8"/>
        <v>0</v>
      </c>
      <c r="AS34" s="410">
        <f t="shared" si="9"/>
        <v>0</v>
      </c>
      <c r="AT34" s="132">
        <v>0</v>
      </c>
      <c r="AU34" s="132">
        <v>0</v>
      </c>
      <c r="AV34" s="132">
        <v>3958</v>
      </c>
      <c r="AW34" s="410">
        <v>0</v>
      </c>
      <c r="AX34" s="132">
        <v>0</v>
      </c>
      <c r="AY34" s="132">
        <v>0</v>
      </c>
      <c r="AZ34" s="132">
        <v>0</v>
      </c>
      <c r="BA34" s="132">
        <v>0</v>
      </c>
      <c r="BB34" s="91"/>
      <c r="BC34" s="91"/>
      <c r="BG34" s="3"/>
    </row>
    <row r="35" spans="1:59" ht="12.75" customHeight="1" x14ac:dyDescent="0.2">
      <c r="A35" s="7"/>
      <c r="B35" s="6"/>
      <c r="C35" s="110">
        <f t="shared" si="3"/>
        <v>-14408</v>
      </c>
      <c r="D35" s="111">
        <f>IF(OR((C35/M35)&gt;3,(C35/M35)&lt;-3),"n.m.",(C35/M35))</f>
        <v>-0.18081421615380755</v>
      </c>
      <c r="E35" s="350"/>
      <c r="F35" s="147">
        <f t="shared" ref="F35:M35" si="11">SUM(F20:F34)</f>
        <v>0</v>
      </c>
      <c r="G35" s="147">
        <f t="shared" si="11"/>
        <v>0</v>
      </c>
      <c r="H35" s="147">
        <f t="shared" si="11"/>
        <v>0</v>
      </c>
      <c r="I35" s="148">
        <f t="shared" si="11"/>
        <v>65276</v>
      </c>
      <c r="J35" s="147">
        <f t="shared" si="11"/>
        <v>89393</v>
      </c>
      <c r="K35" s="147">
        <f t="shared" si="11"/>
        <v>97502</v>
      </c>
      <c r="L35" s="147">
        <f t="shared" si="11"/>
        <v>95973</v>
      </c>
      <c r="M35" s="148">
        <f t="shared" si="11"/>
        <v>79684</v>
      </c>
      <c r="N35" s="147">
        <f t="shared" ref="N35:U35" si="12">SUM(N20:N34)</f>
        <v>121370</v>
      </c>
      <c r="O35" s="147">
        <f t="shared" si="12"/>
        <v>102275</v>
      </c>
      <c r="P35" s="147">
        <f t="shared" si="12"/>
        <v>91033</v>
      </c>
      <c r="Q35" s="148">
        <f t="shared" si="12"/>
        <v>104014</v>
      </c>
      <c r="R35" s="147">
        <f t="shared" si="12"/>
        <v>139232</v>
      </c>
      <c r="S35" s="147">
        <f t="shared" si="12"/>
        <v>144631</v>
      </c>
      <c r="T35" s="147">
        <f t="shared" si="12"/>
        <v>97318</v>
      </c>
      <c r="U35" s="148">
        <f t="shared" si="12"/>
        <v>105470</v>
      </c>
      <c r="V35" s="147">
        <v>97777</v>
      </c>
      <c r="W35" s="147">
        <v>106520</v>
      </c>
      <c r="X35" s="147">
        <v>75672</v>
      </c>
      <c r="Y35" s="148">
        <v>78767</v>
      </c>
      <c r="Z35" s="147">
        <v>66023</v>
      </c>
      <c r="AA35" s="147">
        <v>90683</v>
      </c>
      <c r="AB35" s="147">
        <v>76728</v>
      </c>
      <c r="AC35" s="148">
        <v>96729</v>
      </c>
      <c r="AD35" s="117">
        <v>149949</v>
      </c>
      <c r="AE35" s="147">
        <v>109133</v>
      </c>
      <c r="AF35" s="147">
        <v>99825</v>
      </c>
      <c r="AG35" s="147">
        <v>125313</v>
      </c>
      <c r="AH35" s="112">
        <v>118739</v>
      </c>
      <c r="AI35" s="148">
        <v>106957</v>
      </c>
      <c r="AJ35" s="148">
        <v>92702</v>
      </c>
      <c r="AK35" s="148">
        <v>112876</v>
      </c>
      <c r="AL35" s="47"/>
      <c r="AM35" s="147">
        <f>SUM(AM20:AM34)</f>
        <v>273159</v>
      </c>
      <c r="AN35" s="147">
        <f>SUM(AN20:AN34)</f>
        <v>297322</v>
      </c>
      <c r="AO35" s="244">
        <f>AR35-AS35</f>
        <v>-56140</v>
      </c>
      <c r="AP35" s="314">
        <f>IF(OR((AO35/AS35)&gt;3,(AO35/AS35)&lt;-3),"n.m.",(AO35/AS35))</f>
        <v>-0.13408424331011817</v>
      </c>
      <c r="AQ35" s="47"/>
      <c r="AR35" s="148">
        <f>SUM(AR20:AR34)</f>
        <v>362552</v>
      </c>
      <c r="AS35" s="148">
        <f>SUM(AS20:AS34)</f>
        <v>418692</v>
      </c>
      <c r="AT35" s="148">
        <f>SUM(AT20:AT34)</f>
        <v>486651</v>
      </c>
      <c r="AU35" s="175">
        <v>358736</v>
      </c>
      <c r="AV35" s="130">
        <v>330163</v>
      </c>
      <c r="AW35" s="130">
        <v>484220</v>
      </c>
      <c r="AX35" s="130">
        <v>431274</v>
      </c>
      <c r="AY35" s="219">
        <v>363542</v>
      </c>
      <c r="AZ35" s="219">
        <v>274358</v>
      </c>
      <c r="BA35" s="219">
        <v>271025</v>
      </c>
      <c r="BB35" s="91"/>
      <c r="BC35" s="91"/>
      <c r="BG35" s="3"/>
    </row>
    <row r="36" spans="1:59" ht="12.75" customHeight="1" thickBot="1" x14ac:dyDescent="0.25">
      <c r="A36" s="3208" t="s">
        <v>326</v>
      </c>
      <c r="B36" s="3209"/>
      <c r="C36" s="268" t="e">
        <f t="shared" si="3"/>
        <v>#REF!</v>
      </c>
      <c r="D36" s="120" t="e">
        <f>IF(OR((C36/M36)&gt;3,(C36/M36)&lt;-3),"n.m.",(C36/M36))</f>
        <v>#REF!</v>
      </c>
      <c r="E36" s="350"/>
      <c r="F36" s="149" t="e">
        <f t="shared" ref="F36:L36" si="13">+F16-F35</f>
        <v>#REF!</v>
      </c>
      <c r="G36" s="149" t="e">
        <f t="shared" si="13"/>
        <v>#REF!</v>
      </c>
      <c r="H36" s="149" t="e">
        <f t="shared" si="13"/>
        <v>#REF!</v>
      </c>
      <c r="I36" s="150" t="e">
        <f t="shared" si="13"/>
        <v>#REF!</v>
      </c>
      <c r="J36" s="149" t="e">
        <f t="shared" si="13"/>
        <v>#REF!</v>
      </c>
      <c r="K36" s="149" t="e">
        <f t="shared" si="13"/>
        <v>#REF!</v>
      </c>
      <c r="L36" s="149" t="e">
        <f t="shared" si="13"/>
        <v>#REF!</v>
      </c>
      <c r="M36" s="150" t="e">
        <f t="shared" ref="M36:U36" si="14">M16-M35</f>
        <v>#REF!</v>
      </c>
      <c r="N36" s="149" t="e">
        <f t="shared" si="14"/>
        <v>#REF!</v>
      </c>
      <c r="O36" s="149" t="e">
        <f t="shared" si="14"/>
        <v>#REF!</v>
      </c>
      <c r="P36" s="149" t="e">
        <f t="shared" si="14"/>
        <v>#REF!</v>
      </c>
      <c r="Q36" s="150" t="e">
        <f t="shared" si="14"/>
        <v>#REF!</v>
      </c>
      <c r="R36" s="149" t="e">
        <f t="shared" si="14"/>
        <v>#REF!</v>
      </c>
      <c r="S36" s="149" t="e">
        <f t="shared" si="14"/>
        <v>#REF!</v>
      </c>
      <c r="T36" s="149" t="e">
        <f t="shared" si="14"/>
        <v>#REF!</v>
      </c>
      <c r="U36" s="150">
        <f t="shared" si="14"/>
        <v>3448</v>
      </c>
      <c r="V36" s="149">
        <v>245</v>
      </c>
      <c r="W36" s="149">
        <v>17106</v>
      </c>
      <c r="X36" s="149">
        <v>3518</v>
      </c>
      <c r="Y36" s="150">
        <v>9167</v>
      </c>
      <c r="Z36" s="149">
        <v>6761</v>
      </c>
      <c r="AA36" s="149">
        <v>-32776</v>
      </c>
      <c r="AB36" s="149">
        <v>4047</v>
      </c>
      <c r="AC36" s="150">
        <v>12169</v>
      </c>
      <c r="AD36" s="150">
        <v>-45512</v>
      </c>
      <c r="AE36" s="249"/>
      <c r="AF36" s="249"/>
      <c r="AG36" s="147"/>
      <c r="AH36" s="147"/>
      <c r="AI36" s="147"/>
      <c r="AJ36" s="147"/>
      <c r="AK36" s="147"/>
      <c r="AL36" s="47"/>
      <c r="AM36" s="149" t="e">
        <f>AM16-AM35</f>
        <v>#REF!</v>
      </c>
      <c r="AN36" s="149" t="e">
        <f>AN16-AN35</f>
        <v>#REF!</v>
      </c>
      <c r="AO36" s="320" t="e">
        <f>AR36-AS36</f>
        <v>#REF!</v>
      </c>
      <c r="AP36" s="120" t="e">
        <f>IF(OR((AO36/AS36)&gt;3,(AO36/AS36)&lt;-3),"n.m.",(AO36/AS36))</f>
        <v>#REF!</v>
      </c>
      <c r="AQ36" s="47"/>
      <c r="AR36" s="150" t="e">
        <f>AR16-AR35</f>
        <v>#REF!</v>
      </c>
      <c r="AS36" s="150" t="e">
        <f>AS16-AS35</f>
        <v>#REF!</v>
      </c>
      <c r="AT36" s="150">
        <f>AT16-AT35</f>
        <v>111905</v>
      </c>
      <c r="AU36" s="136">
        <v>30036</v>
      </c>
      <c r="AV36" s="136">
        <v>-9799</v>
      </c>
      <c r="AW36" s="136">
        <v>24846</v>
      </c>
      <c r="AX36" s="179">
        <v>99218</v>
      </c>
      <c r="AY36" s="220">
        <f>AY16-AY35</f>
        <v>74012</v>
      </c>
      <c r="AZ36" s="220">
        <f>AZ16-AZ35</f>
        <v>42330</v>
      </c>
      <c r="BA36" s="224"/>
      <c r="BB36" s="91"/>
      <c r="BC36" s="91"/>
      <c r="BG36" s="3"/>
    </row>
    <row r="37" spans="1:59" ht="12.75" customHeight="1" thickTop="1" x14ac:dyDescent="0.2">
      <c r="A37" s="7"/>
      <c r="B37" s="275"/>
      <c r="C37" s="28"/>
      <c r="D37" s="27"/>
      <c r="E37" s="27"/>
      <c r="F37" s="139"/>
      <c r="G37" s="139"/>
      <c r="H37" s="139"/>
      <c r="I37" s="143"/>
      <c r="J37" s="139"/>
      <c r="K37" s="139"/>
      <c r="L37" s="139"/>
      <c r="M37" s="143"/>
      <c r="N37" s="139"/>
      <c r="O37" s="139"/>
      <c r="P37" s="139"/>
      <c r="Q37" s="143"/>
      <c r="R37" s="139"/>
      <c r="S37" s="139"/>
      <c r="T37" s="139"/>
      <c r="U37" s="143"/>
      <c r="V37" s="139"/>
      <c r="W37" s="139"/>
      <c r="X37" s="139"/>
      <c r="Y37" s="143"/>
      <c r="Z37" s="139"/>
      <c r="AA37" s="139"/>
      <c r="AB37" s="139"/>
      <c r="AC37" s="143"/>
      <c r="AD37" s="143"/>
      <c r="AE37" s="249"/>
      <c r="AF37" s="249"/>
      <c r="AG37" s="147"/>
      <c r="AH37" s="147"/>
      <c r="AI37" s="147"/>
      <c r="AJ37" s="147"/>
      <c r="AK37" s="147"/>
      <c r="AL37" s="107"/>
      <c r="AM37" s="91"/>
      <c r="AN37" s="91"/>
      <c r="AO37" s="28"/>
      <c r="AP37" s="27"/>
      <c r="AQ37" s="107"/>
      <c r="AR37" s="552"/>
      <c r="AS37" s="552"/>
      <c r="AT37" s="552"/>
      <c r="AU37" s="552"/>
      <c r="AV37" s="552"/>
      <c r="AW37" s="164"/>
      <c r="AX37" s="164"/>
      <c r="AY37" s="26"/>
      <c r="AZ37" s="26"/>
      <c r="BA37" s="99"/>
      <c r="BB37" s="91"/>
      <c r="BC37" s="91"/>
      <c r="BG37" s="3"/>
    </row>
    <row r="38" spans="1:59" s="480" customFormat="1" ht="12.75" hidden="1" customHeight="1" outlineLevel="1" x14ac:dyDescent="0.2">
      <c r="A38" s="7"/>
      <c r="B38" s="275" t="s">
        <v>327</v>
      </c>
      <c r="C38" s="459">
        <f>I38-M38</f>
        <v>-825</v>
      </c>
      <c r="D38" s="498" t="s">
        <v>41</v>
      </c>
      <c r="E38" s="498"/>
      <c r="F38" s="139"/>
      <c r="G38" s="139"/>
      <c r="H38" s="139"/>
      <c r="I38" s="143">
        <f>-275*3</f>
        <v>-825</v>
      </c>
      <c r="J38" s="525">
        <v>0</v>
      </c>
      <c r="K38" s="525">
        <v>0</v>
      </c>
      <c r="L38" s="525">
        <v>0</v>
      </c>
      <c r="M38" s="542">
        <v>0</v>
      </c>
      <c r="N38" s="525">
        <v>0</v>
      </c>
      <c r="O38" s="525">
        <v>0</v>
      </c>
      <c r="P38" s="525">
        <v>0</v>
      </c>
      <c r="Q38" s="542">
        <v>0</v>
      </c>
      <c r="R38" s="139"/>
      <c r="S38" s="139"/>
      <c r="T38" s="139"/>
      <c r="U38" s="143"/>
      <c r="V38" s="139"/>
      <c r="W38" s="139"/>
      <c r="X38" s="139"/>
      <c r="Y38" s="143"/>
      <c r="Z38" s="139"/>
      <c r="AA38" s="139"/>
      <c r="AB38" s="139"/>
      <c r="AC38" s="143"/>
      <c r="AD38" s="143"/>
      <c r="AE38" s="249"/>
      <c r="AF38" s="249"/>
      <c r="AG38" s="147"/>
      <c r="AH38" s="147"/>
      <c r="AI38" s="147"/>
      <c r="AJ38" s="147"/>
      <c r="AK38" s="147"/>
      <c r="AL38" s="107"/>
      <c r="AM38" s="483"/>
      <c r="AN38" s="483"/>
      <c r="AO38" s="507"/>
      <c r="AP38" s="498"/>
      <c r="AQ38" s="107"/>
      <c r="AR38" s="549">
        <v>0</v>
      </c>
      <c r="AS38" s="549">
        <v>0</v>
      </c>
      <c r="AT38" s="549">
        <v>0</v>
      </c>
      <c r="AU38" s="549">
        <v>0</v>
      </c>
      <c r="AV38" s="549">
        <v>0</v>
      </c>
      <c r="AW38" s="501"/>
      <c r="AX38" s="501"/>
      <c r="AY38" s="26"/>
      <c r="AZ38" s="26"/>
      <c r="BA38" s="99"/>
      <c r="BB38" s="483"/>
      <c r="BC38" s="483"/>
      <c r="BG38" s="481"/>
    </row>
    <row r="39" spans="1:59" ht="12.75" hidden="1" customHeight="1" outlineLevel="1" x14ac:dyDescent="0.2">
      <c r="A39" s="7"/>
      <c r="B39" s="107" t="s">
        <v>328</v>
      </c>
      <c r="C39" s="267">
        <f>I39-M39</f>
        <v>-831</v>
      </c>
      <c r="D39" s="92" t="s">
        <v>41</v>
      </c>
      <c r="E39" s="497"/>
      <c r="F39" s="139"/>
      <c r="G39" s="139"/>
      <c r="H39" s="139"/>
      <c r="I39" s="146">
        <f>-250*3-81</f>
        <v>-831</v>
      </c>
      <c r="J39" s="564">
        <v>0</v>
      </c>
      <c r="K39" s="564">
        <v>0</v>
      </c>
      <c r="L39" s="564">
        <v>0</v>
      </c>
      <c r="M39" s="565">
        <v>0</v>
      </c>
      <c r="N39" s="564">
        <v>0</v>
      </c>
      <c r="O39" s="564">
        <v>0</v>
      </c>
      <c r="P39" s="564">
        <v>0</v>
      </c>
      <c r="Q39" s="565">
        <v>0</v>
      </c>
      <c r="R39" s="139"/>
      <c r="S39" s="139"/>
      <c r="T39" s="139"/>
      <c r="U39" s="143"/>
      <c r="V39" s="139"/>
      <c r="W39" s="139"/>
      <c r="X39" s="139"/>
      <c r="Y39" s="143"/>
      <c r="Z39" s="139"/>
      <c r="AA39" s="139"/>
      <c r="AB39" s="139"/>
      <c r="AC39" s="143"/>
      <c r="AD39" s="143"/>
      <c r="AE39" s="249"/>
      <c r="AF39" s="249"/>
      <c r="AG39" s="147"/>
      <c r="AH39" s="147"/>
      <c r="AI39" s="147"/>
      <c r="AJ39" s="147"/>
      <c r="AK39" s="147"/>
      <c r="AL39" s="107"/>
      <c r="AM39" s="483"/>
      <c r="AN39" s="483"/>
      <c r="AO39" s="507"/>
      <c r="AP39" s="498"/>
      <c r="AQ39" s="107"/>
      <c r="AR39" s="566">
        <v>0</v>
      </c>
      <c r="AS39" s="566">
        <v>0</v>
      </c>
      <c r="AT39" s="566">
        <v>0</v>
      </c>
      <c r="AU39" s="566">
        <v>0</v>
      </c>
      <c r="AV39" s="566">
        <v>0</v>
      </c>
      <c r="AW39" s="164">
        <v>9904</v>
      </c>
      <c r="AX39" s="164">
        <v>35059</v>
      </c>
      <c r="AY39" s="26">
        <v>24207</v>
      </c>
      <c r="AZ39" s="26">
        <v>12780</v>
      </c>
      <c r="BA39" s="99"/>
      <c r="BB39" s="91"/>
      <c r="BC39" s="91"/>
      <c r="BG39" s="3"/>
    </row>
    <row r="40" spans="1:59" s="480" customFormat="1" ht="12.75" customHeight="1" collapsed="1" x14ac:dyDescent="0.2">
      <c r="A40" s="7"/>
      <c r="B40" s="6" t="s">
        <v>332</v>
      </c>
      <c r="C40" s="168">
        <f>I40-M40</f>
        <v>-1656</v>
      </c>
      <c r="D40" s="498" t="s">
        <v>41</v>
      </c>
      <c r="E40" s="498"/>
      <c r="F40" s="139"/>
      <c r="G40" s="139"/>
      <c r="H40" s="139"/>
      <c r="I40" s="143">
        <f>+I38+I39</f>
        <v>-1656</v>
      </c>
      <c r="J40" s="525">
        <v>0</v>
      </c>
      <c r="K40" s="525">
        <v>0</v>
      </c>
      <c r="L40" s="525">
        <v>0</v>
      </c>
      <c r="M40" s="542">
        <v>0</v>
      </c>
      <c r="N40" s="525">
        <v>0</v>
      </c>
      <c r="O40" s="525">
        <v>0</v>
      </c>
      <c r="P40" s="525">
        <v>0</v>
      </c>
      <c r="Q40" s="542">
        <v>0</v>
      </c>
      <c r="R40" s="139"/>
      <c r="S40" s="139"/>
      <c r="T40" s="139"/>
      <c r="U40" s="143"/>
      <c r="V40" s="139"/>
      <c r="W40" s="139"/>
      <c r="X40" s="139"/>
      <c r="Y40" s="143"/>
      <c r="Z40" s="139"/>
      <c r="AA40" s="139"/>
      <c r="AB40" s="139"/>
      <c r="AC40" s="143"/>
      <c r="AD40" s="143"/>
      <c r="AE40" s="249"/>
      <c r="AF40" s="249"/>
      <c r="AG40" s="147"/>
      <c r="AH40" s="147"/>
      <c r="AI40" s="147"/>
      <c r="AJ40" s="147"/>
      <c r="AK40" s="147"/>
      <c r="AL40" s="107"/>
      <c r="AM40" s="483"/>
      <c r="AN40" s="483"/>
      <c r="AO40" s="507"/>
      <c r="AP40" s="498"/>
      <c r="AQ40" s="107"/>
      <c r="AR40" s="549">
        <v>0</v>
      </c>
      <c r="AS40" s="549">
        <v>0</v>
      </c>
      <c r="AT40" s="549">
        <v>0</v>
      </c>
      <c r="AU40" s="549">
        <v>0</v>
      </c>
      <c r="AV40" s="549">
        <v>0</v>
      </c>
      <c r="AW40" s="501"/>
      <c r="AX40" s="501"/>
      <c r="AY40" s="507"/>
      <c r="AZ40" s="26"/>
      <c r="BA40" s="99"/>
      <c r="BB40" s="483"/>
      <c r="BC40" s="483"/>
      <c r="BG40" s="481"/>
    </row>
    <row r="41" spans="1:59" ht="12.75" customHeight="1" x14ac:dyDescent="0.2">
      <c r="A41" s="7"/>
      <c r="B41" s="6"/>
      <c r="C41" s="34"/>
      <c r="D41" s="27"/>
      <c r="E41" s="497"/>
      <c r="F41" s="139"/>
      <c r="G41" s="139"/>
      <c r="H41" s="139"/>
      <c r="I41" s="143"/>
      <c r="J41" s="139"/>
      <c r="K41" s="139"/>
      <c r="L41" s="139"/>
      <c r="M41" s="143"/>
      <c r="N41" s="139"/>
      <c r="O41" s="139"/>
      <c r="P41" s="139"/>
      <c r="Q41" s="143"/>
      <c r="R41" s="139"/>
      <c r="S41" s="139"/>
      <c r="T41" s="139"/>
      <c r="U41" s="143"/>
      <c r="V41" s="139"/>
      <c r="W41" s="139"/>
      <c r="X41" s="139"/>
      <c r="Y41" s="143"/>
      <c r="Z41" s="139"/>
      <c r="AA41" s="139"/>
      <c r="AB41" s="139"/>
      <c r="AC41" s="143"/>
      <c r="AD41" s="143"/>
      <c r="AE41" s="249"/>
      <c r="AF41" s="249"/>
      <c r="AG41" s="147"/>
      <c r="AH41" s="147"/>
      <c r="AI41" s="147"/>
      <c r="AJ41" s="147"/>
      <c r="AK41" s="147"/>
      <c r="AL41" s="91"/>
      <c r="AM41" s="91"/>
      <c r="AN41" s="91"/>
      <c r="AO41" s="28"/>
      <c r="AP41" s="35"/>
      <c r="AQ41" s="47"/>
      <c r="AR41" s="134"/>
      <c r="AS41" s="134"/>
      <c r="AT41" s="134"/>
      <c r="AU41" s="134"/>
      <c r="AV41" s="134"/>
      <c r="AW41" s="164"/>
      <c r="AX41" s="164"/>
      <c r="AY41" s="28"/>
      <c r="AZ41" s="37"/>
      <c r="BA41" s="224"/>
      <c r="BB41" s="91"/>
      <c r="BC41" s="91"/>
      <c r="BG41" s="3"/>
    </row>
    <row r="42" spans="1:59" s="53" customFormat="1" ht="12.75" customHeight="1" thickBot="1" x14ac:dyDescent="0.25">
      <c r="A42" s="3208" t="s">
        <v>72</v>
      </c>
      <c r="B42" s="3209"/>
      <c r="C42" s="268" t="e">
        <f>I42-M42</f>
        <v>#REF!</v>
      </c>
      <c r="D42" s="120" t="e">
        <f>IF(OR((C42/M42)&gt;3,(C42/M42)&lt;-3),"n.m.",(C42/M42))</f>
        <v>#REF!</v>
      </c>
      <c r="E42" s="497"/>
      <c r="F42" s="149"/>
      <c r="G42" s="149"/>
      <c r="H42" s="149"/>
      <c r="I42" s="150" t="e">
        <f>+I36-I38-I39</f>
        <v>#REF!</v>
      </c>
      <c r="J42" s="149" t="e">
        <f t="shared" ref="J42:AK42" si="15">+J36-J38-J39</f>
        <v>#REF!</v>
      </c>
      <c r="K42" s="149" t="e">
        <f t="shared" si="15"/>
        <v>#REF!</v>
      </c>
      <c r="L42" s="149" t="e">
        <f t="shared" si="15"/>
        <v>#REF!</v>
      </c>
      <c r="M42" s="150" t="e">
        <f t="shared" si="15"/>
        <v>#REF!</v>
      </c>
      <c r="N42" s="149" t="e">
        <f t="shared" si="15"/>
        <v>#REF!</v>
      </c>
      <c r="O42" s="149" t="e">
        <f t="shared" si="15"/>
        <v>#REF!</v>
      </c>
      <c r="P42" s="149" t="e">
        <f t="shared" si="15"/>
        <v>#REF!</v>
      </c>
      <c r="Q42" s="150" t="e">
        <f t="shared" si="15"/>
        <v>#REF!</v>
      </c>
      <c r="R42" s="149" t="e">
        <f t="shared" si="15"/>
        <v>#REF!</v>
      </c>
      <c r="S42" s="149" t="e">
        <f t="shared" si="15"/>
        <v>#REF!</v>
      </c>
      <c r="T42" s="149" t="e">
        <f t="shared" si="15"/>
        <v>#REF!</v>
      </c>
      <c r="U42" s="150">
        <f t="shared" si="15"/>
        <v>3448</v>
      </c>
      <c r="V42" s="149">
        <f t="shared" si="15"/>
        <v>245</v>
      </c>
      <c r="W42" s="149">
        <f t="shared" si="15"/>
        <v>17106</v>
      </c>
      <c r="X42" s="149">
        <f t="shared" si="15"/>
        <v>3518</v>
      </c>
      <c r="Y42" s="150">
        <f t="shared" si="15"/>
        <v>9167</v>
      </c>
      <c r="Z42" s="149">
        <f t="shared" si="15"/>
        <v>6761</v>
      </c>
      <c r="AA42" s="149">
        <f t="shared" si="15"/>
        <v>-32776</v>
      </c>
      <c r="AB42" s="149">
        <f t="shared" si="15"/>
        <v>4047</v>
      </c>
      <c r="AC42" s="150">
        <f t="shared" si="15"/>
        <v>12169</v>
      </c>
      <c r="AD42" s="149">
        <f t="shared" si="15"/>
        <v>-45512</v>
      </c>
      <c r="AE42" s="150">
        <f t="shared" si="15"/>
        <v>0</v>
      </c>
      <c r="AF42" s="150">
        <f t="shared" si="15"/>
        <v>0</v>
      </c>
      <c r="AG42" s="147">
        <f t="shared" si="15"/>
        <v>0</v>
      </c>
      <c r="AH42" s="147">
        <f t="shared" si="15"/>
        <v>0</v>
      </c>
      <c r="AI42" s="147">
        <f t="shared" si="15"/>
        <v>0</v>
      </c>
      <c r="AJ42" s="147">
        <f t="shared" si="15"/>
        <v>0</v>
      </c>
      <c r="AK42" s="147">
        <f t="shared" si="15"/>
        <v>0</v>
      </c>
      <c r="AL42" s="91"/>
      <c r="AM42" s="91"/>
      <c r="AN42" s="91"/>
      <c r="AO42" s="320">
        <v>19045</v>
      </c>
      <c r="AP42" s="120" t="e">
        <v>#DIV/0!</v>
      </c>
      <c r="AQ42" s="47"/>
      <c r="AR42" s="136" t="e">
        <f>+AR36-AR38-AR39</f>
        <v>#REF!</v>
      </c>
      <c r="AS42" s="136" t="e">
        <f>+AS36-AS38-AS39</f>
        <v>#REF!</v>
      </c>
      <c r="AT42" s="136">
        <f>+AT36-AT38-AT39</f>
        <v>111905</v>
      </c>
      <c r="AU42" s="136">
        <f>+AU36-AU38-AU39</f>
        <v>30036</v>
      </c>
      <c r="AV42" s="136">
        <f>+AV36-AV38-AV39</f>
        <v>-9799</v>
      </c>
      <c r="AW42" s="179">
        <v>14942</v>
      </c>
      <c r="AX42" s="179">
        <v>64159</v>
      </c>
      <c r="AY42" s="320">
        <f>AY36-AY39</f>
        <v>49805</v>
      </c>
      <c r="AZ42" s="220">
        <f>AZ36-AZ39</f>
        <v>29550</v>
      </c>
      <c r="BA42" s="231">
        <v>46643</v>
      </c>
      <c r="BB42" s="91"/>
      <c r="BC42" s="251"/>
      <c r="BG42" s="137"/>
    </row>
    <row r="43" spans="1:59" ht="12.75" customHeight="1" thickTop="1" x14ac:dyDescent="0.2">
      <c r="A43" s="87"/>
      <c r="B43" s="87"/>
      <c r="C43" s="28"/>
      <c r="D43" s="35"/>
      <c r="E43" s="35"/>
      <c r="F43" s="508"/>
      <c r="G43" s="508"/>
      <c r="H43" s="508"/>
      <c r="I43" s="483"/>
      <c r="J43" s="508"/>
      <c r="K43" s="508"/>
      <c r="L43" s="508"/>
      <c r="M43" s="483"/>
      <c r="N43" s="35"/>
      <c r="O43" s="35"/>
      <c r="P43" s="35"/>
      <c r="Q43" s="91"/>
      <c r="R43" s="35"/>
      <c r="S43" s="35"/>
      <c r="T43" s="35"/>
      <c r="U43" s="91"/>
      <c r="V43" s="35"/>
      <c r="W43" s="35"/>
      <c r="X43" s="35"/>
      <c r="Y43" s="91"/>
      <c r="Z43" s="35"/>
      <c r="AA43" s="35"/>
      <c r="AB43" s="35"/>
      <c r="AC43" s="91"/>
      <c r="AD43" s="44"/>
      <c r="AE43" s="44"/>
      <c r="AF43" s="44"/>
      <c r="AG43" s="44"/>
      <c r="AH43" s="121"/>
      <c r="AI43" s="121"/>
      <c r="AJ43" s="121"/>
      <c r="AK43" s="121"/>
      <c r="AL43" s="91"/>
      <c r="AM43" s="91"/>
      <c r="AN43" s="91"/>
      <c r="AO43" s="28"/>
      <c r="AP43" s="35"/>
      <c r="AQ43" s="91"/>
      <c r="AR43" s="483"/>
      <c r="AS43" s="91"/>
      <c r="AT43" s="91"/>
      <c r="AU43" s="91"/>
      <c r="AV43" s="91"/>
      <c r="AW43" s="28"/>
      <c r="AX43" s="28"/>
      <c r="AY43" s="28"/>
      <c r="AZ43" s="28"/>
      <c r="BA43" s="28"/>
      <c r="BB43" s="91"/>
      <c r="BC43" s="91"/>
      <c r="BG43" s="3"/>
    </row>
    <row r="44" spans="1:59" s="480" customFormat="1" ht="12.75" customHeight="1" x14ac:dyDescent="0.2">
      <c r="A44" s="6" t="s">
        <v>294</v>
      </c>
      <c r="B44" s="484"/>
      <c r="C44" s="104" t="e">
        <f t="shared" ref="C44:C49" si="16">((I44-M44)*100)</f>
        <v>#REF!</v>
      </c>
      <c r="D44" s="508"/>
      <c r="E44" s="508"/>
      <c r="F44" s="508" t="e">
        <f t="shared" ref="F44:I45" si="17">+F18/F$16</f>
        <v>#REF!</v>
      </c>
      <c r="G44" s="508" t="e">
        <f t="shared" si="17"/>
        <v>#REF!</v>
      </c>
      <c r="H44" s="508" t="e">
        <f t="shared" si="17"/>
        <v>#REF!</v>
      </c>
      <c r="I44" s="508" t="e">
        <f t="shared" si="17"/>
        <v>#REF!</v>
      </c>
      <c r="J44" s="508" t="e">
        <f t="shared" ref="J44:L45" si="18">+J18/J$16</f>
        <v>#REF!</v>
      </c>
      <c r="K44" s="508" t="e">
        <f t="shared" si="18"/>
        <v>#REF!</v>
      </c>
      <c r="L44" s="508" t="e">
        <f t="shared" si="18"/>
        <v>#REF!</v>
      </c>
      <c r="M44" s="508" t="e">
        <f t="shared" ref="M44:T44" si="19">+M18/M$16</f>
        <v>#REF!</v>
      </c>
      <c r="N44" s="508" t="e">
        <f t="shared" si="19"/>
        <v>#REF!</v>
      </c>
      <c r="O44" s="508" t="e">
        <f t="shared" si="19"/>
        <v>#REF!</v>
      </c>
      <c r="P44" s="508" t="e">
        <f t="shared" si="19"/>
        <v>#REF!</v>
      </c>
      <c r="Q44" s="508" t="e">
        <f t="shared" si="19"/>
        <v>#REF!</v>
      </c>
      <c r="R44" s="508" t="e">
        <f t="shared" si="19"/>
        <v>#REF!</v>
      </c>
      <c r="S44" s="508" t="e">
        <f t="shared" si="19"/>
        <v>#REF!</v>
      </c>
      <c r="T44" s="508" t="e">
        <f t="shared" si="19"/>
        <v>#REF!</v>
      </c>
      <c r="U44" s="483"/>
      <c r="V44" s="508"/>
      <c r="W44" s="508"/>
      <c r="X44" s="508"/>
      <c r="Y44" s="483"/>
      <c r="Z44" s="508"/>
      <c r="AA44" s="508"/>
      <c r="AB44" s="508"/>
      <c r="AC44" s="483"/>
      <c r="AD44" s="482"/>
      <c r="AE44" s="482"/>
      <c r="AF44" s="482"/>
      <c r="AG44" s="482"/>
      <c r="AH44" s="121"/>
      <c r="AI44" s="121"/>
      <c r="AJ44" s="121"/>
      <c r="AK44" s="121"/>
      <c r="AL44" s="483"/>
      <c r="AM44" s="508" t="e">
        <f>+AM18/AM$16</f>
        <v>#REF!</v>
      </c>
      <c r="AN44" s="508" t="e">
        <f>+AN18/AN$16</f>
        <v>#REF!</v>
      </c>
      <c r="AO44" s="104" t="e">
        <f t="shared" ref="AO44:AO50" si="20">(AR44-AS44)*100</f>
        <v>#REF!</v>
      </c>
      <c r="AP44" s="508"/>
      <c r="AQ44" s="483"/>
      <c r="AR44" s="508" t="e">
        <f t="shared" ref="AR44:AW45" si="21">+AR18/AR$16</f>
        <v>#REF!</v>
      </c>
      <c r="AS44" s="508" t="e">
        <f t="shared" si="21"/>
        <v>#REF!</v>
      </c>
      <c r="AT44" s="508">
        <f t="shared" si="21"/>
        <v>0.46424895916171588</v>
      </c>
      <c r="AU44" s="508">
        <f t="shared" si="21"/>
        <v>0.46825388659677136</v>
      </c>
      <c r="AV44" s="508">
        <f t="shared" si="21"/>
        <v>0.44054887565394363</v>
      </c>
      <c r="AW44" s="508">
        <f t="shared" si="21"/>
        <v>0.44442960244840551</v>
      </c>
      <c r="AX44" s="507"/>
      <c r="AY44" s="507"/>
      <c r="AZ44" s="507"/>
      <c r="BA44" s="507"/>
      <c r="BB44" s="483"/>
      <c r="BC44" s="483"/>
      <c r="BG44" s="481"/>
    </row>
    <row r="45" spans="1:59" s="480" customFormat="1" ht="12.75" customHeight="1" x14ac:dyDescent="0.2">
      <c r="A45" s="6" t="s">
        <v>295</v>
      </c>
      <c r="B45" s="484"/>
      <c r="C45" s="104" t="e">
        <f t="shared" si="16"/>
        <v>#REF!</v>
      </c>
      <c r="D45" s="508"/>
      <c r="E45" s="508"/>
      <c r="F45" s="508" t="e">
        <f t="shared" si="17"/>
        <v>#REF!</v>
      </c>
      <c r="G45" s="508" t="e">
        <f t="shared" si="17"/>
        <v>#REF!</v>
      </c>
      <c r="H45" s="508" t="e">
        <f t="shared" si="17"/>
        <v>#REF!</v>
      </c>
      <c r="I45" s="508" t="e">
        <f t="shared" si="17"/>
        <v>#REF!</v>
      </c>
      <c r="J45" s="508" t="e">
        <f t="shared" si="18"/>
        <v>#REF!</v>
      </c>
      <c r="K45" s="508" t="e">
        <f t="shared" si="18"/>
        <v>#REF!</v>
      </c>
      <c r="L45" s="508" t="e">
        <f t="shared" si="18"/>
        <v>#REF!</v>
      </c>
      <c r="M45" s="508" t="e">
        <f t="shared" ref="M45:T45" si="22">+M19/M$16</f>
        <v>#REF!</v>
      </c>
      <c r="N45" s="508" t="e">
        <f t="shared" si="22"/>
        <v>#REF!</v>
      </c>
      <c r="O45" s="508" t="e">
        <f t="shared" si="22"/>
        <v>#REF!</v>
      </c>
      <c r="P45" s="508" t="e">
        <f t="shared" si="22"/>
        <v>#REF!</v>
      </c>
      <c r="Q45" s="508" t="e">
        <f t="shared" si="22"/>
        <v>#REF!</v>
      </c>
      <c r="R45" s="508" t="e">
        <f t="shared" si="22"/>
        <v>#REF!</v>
      </c>
      <c r="S45" s="508" t="e">
        <f t="shared" si="22"/>
        <v>#REF!</v>
      </c>
      <c r="T45" s="508" t="e">
        <f t="shared" si="22"/>
        <v>#REF!</v>
      </c>
      <c r="U45" s="483"/>
      <c r="V45" s="508"/>
      <c r="W45" s="508"/>
      <c r="X45" s="508"/>
      <c r="Y45" s="483"/>
      <c r="Z45" s="508"/>
      <c r="AA45" s="508"/>
      <c r="AB45" s="508"/>
      <c r="AC45" s="483"/>
      <c r="AD45" s="482"/>
      <c r="AE45" s="482"/>
      <c r="AF45" s="482"/>
      <c r="AG45" s="482"/>
      <c r="AH45" s="121"/>
      <c r="AI45" s="121"/>
      <c r="AJ45" s="121"/>
      <c r="AK45" s="121"/>
      <c r="AL45" s="483"/>
      <c r="AM45" s="508" t="e">
        <f>+AM19/AM$16</f>
        <v>#REF!</v>
      </c>
      <c r="AN45" s="508" t="e">
        <f>+AN19/AN$16</f>
        <v>#REF!</v>
      </c>
      <c r="AO45" s="104" t="e">
        <f t="shared" si="20"/>
        <v>#REF!</v>
      </c>
      <c r="AP45" s="508"/>
      <c r="AQ45" s="483"/>
      <c r="AR45" s="508" t="e">
        <f t="shared" si="21"/>
        <v>#REF!</v>
      </c>
      <c r="AS45" s="508" t="e">
        <f t="shared" si="21"/>
        <v>#REF!</v>
      </c>
      <c r="AT45" s="508">
        <f t="shared" si="21"/>
        <v>5.8423940282947631E-3</v>
      </c>
      <c r="AU45" s="508">
        <f t="shared" si="21"/>
        <v>3.5293179549967593E-2</v>
      </c>
      <c r="AV45" s="508">
        <f t="shared" si="21"/>
        <v>1.5382502403516001E-2</v>
      </c>
      <c r="AW45" s="508">
        <f t="shared" si="21"/>
        <v>1.0758919275693132E-2</v>
      </c>
      <c r="AX45" s="507"/>
      <c r="AY45" s="507"/>
      <c r="AZ45" s="507"/>
      <c r="BA45" s="507"/>
      <c r="BB45" s="483"/>
      <c r="BC45" s="483"/>
      <c r="BG45" s="481"/>
    </row>
    <row r="46" spans="1:59" ht="12.75" customHeight="1" x14ac:dyDescent="0.2">
      <c r="A46" s="88" t="s">
        <v>74</v>
      </c>
      <c r="B46" s="89"/>
      <c r="C46" s="104" t="e">
        <f t="shared" si="16"/>
        <v>#REF!</v>
      </c>
      <c r="D46" s="35"/>
      <c r="E46" s="35"/>
      <c r="F46" s="122" t="e">
        <f t="shared" ref="F46:K46" si="23">F20/F16</f>
        <v>#REF!</v>
      </c>
      <c r="G46" s="122" t="e">
        <f t="shared" si="23"/>
        <v>#REF!</v>
      </c>
      <c r="H46" s="122" t="e">
        <f t="shared" si="23"/>
        <v>#REF!</v>
      </c>
      <c r="I46" s="122" t="e">
        <f t="shared" si="23"/>
        <v>#REF!</v>
      </c>
      <c r="J46" s="122" t="e">
        <f t="shared" si="23"/>
        <v>#REF!</v>
      </c>
      <c r="K46" s="122" t="e">
        <f t="shared" si="23"/>
        <v>#REF!</v>
      </c>
      <c r="L46" s="122" t="e">
        <f t="shared" ref="L46:Q46" si="24">L20/L16</f>
        <v>#REF!</v>
      </c>
      <c r="M46" s="122" t="e">
        <f t="shared" si="24"/>
        <v>#REF!</v>
      </c>
      <c r="N46" s="122" t="e">
        <f t="shared" si="24"/>
        <v>#REF!</v>
      </c>
      <c r="O46" s="122" t="e">
        <f t="shared" si="24"/>
        <v>#REF!</v>
      </c>
      <c r="P46" s="122" t="e">
        <f t="shared" si="24"/>
        <v>#REF!</v>
      </c>
      <c r="Q46" s="122" t="e">
        <f t="shared" si="24"/>
        <v>#REF!</v>
      </c>
      <c r="R46" s="122" t="e">
        <f>R20/R16</f>
        <v>#REF!</v>
      </c>
      <c r="S46" s="122" t="e">
        <f>S20/S16</f>
        <v>#REF!</v>
      </c>
      <c r="T46" s="122" t="e">
        <f>T20/T16</f>
        <v>#REF!</v>
      </c>
      <c r="U46" s="122">
        <f>U20/U16</f>
        <v>0.45987807341302633</v>
      </c>
      <c r="V46" s="122">
        <v>0.49154271490073659</v>
      </c>
      <c r="W46" s="122">
        <v>0.52642647986669466</v>
      </c>
      <c r="X46" s="122">
        <v>0.491577219345877</v>
      </c>
      <c r="Y46" s="122">
        <v>0.49554211112880114</v>
      </c>
      <c r="Z46" s="122">
        <v>0.40791932292811606</v>
      </c>
      <c r="AA46" s="122">
        <v>0.48771044353026582</v>
      </c>
      <c r="AB46" s="122">
        <v>0.44391331269349843</v>
      </c>
      <c r="AC46" s="122">
        <v>0.48046437296790906</v>
      </c>
      <c r="AD46" s="32">
        <v>0.40500000000000003</v>
      </c>
      <c r="AE46" s="32">
        <v>0.46600000000000003</v>
      </c>
      <c r="AF46" s="32">
        <v>0.44700000000000001</v>
      </c>
      <c r="AG46" s="32">
        <v>0.48499999999999999</v>
      </c>
      <c r="AH46" s="32">
        <v>0.504</v>
      </c>
      <c r="AI46" s="32">
        <v>0.503</v>
      </c>
      <c r="AJ46" s="32">
        <v>0.48399999999999999</v>
      </c>
      <c r="AK46" s="32">
        <v>0.49099999999999999</v>
      </c>
      <c r="AL46" s="91"/>
      <c r="AM46" s="122" t="e">
        <f>AM20/AM16</f>
        <v>#REF!</v>
      </c>
      <c r="AN46" s="122" t="e">
        <f>AN20/AN16</f>
        <v>#REF!</v>
      </c>
      <c r="AO46" s="104" t="e">
        <f t="shared" si="20"/>
        <v>#REF!</v>
      </c>
      <c r="AP46" s="35"/>
      <c r="AQ46" s="91"/>
      <c r="AR46" s="122" t="e">
        <f>AR20/AR16</f>
        <v>#REF!</v>
      </c>
      <c r="AS46" s="122" t="e">
        <f>AS20/AS16</f>
        <v>#REF!</v>
      </c>
      <c r="AT46" s="122">
        <f>AT20/AT16</f>
        <v>0.47009135319001061</v>
      </c>
      <c r="AU46" s="32">
        <v>0.50354706614673894</v>
      </c>
      <c r="AV46" s="32">
        <v>0.45593137805745965</v>
      </c>
      <c r="AW46" s="32">
        <v>0.45535489702876908</v>
      </c>
      <c r="AX46" s="32">
        <v>0.497</v>
      </c>
      <c r="AY46" s="222">
        <v>0.50600000000000001</v>
      </c>
      <c r="AZ46" s="222">
        <v>0.48799999999999999</v>
      </c>
      <c r="BA46" s="222">
        <v>0.51900000000000002</v>
      </c>
      <c r="BB46" s="91"/>
      <c r="BC46" s="91"/>
      <c r="BG46" s="3"/>
    </row>
    <row r="47" spans="1:59" ht="12.75" customHeight="1" x14ac:dyDescent="0.2">
      <c r="A47" s="88" t="s">
        <v>210</v>
      </c>
      <c r="B47" s="89"/>
      <c r="C47" s="104" t="e">
        <f t="shared" si="16"/>
        <v>#REF!</v>
      </c>
      <c r="D47" s="35"/>
      <c r="E47" s="35"/>
      <c r="F47" s="122" t="e">
        <f t="shared" ref="F47:K47" si="25">(F20+F21)/F16</f>
        <v>#REF!</v>
      </c>
      <c r="G47" s="122" t="e">
        <f t="shared" si="25"/>
        <v>#REF!</v>
      </c>
      <c r="H47" s="122" t="e">
        <f t="shared" si="25"/>
        <v>#REF!</v>
      </c>
      <c r="I47" s="122" t="e">
        <f t="shared" si="25"/>
        <v>#REF!</v>
      </c>
      <c r="J47" s="122" t="e">
        <f t="shared" si="25"/>
        <v>#REF!</v>
      </c>
      <c r="K47" s="122" t="e">
        <f t="shared" si="25"/>
        <v>#REF!</v>
      </c>
      <c r="L47" s="122" t="e">
        <f t="shared" ref="L47:Q47" si="26">(L20+L21)/L16</f>
        <v>#REF!</v>
      </c>
      <c r="M47" s="122" t="e">
        <f t="shared" si="26"/>
        <v>#REF!</v>
      </c>
      <c r="N47" s="122" t="e">
        <f t="shared" si="26"/>
        <v>#REF!</v>
      </c>
      <c r="O47" s="122" t="e">
        <f t="shared" si="26"/>
        <v>#REF!</v>
      </c>
      <c r="P47" s="122" t="e">
        <f t="shared" si="26"/>
        <v>#REF!</v>
      </c>
      <c r="Q47" s="122" t="e">
        <f t="shared" si="26"/>
        <v>#REF!</v>
      </c>
      <c r="R47" s="122" t="e">
        <f>(R20+R21)/R16</f>
        <v>#REF!</v>
      </c>
      <c r="S47" s="122" t="e">
        <f>(S20+S21)/S16</f>
        <v>#REF!</v>
      </c>
      <c r="T47" s="122" t="e">
        <f>(T20+T21)/T16</f>
        <v>#REF!</v>
      </c>
      <c r="U47" s="122">
        <f>(U20+U21)/U16</f>
        <v>0.58272278227657504</v>
      </c>
      <c r="V47" s="122">
        <v>0.63251106894370657</v>
      </c>
      <c r="W47" s="122">
        <v>0.6241001083914387</v>
      </c>
      <c r="X47" s="122">
        <v>0.63631771688344485</v>
      </c>
      <c r="Y47" s="122">
        <v>0.6233083903836969</v>
      </c>
      <c r="Z47" s="122">
        <v>0.57015278083095189</v>
      </c>
      <c r="AA47" s="122">
        <v>0.66477685207591519</v>
      </c>
      <c r="AB47" s="122">
        <v>0.58443343653250779</v>
      </c>
      <c r="AC47" s="122">
        <v>0.59613512371645327</v>
      </c>
      <c r="AD47" s="32">
        <v>0.52400000000000002</v>
      </c>
      <c r="AE47" s="32">
        <v>0.55100000000000005</v>
      </c>
      <c r="AF47" s="32">
        <v>0.53600000000000003</v>
      </c>
      <c r="AG47" s="32">
        <v>0.55900000000000005</v>
      </c>
      <c r="AH47" s="32">
        <v>0.57599999999999996</v>
      </c>
      <c r="AI47" s="32">
        <v>0.57099999999999995</v>
      </c>
      <c r="AJ47" s="32">
        <v>0.56799999999999995</v>
      </c>
      <c r="AK47" s="32">
        <v>0.56599999999999995</v>
      </c>
      <c r="AL47" s="91"/>
      <c r="AM47" s="122" t="e">
        <f>(AM20+AM21)/AM16</f>
        <v>#REF!</v>
      </c>
      <c r="AN47" s="122" t="e">
        <f>(AN20+AN21)/AN16</f>
        <v>#REF!</v>
      </c>
      <c r="AO47" s="104" t="e">
        <f t="shared" si="20"/>
        <v>#REF!</v>
      </c>
      <c r="AP47" s="35"/>
      <c r="AQ47" s="91"/>
      <c r="AR47" s="122" t="e">
        <f>(AR20+AR21)/AR16</f>
        <v>#REF!</v>
      </c>
      <c r="AS47" s="122" t="e">
        <f>(AS20+AS21)/AS16</f>
        <v>#REF!</v>
      </c>
      <c r="AT47" s="122">
        <f>(AT20+AT21)/AT16</f>
        <v>0.55997099686579033</v>
      </c>
      <c r="AU47" s="32">
        <v>0.62853034683567743</v>
      </c>
      <c r="AV47" s="32">
        <v>0.59949619807469001</v>
      </c>
      <c r="AW47" s="32">
        <v>0.5442108159094482</v>
      </c>
      <c r="AX47" s="32">
        <v>0.57099999999999995</v>
      </c>
      <c r="AY47" s="222">
        <v>0.59099999999999997</v>
      </c>
      <c r="AZ47" s="222">
        <v>0.60399999999999998</v>
      </c>
      <c r="BA47" s="222">
        <v>0.61799999999999999</v>
      </c>
      <c r="BB47" s="91"/>
      <c r="BC47" s="91"/>
      <c r="BG47" s="3"/>
    </row>
    <row r="48" spans="1:59" ht="12.75" customHeight="1" x14ac:dyDescent="0.2">
      <c r="A48" s="88" t="s">
        <v>75</v>
      </c>
      <c r="B48" s="89"/>
      <c r="C48" s="104" t="e">
        <f t="shared" si="16"/>
        <v>#REF!</v>
      </c>
      <c r="D48" s="35"/>
      <c r="E48" s="35"/>
      <c r="F48" s="122" t="e">
        <f t="shared" ref="F48:L48" si="27">(F23+F24+F25+F26+F27+F28+F29+F32+F33+F34+F30+F31)/F16</f>
        <v>#REF!</v>
      </c>
      <c r="G48" s="122" t="e">
        <f t="shared" si="27"/>
        <v>#REF!</v>
      </c>
      <c r="H48" s="122" t="e">
        <f t="shared" si="27"/>
        <v>#REF!</v>
      </c>
      <c r="I48" s="122" t="e">
        <f t="shared" si="27"/>
        <v>#REF!</v>
      </c>
      <c r="J48" s="122" t="e">
        <f t="shared" si="27"/>
        <v>#REF!</v>
      </c>
      <c r="K48" s="122" t="e">
        <f t="shared" si="27"/>
        <v>#REF!</v>
      </c>
      <c r="L48" s="122" t="e">
        <f t="shared" si="27"/>
        <v>#REF!</v>
      </c>
      <c r="M48" s="122" t="e">
        <f t="shared" ref="M48:U48" si="28">(M23+M24+M25+M26+M27+M28+M29+M32+M33+M34+M30+M31)/M16</f>
        <v>#REF!</v>
      </c>
      <c r="N48" s="122" t="e">
        <f t="shared" si="28"/>
        <v>#REF!</v>
      </c>
      <c r="O48" s="122" t="e">
        <f t="shared" si="28"/>
        <v>#REF!</v>
      </c>
      <c r="P48" s="122" t="e">
        <f t="shared" si="28"/>
        <v>#REF!</v>
      </c>
      <c r="Q48" s="122" t="e">
        <f t="shared" si="28"/>
        <v>#REF!</v>
      </c>
      <c r="R48" s="122" t="e">
        <f t="shared" si="28"/>
        <v>#REF!</v>
      </c>
      <c r="S48" s="122" t="e">
        <f t="shared" si="28"/>
        <v>#REF!</v>
      </c>
      <c r="T48" s="122" t="e">
        <f t="shared" si="28"/>
        <v>#REF!</v>
      </c>
      <c r="U48" s="122">
        <f t="shared" si="28"/>
        <v>0.38562037496097984</v>
      </c>
      <c r="V48" s="122">
        <v>0.3649894921548224</v>
      </c>
      <c r="W48" s="122">
        <v>0.23753094009350784</v>
      </c>
      <c r="X48" s="122">
        <v>0.31925748200530368</v>
      </c>
      <c r="Y48" s="122">
        <v>0.27244296859007894</v>
      </c>
      <c r="Z48" s="122">
        <v>0.33695592437898442</v>
      </c>
      <c r="AA48" s="122">
        <v>0.90266878694645136</v>
      </c>
      <c r="AB48" s="122">
        <v>0.36575851393188852</v>
      </c>
      <c r="AC48" s="122">
        <v>0.29228126894322087</v>
      </c>
      <c r="AD48" s="32">
        <v>0.91199999999999992</v>
      </c>
      <c r="AE48" s="32">
        <v>0.32099999999999995</v>
      </c>
      <c r="AF48" s="32">
        <v>0.315</v>
      </c>
      <c r="AG48" s="32">
        <v>0.21399999999999997</v>
      </c>
      <c r="AH48" s="32">
        <v>0.19700000000000006</v>
      </c>
      <c r="AI48" s="32">
        <v>0.22300000000000009</v>
      </c>
      <c r="AJ48" s="32">
        <v>0.28700000000000003</v>
      </c>
      <c r="AK48" s="32">
        <v>0.28100000000000003</v>
      </c>
      <c r="AL48" s="91"/>
      <c r="AM48" s="122" t="e">
        <f>(AM35-AM20-AM21)/AM16</f>
        <v>#REF!</v>
      </c>
      <c r="AN48" s="122" t="e">
        <f>(AN35-AN20-AN21)/AN16</f>
        <v>#REF!</v>
      </c>
      <c r="AO48" s="104" t="e">
        <f t="shared" si="20"/>
        <v>#REF!</v>
      </c>
      <c r="AP48" s="35"/>
      <c r="AQ48" s="91"/>
      <c r="AR48" s="122" t="e">
        <f>(AR23+AR24+AR25+AR26+AR27+AR28+AR29+AR32+AR33+AR34+AR30+AR31)/AR16</f>
        <v>#REF!</v>
      </c>
      <c r="AS48" s="122" t="e">
        <f>(AS23+AS24+AS25+AS26+AS27+AS28+AS29+AS32+AS33+AS34+AS30+AS31)/AS16</f>
        <v>#REF!</v>
      </c>
      <c r="AT48" s="122">
        <f>(AT23+AT24+AT25+AT26+AT27+AT28+AT29+AT32+AT33+AT34+AT30+AT31)/AT16</f>
        <v>0.25307072354132276</v>
      </c>
      <c r="AU48" s="32">
        <v>0.29421100284999946</v>
      </c>
      <c r="AV48" s="32">
        <v>0.43109088411931429</v>
      </c>
      <c r="AW48" s="32">
        <v>0.40832982235497561</v>
      </c>
      <c r="AX48" s="32">
        <v>0.24299999999999999</v>
      </c>
      <c r="AY48" s="222">
        <v>0.24</v>
      </c>
      <c r="AZ48" s="222">
        <v>0.26200000000000001</v>
      </c>
      <c r="BA48" s="222">
        <v>0.23499999999999999</v>
      </c>
      <c r="BB48" s="91"/>
      <c r="BC48" s="91"/>
      <c r="BG48" s="3"/>
    </row>
    <row r="49" spans="1:59" ht="12.75" customHeight="1" x14ac:dyDescent="0.2">
      <c r="A49" s="88" t="s">
        <v>76</v>
      </c>
      <c r="B49" s="88"/>
      <c r="C49" s="104" t="e">
        <f t="shared" si="16"/>
        <v>#REF!</v>
      </c>
      <c r="D49" s="35"/>
      <c r="E49" s="35"/>
      <c r="F49" s="122" t="e">
        <f t="shared" ref="F49:L49" si="29">F35/F16</f>
        <v>#REF!</v>
      </c>
      <c r="G49" s="122" t="e">
        <f t="shared" si="29"/>
        <v>#REF!</v>
      </c>
      <c r="H49" s="122" t="e">
        <f t="shared" si="29"/>
        <v>#REF!</v>
      </c>
      <c r="I49" s="122" t="e">
        <f t="shared" si="29"/>
        <v>#REF!</v>
      </c>
      <c r="J49" s="122" t="e">
        <f t="shared" si="29"/>
        <v>#REF!</v>
      </c>
      <c r="K49" s="122" t="e">
        <f t="shared" si="29"/>
        <v>#REF!</v>
      </c>
      <c r="L49" s="122" t="e">
        <f t="shared" si="29"/>
        <v>#REF!</v>
      </c>
      <c r="M49" s="122" t="e">
        <f t="shared" ref="M49:U49" si="30">M35/M16</f>
        <v>#REF!</v>
      </c>
      <c r="N49" s="122" t="e">
        <f t="shared" si="30"/>
        <v>#REF!</v>
      </c>
      <c r="O49" s="122" t="e">
        <f t="shared" si="30"/>
        <v>#REF!</v>
      </c>
      <c r="P49" s="122" t="e">
        <f t="shared" si="30"/>
        <v>#REF!</v>
      </c>
      <c r="Q49" s="122" t="e">
        <f t="shared" si="30"/>
        <v>#REF!</v>
      </c>
      <c r="R49" s="122" t="e">
        <f t="shared" si="30"/>
        <v>#REF!</v>
      </c>
      <c r="S49" s="122" t="e">
        <f t="shared" si="30"/>
        <v>#REF!</v>
      </c>
      <c r="T49" s="122" t="e">
        <f t="shared" si="30"/>
        <v>#REF!</v>
      </c>
      <c r="U49" s="122">
        <f t="shared" si="30"/>
        <v>0.96834315723755482</v>
      </c>
      <c r="V49" s="122">
        <v>0.99750056109852892</v>
      </c>
      <c r="W49" s="122">
        <v>0.86163104848494654</v>
      </c>
      <c r="X49" s="122">
        <v>0.95557519888874853</v>
      </c>
      <c r="Y49" s="122">
        <v>0.89475135897377578</v>
      </c>
      <c r="Z49" s="122">
        <v>0.90710870520993625</v>
      </c>
      <c r="AA49" s="122">
        <v>1.5674456390223666</v>
      </c>
      <c r="AB49" s="122">
        <v>0.95019195046439631</v>
      </c>
      <c r="AC49" s="122">
        <v>0.88841639265967409</v>
      </c>
      <c r="AD49" s="32">
        <v>1.4359999999999999</v>
      </c>
      <c r="AE49" s="32">
        <v>0.872</v>
      </c>
      <c r="AF49" s="32">
        <v>0.85099999999999998</v>
      </c>
      <c r="AG49" s="32">
        <v>0.77300000000000002</v>
      </c>
      <c r="AH49" s="32">
        <v>0.77300000000000002</v>
      </c>
      <c r="AI49" s="32">
        <v>0.79400000000000004</v>
      </c>
      <c r="AJ49" s="32">
        <v>0.85499999999999998</v>
      </c>
      <c r="AK49" s="32">
        <v>0.84699999999999998</v>
      </c>
      <c r="AL49" s="91"/>
      <c r="AM49" s="122" t="e">
        <f>AM35/AM16</f>
        <v>#REF!</v>
      </c>
      <c r="AN49" s="122" t="e">
        <f>AN35/AN16</f>
        <v>#REF!</v>
      </c>
      <c r="AO49" s="104" t="e">
        <f t="shared" si="20"/>
        <v>#REF!</v>
      </c>
      <c r="AP49" s="35"/>
      <c r="AQ49" s="91"/>
      <c r="AR49" s="122" t="e">
        <f>AR35/AR16</f>
        <v>#REF!</v>
      </c>
      <c r="AS49" s="122" t="e">
        <f>AS35/AS16</f>
        <v>#REF!</v>
      </c>
      <c r="AT49" s="122">
        <f>AT35/AT16</f>
        <v>0.81304172040711309</v>
      </c>
      <c r="AU49" s="32">
        <v>0.921741349685677</v>
      </c>
      <c r="AV49" s="32">
        <v>1.0305870821940044</v>
      </c>
      <c r="AW49" s="32">
        <v>0.95154063826442381</v>
      </c>
      <c r="AX49" s="32">
        <v>0.81399999999999995</v>
      </c>
      <c r="AY49" s="222">
        <v>0.83099999999999996</v>
      </c>
      <c r="AZ49" s="222">
        <v>0.86599999999999999</v>
      </c>
      <c r="BA49" s="222">
        <v>0.85299999999999998</v>
      </c>
      <c r="BB49" s="91"/>
      <c r="BC49" s="91"/>
      <c r="BG49" s="3"/>
    </row>
    <row r="50" spans="1:59" ht="12.75" customHeight="1" x14ac:dyDescent="0.2">
      <c r="A50" s="88" t="s">
        <v>77</v>
      </c>
      <c r="B50" s="462"/>
      <c r="C50" s="104" t="e">
        <f>I50-M50</f>
        <v>#REF!</v>
      </c>
      <c r="D50" s="35"/>
      <c r="E50" s="35"/>
      <c r="F50" s="122" t="e">
        <f t="shared" ref="F50:L50" si="31">F36/F16</f>
        <v>#REF!</v>
      </c>
      <c r="G50" s="122" t="e">
        <f t="shared" si="31"/>
        <v>#REF!</v>
      </c>
      <c r="H50" s="122" t="e">
        <f t="shared" si="31"/>
        <v>#REF!</v>
      </c>
      <c r="I50" s="122" t="e">
        <f t="shared" si="31"/>
        <v>#REF!</v>
      </c>
      <c r="J50" s="122" t="e">
        <f t="shared" si="31"/>
        <v>#REF!</v>
      </c>
      <c r="K50" s="122" t="e">
        <f t="shared" si="31"/>
        <v>#REF!</v>
      </c>
      <c r="L50" s="122" t="e">
        <f t="shared" si="31"/>
        <v>#REF!</v>
      </c>
      <c r="M50" s="122" t="e">
        <f t="shared" ref="M50:U50" si="32">M36/M16</f>
        <v>#REF!</v>
      </c>
      <c r="N50" s="122" t="e">
        <f t="shared" si="32"/>
        <v>#REF!</v>
      </c>
      <c r="O50" s="122" t="e">
        <f t="shared" si="32"/>
        <v>#REF!</v>
      </c>
      <c r="P50" s="122" t="e">
        <f t="shared" si="32"/>
        <v>#REF!</v>
      </c>
      <c r="Q50" s="122" t="e">
        <f t="shared" si="32"/>
        <v>#REF!</v>
      </c>
      <c r="R50" s="122" t="e">
        <f t="shared" si="32"/>
        <v>#REF!</v>
      </c>
      <c r="S50" s="122" t="e">
        <f t="shared" si="32"/>
        <v>#REF!</v>
      </c>
      <c r="T50" s="122" t="e">
        <f t="shared" si="32"/>
        <v>#REF!</v>
      </c>
      <c r="U50" s="122">
        <f t="shared" si="32"/>
        <v>3.1656842762445139E-2</v>
      </c>
      <c r="V50" s="122">
        <v>2.4994389014710984E-3</v>
      </c>
      <c r="W50" s="122">
        <v>0.13836895151505346</v>
      </c>
      <c r="X50" s="122">
        <v>4.4424801111251418E-2</v>
      </c>
      <c r="Y50" s="122">
        <v>0.10424864102622422</v>
      </c>
      <c r="Z50" s="122">
        <v>9.289129479006375E-2</v>
      </c>
      <c r="AA50" s="122">
        <v>-0.56601101766625794</v>
      </c>
      <c r="AB50" s="122">
        <v>5.0102135561745587E-2</v>
      </c>
      <c r="AC50" s="122">
        <v>0.111746772208856</v>
      </c>
      <c r="AD50" s="32">
        <v>-0.43578425270737381</v>
      </c>
      <c r="AE50" s="32">
        <v>0.128</v>
      </c>
      <c r="AF50" s="32">
        <v>0.14900000000000002</v>
      </c>
      <c r="AG50" s="32">
        <v>0.22699999999999998</v>
      </c>
      <c r="AH50" s="32">
        <v>0.22699999999999998</v>
      </c>
      <c r="AI50" s="32">
        <v>0.20599999999999996</v>
      </c>
      <c r="AJ50" s="32">
        <v>0.14499999999999999</v>
      </c>
      <c r="AK50" s="32">
        <v>0.15300000000000002</v>
      </c>
      <c r="AL50" s="91"/>
      <c r="AM50" s="122" t="e">
        <f>AM36/AM16</f>
        <v>#REF!</v>
      </c>
      <c r="AN50" s="122" t="e">
        <f>AN36/AN16</f>
        <v>#REF!</v>
      </c>
      <c r="AO50" s="104" t="e">
        <f t="shared" si="20"/>
        <v>#REF!</v>
      </c>
      <c r="AP50" s="35"/>
      <c r="AQ50" s="91"/>
      <c r="AR50" s="122" t="e">
        <f>AR36/AR16</f>
        <v>#REF!</v>
      </c>
      <c r="AS50" s="122" t="e">
        <f>AS36/AS16</f>
        <v>#REF!</v>
      </c>
      <c r="AT50" s="122">
        <f>AT36/AT16</f>
        <v>0.18695827959288688</v>
      </c>
      <c r="AU50" s="32">
        <v>7.7258650314323052E-2</v>
      </c>
      <c r="AV50" s="32">
        <v>-3.0587082194004321E-2</v>
      </c>
      <c r="AW50" s="32">
        <v>4.8807030915441217E-2</v>
      </c>
      <c r="AX50" s="32">
        <v>0.18703015314085791</v>
      </c>
      <c r="AY50" s="222">
        <f>AY36/AY16</f>
        <v>0.16914940784451749</v>
      </c>
      <c r="AZ50" s="222">
        <f>AZ36/AZ16</f>
        <v>0.13366467943212246</v>
      </c>
      <c r="BA50" s="222">
        <v>0.14700000000000002</v>
      </c>
      <c r="BB50" s="91"/>
      <c r="BC50" s="91"/>
      <c r="BG50" s="3"/>
    </row>
    <row r="51" spans="1:59" ht="12.75" customHeight="1" x14ac:dyDescent="0.2">
      <c r="A51" s="89"/>
      <c r="B51" s="89"/>
      <c r="C51" s="104"/>
      <c r="D51" s="35"/>
      <c r="E51" s="35"/>
      <c r="F51" s="508"/>
      <c r="G51" s="508"/>
      <c r="H51" s="508"/>
      <c r="I51" s="508"/>
      <c r="J51" s="508"/>
      <c r="K51" s="508"/>
      <c r="L51" s="508"/>
      <c r="M51" s="508"/>
      <c r="N51" s="35"/>
      <c r="O51" s="35"/>
      <c r="P51" s="35"/>
      <c r="Q51" s="35"/>
      <c r="R51" s="35"/>
      <c r="S51" s="35"/>
      <c r="T51" s="35"/>
      <c r="U51" s="35"/>
      <c r="V51" s="35"/>
      <c r="W51" s="35"/>
      <c r="X51" s="35"/>
      <c r="Y51" s="35"/>
      <c r="Z51" s="35"/>
      <c r="AA51" s="35"/>
      <c r="AB51" s="35"/>
      <c r="AC51" s="122"/>
      <c r="AD51" s="122"/>
      <c r="AE51" s="44"/>
      <c r="AF51" s="44"/>
      <c r="AG51" s="44"/>
      <c r="AH51" s="122"/>
      <c r="AI51" s="122"/>
      <c r="AJ51" s="122"/>
      <c r="AK51" s="122"/>
      <c r="AL51" s="91"/>
      <c r="AM51" s="91"/>
      <c r="AN51" s="91"/>
      <c r="AO51" s="104"/>
      <c r="AP51" s="35"/>
      <c r="AQ51" s="91"/>
      <c r="AR51" s="32"/>
      <c r="AS51" s="32"/>
      <c r="AT51" s="32"/>
      <c r="AU51" s="32"/>
      <c r="AV51" s="32"/>
      <c r="AW51" s="32"/>
      <c r="AX51" s="9"/>
      <c r="AY51" s="222"/>
      <c r="AZ51" s="222"/>
      <c r="BA51" s="222"/>
      <c r="BB51" s="91"/>
      <c r="BC51" s="91"/>
      <c r="BG51" s="3"/>
    </row>
    <row r="52" spans="1:59" ht="12.75" customHeight="1" x14ac:dyDescent="0.2">
      <c r="A52" s="89" t="s">
        <v>89</v>
      </c>
      <c r="B52" s="89"/>
      <c r="C52" s="108">
        <f>I52-M52</f>
        <v>-285</v>
      </c>
      <c r="D52" s="508">
        <f>IF(OR((C52/M52)&gt;3,(C52/M52)&lt;-3),"n.m.",(C52/M52))</f>
        <v>-0.22317932654659359</v>
      </c>
      <c r="E52" s="35"/>
      <c r="F52" s="411"/>
      <c r="G52" s="411"/>
      <c r="H52" s="411"/>
      <c r="I52" s="411">
        <f>+'15 Misc Operating Stats'!AD15</f>
        <v>992</v>
      </c>
      <c r="J52" s="411">
        <f>+'15 Misc Operating Stats'!AE15</f>
        <v>1015</v>
      </c>
      <c r="K52" s="411">
        <f>+'15 Misc Operating Stats'!AF15</f>
        <v>1049</v>
      </c>
      <c r="L52" s="411">
        <f>+'15 Misc Operating Stats'!AG15</f>
        <v>1185</v>
      </c>
      <c r="M52" s="411">
        <f>+'15 Misc Operating Stats'!AH15</f>
        <v>1277</v>
      </c>
      <c r="N52" s="411">
        <f>'15 Misc Operating Stats'!AI15</f>
        <v>1309</v>
      </c>
      <c r="O52" s="411">
        <f>'15 Misc Operating Stats'!AJ15</f>
        <v>1347</v>
      </c>
      <c r="P52" s="411">
        <f>'15 Misc Operating Stats'!AK15</f>
        <v>1336</v>
      </c>
      <c r="Q52" s="186">
        <f>'15 Misc Operating Stats'!AL15</f>
        <v>1313</v>
      </c>
      <c r="R52" s="186">
        <v>1325</v>
      </c>
      <c r="S52" s="186">
        <v>1312</v>
      </c>
      <c r="T52" s="186">
        <v>1310</v>
      </c>
      <c r="U52" s="186">
        <v>1333</v>
      </c>
      <c r="V52" s="96">
        <v>1247</v>
      </c>
      <c r="W52" s="186">
        <v>1271</v>
      </c>
      <c r="X52" s="186">
        <v>1257</v>
      </c>
      <c r="Y52" s="186">
        <v>1244</v>
      </c>
      <c r="Z52" s="186">
        <v>1265</v>
      </c>
      <c r="AA52" s="186">
        <v>1301</v>
      </c>
      <c r="AB52" s="186">
        <v>1385</v>
      </c>
      <c r="AC52" s="216">
        <v>1404</v>
      </c>
      <c r="AD52" s="216">
        <v>1395</v>
      </c>
      <c r="AE52" s="216">
        <v>1399</v>
      </c>
      <c r="AF52" s="216">
        <v>1418</v>
      </c>
      <c r="AG52" s="216">
        <v>1383</v>
      </c>
      <c r="AH52" s="216">
        <v>1334</v>
      </c>
      <c r="AI52" s="216">
        <v>1310</v>
      </c>
      <c r="AJ52" s="216">
        <v>1309</v>
      </c>
      <c r="AK52" s="216">
        <v>1292</v>
      </c>
      <c r="AL52" s="91"/>
      <c r="AM52" s="140">
        <f>K52</f>
        <v>1049</v>
      </c>
      <c r="AN52" s="140">
        <f>O52</f>
        <v>1347</v>
      </c>
      <c r="AO52" s="140">
        <f>AR52-AS52</f>
        <v>-294</v>
      </c>
      <c r="AP52" s="35">
        <f>IF(OR((AO52/AS52)&gt;3,(AO52/AS52)&lt;-3),"n.m.",(AO52/AS52))</f>
        <v>-0.22459893048128343</v>
      </c>
      <c r="AQ52" s="91"/>
      <c r="AR52" s="108">
        <f>+J52</f>
        <v>1015</v>
      </c>
      <c r="AS52" s="108">
        <f>N52</f>
        <v>1309</v>
      </c>
      <c r="AT52" s="108">
        <v>1325</v>
      </c>
      <c r="AU52" s="108">
        <v>1247</v>
      </c>
      <c r="AV52" s="108">
        <v>1265</v>
      </c>
      <c r="AW52" s="108">
        <v>1395</v>
      </c>
      <c r="AX52" s="108">
        <v>1334</v>
      </c>
      <c r="AY52" s="216">
        <v>1257</v>
      </c>
      <c r="AZ52" s="216">
        <v>1190</v>
      </c>
      <c r="BA52" s="216">
        <v>1104</v>
      </c>
      <c r="BB52" s="91"/>
      <c r="BC52" s="91"/>
      <c r="BG52" s="3"/>
    </row>
    <row r="53" spans="1:59" ht="12.75" customHeight="1" x14ac:dyDescent="0.2">
      <c r="A53" s="6"/>
      <c r="B53" s="6"/>
      <c r="C53" s="91"/>
      <c r="D53" s="91"/>
      <c r="E53" s="91"/>
      <c r="F53" s="483"/>
      <c r="G53" s="483"/>
      <c r="H53" s="483"/>
      <c r="I53" s="483"/>
      <c r="J53" s="483"/>
      <c r="K53" s="483"/>
      <c r="L53" s="483"/>
      <c r="M53" s="483"/>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483"/>
      <c r="AS53" s="91"/>
      <c r="AT53" s="91"/>
      <c r="AU53" s="91"/>
      <c r="AV53" s="91"/>
      <c r="AW53" s="91"/>
      <c r="AX53" s="91"/>
      <c r="AY53" s="216"/>
      <c r="AZ53" s="216"/>
      <c r="BA53" s="216"/>
      <c r="BB53" s="91"/>
      <c r="BC53" s="91"/>
      <c r="BG53" s="3"/>
    </row>
    <row r="54" spans="1:59" ht="18" customHeight="1" x14ac:dyDescent="0.2">
      <c r="A54" s="10" t="s">
        <v>250</v>
      </c>
      <c r="B54" s="6"/>
      <c r="C54" s="44"/>
      <c r="D54" s="44"/>
      <c r="E54" s="91"/>
      <c r="F54" s="483"/>
      <c r="G54" s="483"/>
      <c r="H54" s="483"/>
      <c r="I54" s="483"/>
      <c r="J54" s="483"/>
      <c r="K54" s="483"/>
      <c r="L54" s="483"/>
      <c r="M54" s="483"/>
      <c r="N54" s="91"/>
      <c r="O54" s="91"/>
      <c r="P54" s="91"/>
      <c r="Q54" s="91"/>
      <c r="R54" s="91"/>
      <c r="S54" s="91"/>
      <c r="T54" s="91"/>
      <c r="U54" s="91"/>
      <c r="V54" s="91"/>
      <c r="W54" s="91"/>
      <c r="X54" s="91"/>
      <c r="Y54" s="91"/>
      <c r="Z54" s="91"/>
      <c r="AA54" s="91"/>
      <c r="AB54" s="91"/>
      <c r="AC54" s="91"/>
      <c r="AD54" s="91"/>
      <c r="AE54" s="91"/>
      <c r="AF54" s="44"/>
      <c r="AG54" s="44"/>
      <c r="AH54" s="44"/>
      <c r="AI54" s="44"/>
      <c r="AJ54" s="44"/>
      <c r="AK54" s="44"/>
      <c r="AL54" s="44"/>
      <c r="AM54" s="44"/>
      <c r="AN54" s="44"/>
      <c r="AO54" s="91"/>
      <c r="AP54" s="91"/>
      <c r="AQ54" s="44"/>
      <c r="AR54" s="457"/>
      <c r="AS54" s="457"/>
      <c r="AT54" s="44"/>
      <c r="AU54" s="44"/>
      <c r="AV54" s="44"/>
      <c r="AW54" s="44"/>
      <c r="AX54" s="44"/>
      <c r="AY54" s="221"/>
      <c r="AZ54" s="221"/>
      <c r="BA54" s="221"/>
      <c r="BB54" s="91"/>
      <c r="BC54" s="91"/>
      <c r="BG54" s="3"/>
    </row>
    <row r="55" spans="1:59" ht="12.75" customHeight="1" x14ac:dyDescent="0.2">
      <c r="A55" s="123"/>
      <c r="B55" s="6"/>
      <c r="C55" s="44"/>
      <c r="D55" s="44"/>
      <c r="E55" s="91"/>
      <c r="F55" s="265"/>
      <c r="G55" s="265"/>
      <c r="H55" s="265"/>
      <c r="I55" s="483"/>
      <c r="J55" s="265"/>
      <c r="K55" s="265"/>
      <c r="L55" s="265"/>
      <c r="M55" s="483"/>
      <c r="N55" s="265"/>
      <c r="O55" s="265"/>
      <c r="P55" s="265"/>
      <c r="Q55" s="91"/>
      <c r="R55" s="265"/>
      <c r="S55" s="265"/>
      <c r="T55" s="265"/>
      <c r="U55" s="91"/>
      <c r="V55" s="265"/>
      <c r="W55" s="265"/>
      <c r="X55" s="265"/>
      <c r="Y55" s="91"/>
      <c r="Z55" s="265"/>
      <c r="AA55" s="91"/>
      <c r="AB55" s="91"/>
      <c r="AC55" s="91"/>
      <c r="AD55" s="91"/>
      <c r="AE55" s="91"/>
      <c r="AF55" s="44"/>
      <c r="AG55" s="44"/>
      <c r="AH55" s="44"/>
      <c r="AI55" s="44"/>
      <c r="AJ55" s="44"/>
      <c r="AK55" s="44"/>
      <c r="AL55" s="44"/>
      <c r="AM55" s="44"/>
      <c r="AN55" s="44"/>
      <c r="AO55" s="44"/>
      <c r="AP55" s="44"/>
      <c r="AQ55" s="44"/>
      <c r="AR55" s="482"/>
      <c r="AS55" s="44"/>
      <c r="AT55" s="44"/>
      <c r="AU55" s="44"/>
      <c r="AV55" s="44"/>
      <c r="AW55" s="44"/>
      <c r="AX55" s="44"/>
      <c r="AY55" s="221"/>
      <c r="AZ55" s="221"/>
      <c r="BA55" s="221"/>
      <c r="BB55" s="91"/>
      <c r="BC55" s="91"/>
      <c r="BG55" s="3"/>
    </row>
    <row r="56" spans="1:59" ht="12.75" customHeight="1" x14ac:dyDescent="0.2">
      <c r="A56" s="5"/>
      <c r="B56" s="6"/>
      <c r="C56" s="3204" t="s">
        <v>312</v>
      </c>
      <c r="D56" s="3205"/>
      <c r="E56" s="184"/>
      <c r="F56" s="273"/>
      <c r="G56" s="273"/>
      <c r="H56" s="273"/>
      <c r="I56" s="17"/>
      <c r="J56" s="273"/>
      <c r="K56" s="273"/>
      <c r="L56" s="273"/>
      <c r="M56" s="17"/>
      <c r="N56" s="15"/>
      <c r="O56" s="16"/>
      <c r="P56" s="273"/>
      <c r="Q56" s="17"/>
      <c r="R56" s="15"/>
      <c r="S56" s="16"/>
      <c r="T56" s="273"/>
      <c r="U56" s="17"/>
      <c r="V56" s="481"/>
      <c r="W56" s="16"/>
      <c r="X56" s="2"/>
      <c r="Y56" s="17"/>
      <c r="Z56" s="16"/>
      <c r="AA56" s="481"/>
      <c r="AB56" s="273"/>
      <c r="AC56" s="17"/>
      <c r="AD56" s="16"/>
      <c r="AE56" s="16"/>
      <c r="AF56" s="16"/>
      <c r="AG56" s="16"/>
      <c r="AH56" s="20"/>
      <c r="AI56" s="17"/>
      <c r="AJ56" s="17"/>
      <c r="AK56" s="17"/>
      <c r="AL56" s="22"/>
      <c r="AM56" s="445" t="s">
        <v>299</v>
      </c>
      <c r="AN56" s="433"/>
      <c r="AO56" s="433" t="s">
        <v>284</v>
      </c>
      <c r="AP56" s="434"/>
      <c r="AQ56" s="13"/>
      <c r="AR56" s="46"/>
      <c r="AS56" s="46"/>
      <c r="AT56" s="46"/>
      <c r="AU56" s="46"/>
      <c r="AV56" s="46"/>
      <c r="AW56" s="124"/>
      <c r="AX56" s="124"/>
      <c r="AY56" s="46"/>
      <c r="AZ56" s="46"/>
      <c r="BA56" s="464"/>
      <c r="BB56" s="105"/>
      <c r="BC56" s="91"/>
      <c r="BG56" s="3"/>
    </row>
    <row r="57" spans="1:59" ht="12.75" customHeight="1" x14ac:dyDescent="0.2">
      <c r="A57" s="5" t="s">
        <v>96</v>
      </c>
      <c r="B57" s="6"/>
      <c r="C57" s="3201" t="s">
        <v>38</v>
      </c>
      <c r="D57" s="3202"/>
      <c r="E57" s="355"/>
      <c r="F57" s="19" t="s">
        <v>315</v>
      </c>
      <c r="G57" s="19" t="s">
        <v>314</v>
      </c>
      <c r="H57" s="19" t="s">
        <v>313</v>
      </c>
      <c r="I57" s="12" t="s">
        <v>311</v>
      </c>
      <c r="J57" s="19" t="s">
        <v>270</v>
      </c>
      <c r="K57" s="19" t="s">
        <v>271</v>
      </c>
      <c r="L57" s="19" t="s">
        <v>272</v>
      </c>
      <c r="M57" s="12" t="s">
        <v>273</v>
      </c>
      <c r="N57" s="18" t="s">
        <v>223</v>
      </c>
      <c r="O57" s="19" t="s">
        <v>224</v>
      </c>
      <c r="P57" s="19" t="s">
        <v>225</v>
      </c>
      <c r="Q57" s="12" t="s">
        <v>222</v>
      </c>
      <c r="R57" s="18" t="s">
        <v>189</v>
      </c>
      <c r="S57" s="19" t="s">
        <v>190</v>
      </c>
      <c r="T57" s="19" t="s">
        <v>191</v>
      </c>
      <c r="U57" s="12" t="s">
        <v>192</v>
      </c>
      <c r="V57" s="19" t="s">
        <v>121</v>
      </c>
      <c r="W57" s="19" t="s">
        <v>120</v>
      </c>
      <c r="X57" s="19" t="s">
        <v>119</v>
      </c>
      <c r="Y57" s="12" t="s">
        <v>118</v>
      </c>
      <c r="Z57" s="19" t="s">
        <v>81</v>
      </c>
      <c r="AA57" s="19" t="s">
        <v>82</v>
      </c>
      <c r="AB57" s="19" t="s">
        <v>83</v>
      </c>
      <c r="AC57" s="12" t="s">
        <v>29</v>
      </c>
      <c r="AD57" s="19" t="s">
        <v>30</v>
      </c>
      <c r="AE57" s="19" t="s">
        <v>31</v>
      </c>
      <c r="AF57" s="19" t="s">
        <v>32</v>
      </c>
      <c r="AG57" s="19" t="s">
        <v>33</v>
      </c>
      <c r="AH57" s="21" t="s">
        <v>34</v>
      </c>
      <c r="AI57" s="12" t="s">
        <v>35</v>
      </c>
      <c r="AJ57" s="12" t="s">
        <v>36</v>
      </c>
      <c r="AK57" s="12" t="s">
        <v>37</v>
      </c>
      <c r="AL57" s="184"/>
      <c r="AM57" s="19" t="s">
        <v>271</v>
      </c>
      <c r="AN57" s="19" t="s">
        <v>224</v>
      </c>
      <c r="AO57" s="3206" t="s">
        <v>38</v>
      </c>
      <c r="AP57" s="3207"/>
      <c r="AQ57" s="127"/>
      <c r="AR57" s="18" t="s">
        <v>275</v>
      </c>
      <c r="AS57" s="18" t="s">
        <v>227</v>
      </c>
      <c r="AT57" s="18" t="s">
        <v>123</v>
      </c>
      <c r="AU57" s="18" t="s">
        <v>122</v>
      </c>
      <c r="AV57" s="18" t="s">
        <v>42</v>
      </c>
      <c r="AW57" s="21" t="s">
        <v>39</v>
      </c>
      <c r="AX57" s="21" t="s">
        <v>40</v>
      </c>
      <c r="AY57" s="21" t="s">
        <v>142</v>
      </c>
      <c r="AZ57" s="21" t="s">
        <v>143</v>
      </c>
      <c r="BA57" s="19" t="s">
        <v>144</v>
      </c>
      <c r="BB57" s="105"/>
      <c r="BC57" s="91"/>
      <c r="BG57" s="3"/>
    </row>
    <row r="58" spans="1:59" ht="12.75" customHeight="1" x14ac:dyDescent="0.2">
      <c r="A58" s="90"/>
      <c r="B58" s="91" t="s">
        <v>4</v>
      </c>
      <c r="C58" s="45" t="e">
        <f>I58-M58</f>
        <v>#REF!</v>
      </c>
      <c r="D58" s="498" t="e">
        <f>IF(OR((C58/M58)&gt;3,(C58/M58)&lt;-3),"n.m.",(C58/M58))</f>
        <v>#REF!</v>
      </c>
      <c r="E58" s="47"/>
      <c r="F58" s="494" t="e">
        <f t="shared" ref="F58:M58" si="33">+F16</f>
        <v>#REF!</v>
      </c>
      <c r="G58" s="494" t="e">
        <f t="shared" si="33"/>
        <v>#REF!</v>
      </c>
      <c r="H58" s="494" t="e">
        <f t="shared" si="33"/>
        <v>#REF!</v>
      </c>
      <c r="I58" s="495" t="e">
        <f t="shared" si="33"/>
        <v>#REF!</v>
      </c>
      <c r="J58" s="494" t="e">
        <f t="shared" si="33"/>
        <v>#REF!</v>
      </c>
      <c r="K58" s="494" t="e">
        <f t="shared" si="33"/>
        <v>#REF!</v>
      </c>
      <c r="L58" s="494" t="e">
        <f t="shared" si="33"/>
        <v>#REF!</v>
      </c>
      <c r="M58" s="495" t="e">
        <f t="shared" si="33"/>
        <v>#REF!</v>
      </c>
      <c r="N58" s="235" t="e">
        <f t="shared" ref="N58:U58" si="34">N16</f>
        <v>#REF!</v>
      </c>
      <c r="O58" s="235" t="e">
        <f t="shared" si="34"/>
        <v>#REF!</v>
      </c>
      <c r="P58" s="235" t="e">
        <f t="shared" si="34"/>
        <v>#REF!</v>
      </c>
      <c r="Q58" s="252" t="e">
        <f t="shared" si="34"/>
        <v>#REF!</v>
      </c>
      <c r="R58" s="235" t="e">
        <f t="shared" si="34"/>
        <v>#REF!</v>
      </c>
      <c r="S58" s="235" t="e">
        <f t="shared" si="34"/>
        <v>#REF!</v>
      </c>
      <c r="T58" s="235" t="e">
        <f t="shared" si="34"/>
        <v>#REF!</v>
      </c>
      <c r="U58" s="252">
        <f t="shared" si="34"/>
        <v>108918</v>
      </c>
      <c r="V58" s="235">
        <v>98022</v>
      </c>
      <c r="W58" s="235">
        <v>123626</v>
      </c>
      <c r="X58" s="235">
        <v>79190</v>
      </c>
      <c r="Y58" s="252">
        <v>87934</v>
      </c>
      <c r="Z58" s="245">
        <v>72784</v>
      </c>
      <c r="AA58" s="235">
        <v>57907</v>
      </c>
      <c r="AB58" s="235">
        <v>80775</v>
      </c>
      <c r="AC58" s="235">
        <v>108898</v>
      </c>
      <c r="AD58" s="157">
        <v>104437</v>
      </c>
      <c r="AE58" s="235">
        <v>125130</v>
      </c>
      <c r="AF58" s="235">
        <v>117358</v>
      </c>
      <c r="AG58" s="245">
        <v>162141</v>
      </c>
      <c r="AH58" s="156">
        <v>153624</v>
      </c>
      <c r="AI58" s="143">
        <v>134705</v>
      </c>
      <c r="AJ58" s="143">
        <v>108408</v>
      </c>
      <c r="AK58" s="152">
        <v>133250</v>
      </c>
      <c r="AL58" s="47"/>
      <c r="AM58" s="235" t="e">
        <f>SUM(K58:M58)</f>
        <v>#REF!</v>
      </c>
      <c r="AN58" s="235" t="e">
        <f>SUM(O58:Q58)</f>
        <v>#REF!</v>
      </c>
      <c r="AO58" s="246" t="e">
        <f>AR58-AS58</f>
        <v>#REF!</v>
      </c>
      <c r="AP58" s="247" t="e">
        <f>IF(OR((AO58/AS58)&gt;3,(AO58/AS58)&lt;-3),"n.m.",(AO58/AS58))</f>
        <v>#REF!</v>
      </c>
      <c r="AQ58" s="44"/>
      <c r="AR58" s="487" t="e">
        <f>SUM(J58:M58)</f>
        <v>#REF!</v>
      </c>
      <c r="AS58" s="118" t="e">
        <f>SUM(N58:Q58)</f>
        <v>#REF!</v>
      </c>
      <c r="AT58" s="118" t="e">
        <f>SUM(R58:U58)</f>
        <v>#REF!</v>
      </c>
      <c r="AU58" s="118">
        <v>388772</v>
      </c>
      <c r="AV58" s="118">
        <v>320364</v>
      </c>
      <c r="AW58" s="284">
        <v>509066</v>
      </c>
      <c r="AX58" s="284">
        <v>530492</v>
      </c>
      <c r="AY58" s="284">
        <f>AY16</f>
        <v>437554</v>
      </c>
      <c r="AZ58" s="284">
        <f>AZ16</f>
        <v>316688</v>
      </c>
      <c r="BA58" s="224">
        <v>317668</v>
      </c>
      <c r="BB58" s="105"/>
      <c r="BC58" s="91"/>
      <c r="BG58" s="3"/>
    </row>
    <row r="59" spans="1:59" ht="12.75" customHeight="1" x14ac:dyDescent="0.2">
      <c r="A59" s="44"/>
      <c r="B59" s="44" t="s">
        <v>80</v>
      </c>
      <c r="C59" s="45">
        <f>I59-M59</f>
        <v>-14408</v>
      </c>
      <c r="D59" s="39">
        <f>IF(OR((C59/M59)&gt;3,(C59/M59)&lt;-3),"n.m.",(C59/M59))</f>
        <v>-0.18294943748888945</v>
      </c>
      <c r="E59" s="356"/>
      <c r="F59" s="264">
        <f>+F35-F30-F31</f>
        <v>0</v>
      </c>
      <c r="G59" s="264">
        <f>+G35-G30-G31</f>
        <v>0</v>
      </c>
      <c r="H59" s="264">
        <f>+H35-H30-H31</f>
        <v>0</v>
      </c>
      <c r="I59" s="495">
        <f>+I35-I30-I31-930</f>
        <v>64346</v>
      </c>
      <c r="J59" s="264">
        <f>+J35-J30-J31-930</f>
        <v>88463</v>
      </c>
      <c r="K59" s="264">
        <f>+K35-K30-K31-930</f>
        <v>96572</v>
      </c>
      <c r="L59" s="264">
        <f>+L35-L30-L31-930</f>
        <v>79613</v>
      </c>
      <c r="M59" s="495">
        <f>+M35-930</f>
        <v>78754</v>
      </c>
      <c r="N59" s="264">
        <f>N35-N30-930</f>
        <v>112287</v>
      </c>
      <c r="O59" s="264">
        <f>O35-O31-930-O30</f>
        <v>93171</v>
      </c>
      <c r="P59" s="264">
        <f>P35-P31-930</f>
        <v>87147</v>
      </c>
      <c r="Q59" s="252">
        <f>Q35-930</f>
        <v>103084</v>
      </c>
      <c r="R59" s="264">
        <f>R35-R31-930</f>
        <v>138302</v>
      </c>
      <c r="S59" s="264">
        <f>S35-S31-930</f>
        <v>141951</v>
      </c>
      <c r="T59" s="264">
        <f>T35-T31-1827</f>
        <v>95491</v>
      </c>
      <c r="U59" s="252">
        <f>U35-U31-1439</f>
        <v>93041</v>
      </c>
      <c r="V59" s="264">
        <v>92777</v>
      </c>
      <c r="W59" s="264">
        <v>106520</v>
      </c>
      <c r="X59" s="264">
        <v>75672</v>
      </c>
      <c r="Y59" s="252">
        <v>78767</v>
      </c>
      <c r="Z59" s="264">
        <v>65881</v>
      </c>
      <c r="AA59" s="264">
        <v>72055</v>
      </c>
      <c r="AB59" s="264">
        <v>76728</v>
      </c>
      <c r="AC59" s="252">
        <v>96729</v>
      </c>
      <c r="AD59" s="139">
        <v>87577</v>
      </c>
      <c r="AE59" s="139">
        <v>104907</v>
      </c>
      <c r="AF59" s="139">
        <v>95426</v>
      </c>
      <c r="AG59" s="139">
        <v>125313</v>
      </c>
      <c r="AH59" s="103">
        <v>118739</v>
      </c>
      <c r="AI59" s="143">
        <v>106957</v>
      </c>
      <c r="AJ59" s="143">
        <v>92702</v>
      </c>
      <c r="AK59" s="143">
        <v>112876</v>
      </c>
      <c r="AL59" s="47"/>
      <c r="AM59" s="494">
        <f>SUM(K59:M59)</f>
        <v>254939</v>
      </c>
      <c r="AN59" s="235">
        <f>SUM(O59:Q59)</f>
        <v>283402</v>
      </c>
      <c r="AO59" s="96">
        <f>AR59-AS59</f>
        <v>-52287</v>
      </c>
      <c r="AP59" s="39">
        <f>IF(OR((AO59/AS59)&gt;3,(AO59/AS59)&lt;-3),"n.m.",(AO59/AS59))</f>
        <v>-0.13214165670513964</v>
      </c>
      <c r="AQ59" s="44"/>
      <c r="AR59" s="487">
        <f>SUM(J59:M59)</f>
        <v>343402</v>
      </c>
      <c r="AS59" s="118">
        <f>SUM(N59:Q59)</f>
        <v>395689</v>
      </c>
      <c r="AT59" s="118">
        <f>SUM(R59:U59)</f>
        <v>468785</v>
      </c>
      <c r="AU59" s="118">
        <v>353736</v>
      </c>
      <c r="AV59" s="118">
        <v>311393</v>
      </c>
      <c r="AW59" s="103">
        <v>413223</v>
      </c>
      <c r="AX59" s="103">
        <v>431274</v>
      </c>
      <c r="AY59" s="37">
        <v>363542</v>
      </c>
      <c r="AZ59" s="37">
        <v>274358</v>
      </c>
      <c r="BA59" s="37">
        <v>271025</v>
      </c>
      <c r="BB59" s="105"/>
      <c r="BC59" s="91"/>
      <c r="BG59" s="3"/>
    </row>
    <row r="60" spans="1:59" x14ac:dyDescent="0.2">
      <c r="A60" s="44"/>
      <c r="B60" s="496" t="s">
        <v>72</v>
      </c>
      <c r="C60" s="97" t="e">
        <f>I60-M60</f>
        <v>#REF!</v>
      </c>
      <c r="D60" s="98" t="e">
        <f>IF(OR((C60/M60)&gt;3,(C60/M60)&lt;-3),"n.m.",(C60/M60))</f>
        <v>#REF!</v>
      </c>
      <c r="E60" s="356"/>
      <c r="F60" s="270" t="e">
        <f t="shared" ref="F60:M60" si="35">+F58-F59</f>
        <v>#REF!</v>
      </c>
      <c r="G60" s="270" t="e">
        <f t="shared" si="35"/>
        <v>#REF!</v>
      </c>
      <c r="H60" s="270" t="e">
        <f t="shared" si="35"/>
        <v>#REF!</v>
      </c>
      <c r="I60" s="254" t="e">
        <f t="shared" si="35"/>
        <v>#REF!</v>
      </c>
      <c r="J60" s="270" t="e">
        <f t="shared" si="35"/>
        <v>#REF!</v>
      </c>
      <c r="K60" s="270" t="e">
        <f t="shared" si="35"/>
        <v>#REF!</v>
      </c>
      <c r="L60" s="270" t="e">
        <f t="shared" si="35"/>
        <v>#REF!</v>
      </c>
      <c r="M60" s="254" t="e">
        <f t="shared" si="35"/>
        <v>#REF!</v>
      </c>
      <c r="N60" s="270" t="e">
        <f t="shared" ref="N60:U60" si="36">N58-N59</f>
        <v>#REF!</v>
      </c>
      <c r="O60" s="270" t="e">
        <f>O58-O59</f>
        <v>#REF!</v>
      </c>
      <c r="P60" s="270" t="e">
        <f>P58-P59</f>
        <v>#REF!</v>
      </c>
      <c r="Q60" s="254" t="e">
        <f t="shared" si="36"/>
        <v>#REF!</v>
      </c>
      <c r="R60" s="270" t="e">
        <f t="shared" si="36"/>
        <v>#REF!</v>
      </c>
      <c r="S60" s="270" t="e">
        <f t="shared" si="36"/>
        <v>#REF!</v>
      </c>
      <c r="T60" s="270" t="e">
        <f t="shared" si="36"/>
        <v>#REF!</v>
      </c>
      <c r="U60" s="254">
        <f t="shared" si="36"/>
        <v>15877</v>
      </c>
      <c r="V60" s="270">
        <v>5245</v>
      </c>
      <c r="W60" s="270">
        <v>17106</v>
      </c>
      <c r="X60" s="270">
        <v>3518</v>
      </c>
      <c r="Y60" s="254">
        <v>9167</v>
      </c>
      <c r="Z60" s="270">
        <v>6903</v>
      </c>
      <c r="AA60" s="270">
        <v>-14148</v>
      </c>
      <c r="AB60" s="270">
        <v>4047</v>
      </c>
      <c r="AC60" s="270">
        <v>12169</v>
      </c>
      <c r="AD60" s="277">
        <v>16860</v>
      </c>
      <c r="AE60" s="270">
        <v>20223</v>
      </c>
      <c r="AF60" s="270">
        <v>21932</v>
      </c>
      <c r="AG60" s="270">
        <v>36828</v>
      </c>
      <c r="AH60" s="277">
        <v>34885</v>
      </c>
      <c r="AI60" s="146">
        <v>27748</v>
      </c>
      <c r="AJ60" s="146">
        <v>15706</v>
      </c>
      <c r="AK60" s="146">
        <v>20374</v>
      </c>
      <c r="AL60" s="47"/>
      <c r="AM60" s="155" t="e">
        <f>AM58-AM59</f>
        <v>#REF!</v>
      </c>
      <c r="AN60" s="243" t="e">
        <f>AN58-AN59</f>
        <v>#REF!</v>
      </c>
      <c r="AO60" s="248" t="e">
        <f>AR60-AS60</f>
        <v>#REF!</v>
      </c>
      <c r="AP60" s="322" t="e">
        <f>IF(OR((AO60/AS60)&gt;3,(AO60/AS60)&lt;-3),"n.m.",(AO60/AS60))</f>
        <v>#REF!</v>
      </c>
      <c r="AQ60" s="44"/>
      <c r="AR60" s="128" t="e">
        <f>SUM(J60:M60)</f>
        <v>#REF!</v>
      </c>
      <c r="AS60" s="128" t="e">
        <f>AS58-AS59</f>
        <v>#REF!</v>
      </c>
      <c r="AT60" s="128" t="e">
        <f>SUM(R60:U60)</f>
        <v>#REF!</v>
      </c>
      <c r="AU60" s="128">
        <v>35036</v>
      </c>
      <c r="AV60" s="128">
        <v>8971</v>
      </c>
      <c r="AW60" s="255">
        <v>95843</v>
      </c>
      <c r="AX60" s="255">
        <v>99218</v>
      </c>
      <c r="AY60" s="255">
        <f>AY58-AY59</f>
        <v>74012</v>
      </c>
      <c r="AZ60" s="255">
        <f>AZ58-AZ59</f>
        <v>42330</v>
      </c>
      <c r="BA60" s="102">
        <v>46643</v>
      </c>
      <c r="BB60" s="105"/>
      <c r="BC60" s="91"/>
      <c r="BG60" s="3"/>
    </row>
    <row r="61" spans="1:59" ht="12.75" customHeight="1" x14ac:dyDescent="0.2">
      <c r="A61" s="44"/>
      <c r="B61" s="44"/>
      <c r="C61" s="96"/>
      <c r="D61" s="9"/>
      <c r="E61" s="9"/>
      <c r="F61" s="9"/>
      <c r="G61" s="9"/>
      <c r="H61" s="9"/>
      <c r="I61" s="483"/>
      <c r="J61" s="9"/>
      <c r="K61" s="9"/>
      <c r="L61" s="9"/>
      <c r="M61" s="483"/>
      <c r="N61" s="9"/>
      <c r="O61" s="9"/>
      <c r="P61" s="9"/>
      <c r="Q61" s="91"/>
      <c r="R61" s="9"/>
      <c r="S61" s="9"/>
      <c r="T61" s="9"/>
      <c r="U61" s="91"/>
      <c r="V61" s="9"/>
      <c r="W61" s="9"/>
      <c r="X61" s="9"/>
      <c r="Y61" s="91"/>
      <c r="Z61" s="9"/>
      <c r="AA61" s="9"/>
      <c r="AB61" s="9"/>
      <c r="AC61" s="91"/>
      <c r="AD61" s="44"/>
      <c r="AE61" s="44"/>
      <c r="AF61" s="44"/>
      <c r="AG61" s="44"/>
      <c r="AH61" s="44"/>
      <c r="AI61" s="44"/>
      <c r="AJ61" s="44"/>
      <c r="AK61" s="44"/>
      <c r="AL61" s="91"/>
      <c r="AM61" s="91"/>
      <c r="AN61" s="91"/>
      <c r="AO61" s="96"/>
      <c r="AP61" s="9"/>
      <c r="AQ61" s="91"/>
      <c r="AR61" s="483"/>
      <c r="AS61" s="91"/>
      <c r="AT61" s="91"/>
      <c r="AU61" s="91"/>
      <c r="AV61" s="91"/>
      <c r="AW61" s="44"/>
      <c r="AX61" s="44"/>
      <c r="AY61" s="216"/>
      <c r="AZ61" s="216"/>
      <c r="BA61" s="216"/>
      <c r="BB61" s="91"/>
      <c r="BC61" s="91"/>
      <c r="BG61" s="3"/>
    </row>
    <row r="62" spans="1:59" ht="12.75" customHeight="1" x14ac:dyDescent="0.2">
      <c r="A62" s="44"/>
      <c r="B62" s="88" t="s">
        <v>75</v>
      </c>
      <c r="C62" s="135" t="e">
        <f>(I62-M62)*100</f>
        <v>#REF!</v>
      </c>
      <c r="D62" s="9"/>
      <c r="E62" s="9"/>
      <c r="F62" s="9" t="e">
        <f t="shared" ref="F62:K62" si="37">(F59-F20-F21)/F16</f>
        <v>#REF!</v>
      </c>
      <c r="G62" s="9" t="e">
        <f t="shared" si="37"/>
        <v>#REF!</v>
      </c>
      <c r="H62" s="9" t="e">
        <f t="shared" si="37"/>
        <v>#REF!</v>
      </c>
      <c r="I62" s="9" t="e">
        <f t="shared" si="37"/>
        <v>#REF!</v>
      </c>
      <c r="J62" s="9" t="e">
        <f t="shared" si="37"/>
        <v>#REF!</v>
      </c>
      <c r="K62" s="9" t="e">
        <f t="shared" si="37"/>
        <v>#REF!</v>
      </c>
      <c r="L62" s="9" t="e">
        <f t="shared" ref="L62:U62" si="38">(L59-L20-L21)/L16</f>
        <v>#REF!</v>
      </c>
      <c r="M62" s="9" t="e">
        <f t="shared" si="38"/>
        <v>#REF!</v>
      </c>
      <c r="N62" s="9" t="e">
        <f t="shared" si="38"/>
        <v>#REF!</v>
      </c>
      <c r="O62" s="9" t="e">
        <f t="shared" si="38"/>
        <v>#REF!</v>
      </c>
      <c r="P62" s="9" t="e">
        <f t="shared" si="38"/>
        <v>#REF!</v>
      </c>
      <c r="Q62" s="9" t="e">
        <f t="shared" si="38"/>
        <v>#REF!</v>
      </c>
      <c r="R62" s="9" t="e">
        <f t="shared" si="38"/>
        <v>#REF!</v>
      </c>
      <c r="S62" s="9" t="e">
        <f t="shared" si="38"/>
        <v>#REF!</v>
      </c>
      <c r="T62" s="9" t="e">
        <f t="shared" si="38"/>
        <v>#REF!</v>
      </c>
      <c r="U62" s="9">
        <f t="shared" si="38"/>
        <v>0.27150700527001964</v>
      </c>
      <c r="V62" s="9">
        <v>0.31398053498194284</v>
      </c>
      <c r="W62" s="9">
        <v>0.23753094009350784</v>
      </c>
      <c r="X62" s="9">
        <v>0.31925748200530368</v>
      </c>
      <c r="Y62" s="9">
        <v>0.27244296859007894</v>
      </c>
      <c r="Z62" s="9">
        <v>0.33500494614200921</v>
      </c>
      <c r="AA62" s="9">
        <v>0.58068586441732639</v>
      </c>
      <c r="AB62" s="9">
        <v>0.36575851393188852</v>
      </c>
      <c r="AC62" s="9">
        <v>0.29228126894322087</v>
      </c>
      <c r="AD62" s="32">
        <v>0.31506560674264916</v>
      </c>
      <c r="AE62" s="32">
        <v>0.28772521622356156</v>
      </c>
      <c r="AF62" s="32">
        <v>0.27809848646344065</v>
      </c>
      <c r="AG62" s="32">
        <v>0.21399999999999997</v>
      </c>
      <c r="AH62" s="32">
        <v>0.19700000000000006</v>
      </c>
      <c r="AI62" s="32">
        <v>0.22300000000000009</v>
      </c>
      <c r="AJ62" s="32">
        <v>0.28700000000000003</v>
      </c>
      <c r="AK62" s="32">
        <v>0.28100000000000003</v>
      </c>
      <c r="AL62" s="91"/>
      <c r="AM62" s="9" t="e">
        <f>(AM59-AM20-AM21)/AM16</f>
        <v>#REF!</v>
      </c>
      <c r="AN62" s="9" t="e">
        <f>(AN59-AN20-AN21)/AN16</f>
        <v>#REF!</v>
      </c>
      <c r="AO62" s="104" t="e">
        <f>(AR62-AS62)*100</f>
        <v>#REF!</v>
      </c>
      <c r="AP62" s="9"/>
      <c r="AQ62" s="91"/>
      <c r="AR62" s="9" t="e">
        <f>(AR59-AR20-AR21)/AR16</f>
        <v>#REF!</v>
      </c>
      <c r="AS62" s="9" t="e">
        <f>(AS59-AS20-AS21)/AS16</f>
        <v>#REF!</v>
      </c>
      <c r="AT62" s="9">
        <f>(AT59-AT20-AT21)/AT16</f>
        <v>0.22322222147969448</v>
      </c>
      <c r="AU62" s="32">
        <v>0.28134999434115626</v>
      </c>
      <c r="AV62" s="32">
        <v>0.37250127979423409</v>
      </c>
      <c r="AW62" s="32">
        <v>0.26781362993240054</v>
      </c>
      <c r="AX62" s="32">
        <v>0.24299999999999999</v>
      </c>
      <c r="AY62" s="222">
        <v>0.24</v>
      </c>
      <c r="AZ62" s="222">
        <v>0.26200000000000001</v>
      </c>
      <c r="BA62" s="222">
        <v>0.23499999999999999</v>
      </c>
      <c r="BB62" s="91"/>
      <c r="BC62" s="91"/>
      <c r="BG62" s="3"/>
    </row>
    <row r="63" spans="1:59" ht="12.75" customHeight="1" x14ac:dyDescent="0.2">
      <c r="A63" s="44"/>
      <c r="B63" s="88" t="s">
        <v>76</v>
      </c>
      <c r="C63" s="135" t="e">
        <f>(I63-M63)*100</f>
        <v>#REF!</v>
      </c>
      <c r="D63" s="9"/>
      <c r="E63" s="9"/>
      <c r="F63" s="9" t="e">
        <f t="shared" ref="F63:K63" si="39">F59/F58</f>
        <v>#REF!</v>
      </c>
      <c r="G63" s="9" t="e">
        <f t="shared" si="39"/>
        <v>#REF!</v>
      </c>
      <c r="H63" s="9" t="e">
        <f t="shared" si="39"/>
        <v>#REF!</v>
      </c>
      <c r="I63" s="9" t="e">
        <f t="shared" si="39"/>
        <v>#REF!</v>
      </c>
      <c r="J63" s="9" t="e">
        <f t="shared" si="39"/>
        <v>#REF!</v>
      </c>
      <c r="K63" s="9" t="e">
        <f t="shared" si="39"/>
        <v>#REF!</v>
      </c>
      <c r="L63" s="9" t="e">
        <f t="shared" ref="L63:Q63" si="40">L59/L58</f>
        <v>#REF!</v>
      </c>
      <c r="M63" s="9" t="e">
        <f t="shared" si="40"/>
        <v>#REF!</v>
      </c>
      <c r="N63" s="9" t="e">
        <f t="shared" si="40"/>
        <v>#REF!</v>
      </c>
      <c r="O63" s="9" t="e">
        <f t="shared" si="40"/>
        <v>#REF!</v>
      </c>
      <c r="P63" s="9" t="e">
        <f t="shared" si="40"/>
        <v>#REF!</v>
      </c>
      <c r="Q63" s="9" t="e">
        <f t="shared" si="40"/>
        <v>#REF!</v>
      </c>
      <c r="R63" s="9" t="e">
        <f>R59/R58</f>
        <v>#REF!</v>
      </c>
      <c r="S63" s="9" t="e">
        <f>S59/S58</f>
        <v>#REF!</v>
      </c>
      <c r="T63" s="9" t="e">
        <f>T59/T58</f>
        <v>#REF!</v>
      </c>
      <c r="U63" s="9">
        <f>U59/U58</f>
        <v>0.85422978754659473</v>
      </c>
      <c r="V63" s="9">
        <v>0.94649160392564935</v>
      </c>
      <c r="W63" s="9">
        <v>0.86163104848494654</v>
      </c>
      <c r="X63" s="9">
        <v>0.95557519888874853</v>
      </c>
      <c r="Y63" s="9">
        <v>0.89475135897377578</v>
      </c>
      <c r="Z63" s="9">
        <v>0.90515772697296104</v>
      </c>
      <c r="AA63" s="9">
        <v>1.2454627164932417</v>
      </c>
      <c r="AB63" s="9">
        <v>0.95019195046439631</v>
      </c>
      <c r="AC63" s="9">
        <v>0.88841639265967409</v>
      </c>
      <c r="AD63" s="32">
        <v>0.8387798103629921</v>
      </c>
      <c r="AE63" s="32">
        <v>0.83857172547201486</v>
      </c>
      <c r="AF63" s="32">
        <v>0.81369430824984013</v>
      </c>
      <c r="AG63" s="32">
        <v>0.77300000000000002</v>
      </c>
      <c r="AH63" s="32">
        <v>0.77300000000000002</v>
      </c>
      <c r="AI63" s="32">
        <v>0.79400000000000004</v>
      </c>
      <c r="AJ63" s="32">
        <v>0.85499999999999998</v>
      </c>
      <c r="AK63" s="32">
        <v>0.84699999999999998</v>
      </c>
      <c r="AL63" s="91"/>
      <c r="AM63" s="9" t="e">
        <f>AM59/AM58</f>
        <v>#REF!</v>
      </c>
      <c r="AN63" s="9" t="e">
        <f>AN59/AN58</f>
        <v>#REF!</v>
      </c>
      <c r="AO63" s="104" t="e">
        <f>(AR63-AS63)*100</f>
        <v>#REF!</v>
      </c>
      <c r="AP63" s="9"/>
      <c r="AQ63" s="91"/>
      <c r="AR63" s="9" t="e">
        <f>AR59/AR58</f>
        <v>#REF!</v>
      </c>
      <c r="AS63" s="9" t="e">
        <f>AS59/AS58</f>
        <v>#REF!</v>
      </c>
      <c r="AT63" s="9" t="e">
        <f>AT59/AT58</f>
        <v>#REF!</v>
      </c>
      <c r="AU63" s="32">
        <v>0.90888034117683369</v>
      </c>
      <c r="AV63" s="32">
        <v>0.9719974778689241</v>
      </c>
      <c r="AW63" s="32">
        <v>0.81202444584184874</v>
      </c>
      <c r="AX63" s="32">
        <v>0.81399999999999995</v>
      </c>
      <c r="AY63" s="222">
        <v>0.83099999999999996</v>
      </c>
      <c r="AZ63" s="222">
        <v>0.86599999999999999</v>
      </c>
      <c r="BA63" s="222">
        <v>0.85299999999999998</v>
      </c>
      <c r="BB63" s="91"/>
      <c r="BC63" s="91"/>
      <c r="BG63" s="3"/>
    </row>
    <row r="64" spans="1:59" ht="12.75" customHeight="1" x14ac:dyDescent="0.2">
      <c r="A64" s="44"/>
      <c r="B64" s="88" t="s">
        <v>77</v>
      </c>
      <c r="C64" s="135" t="e">
        <f>(I64-M64)*100</f>
        <v>#REF!</v>
      </c>
      <c r="D64" s="9"/>
      <c r="E64" s="9"/>
      <c r="F64" s="9" t="e">
        <f t="shared" ref="F64:K64" si="41">F60/F58</f>
        <v>#REF!</v>
      </c>
      <c r="G64" s="9" t="e">
        <f t="shared" si="41"/>
        <v>#REF!</v>
      </c>
      <c r="H64" s="9" t="e">
        <f t="shared" si="41"/>
        <v>#REF!</v>
      </c>
      <c r="I64" s="9" t="e">
        <f t="shared" si="41"/>
        <v>#REF!</v>
      </c>
      <c r="J64" s="9" t="e">
        <f t="shared" si="41"/>
        <v>#REF!</v>
      </c>
      <c r="K64" s="9" t="e">
        <f t="shared" si="41"/>
        <v>#REF!</v>
      </c>
      <c r="L64" s="9" t="e">
        <f t="shared" ref="L64:Q64" si="42">L60/L58</f>
        <v>#REF!</v>
      </c>
      <c r="M64" s="9" t="e">
        <f t="shared" si="42"/>
        <v>#REF!</v>
      </c>
      <c r="N64" s="9" t="e">
        <f t="shared" si="42"/>
        <v>#REF!</v>
      </c>
      <c r="O64" s="9" t="e">
        <f t="shared" si="42"/>
        <v>#REF!</v>
      </c>
      <c r="P64" s="9" t="e">
        <f t="shared" si="42"/>
        <v>#REF!</v>
      </c>
      <c r="Q64" s="9" t="e">
        <f t="shared" si="42"/>
        <v>#REF!</v>
      </c>
      <c r="R64" s="9" t="e">
        <f>R60/R58</f>
        <v>#REF!</v>
      </c>
      <c r="S64" s="9" t="e">
        <f>S60/S58</f>
        <v>#REF!</v>
      </c>
      <c r="T64" s="9" t="e">
        <f>T60/T58</f>
        <v>#REF!</v>
      </c>
      <c r="U64" s="9">
        <f>U60/U58</f>
        <v>0.14577021245340532</v>
      </c>
      <c r="V64" s="9">
        <v>5.3508396074350657E-2</v>
      </c>
      <c r="W64" s="9">
        <v>0.13836895151505346</v>
      </c>
      <c r="X64" s="9">
        <v>4.4424801111251418E-2</v>
      </c>
      <c r="Y64" s="9">
        <v>0.10424864102622422</v>
      </c>
      <c r="Z64" s="9">
        <v>9.4842273027038904E-2</v>
      </c>
      <c r="AA64" s="9">
        <v>-0.24546271649324161</v>
      </c>
      <c r="AB64" s="9">
        <v>4.9808049535603714E-2</v>
      </c>
      <c r="AC64" s="9">
        <v>0.11158360734032587</v>
      </c>
      <c r="AD64" s="32">
        <v>0.16122018963700796</v>
      </c>
      <c r="AE64" s="32">
        <v>0.16142827452798517</v>
      </c>
      <c r="AF64" s="32">
        <v>0.18630569175015987</v>
      </c>
      <c r="AG64" s="32">
        <v>0.22699999999999998</v>
      </c>
      <c r="AH64" s="32">
        <v>0.22699999999999998</v>
      </c>
      <c r="AI64" s="32">
        <v>0.20599999999999996</v>
      </c>
      <c r="AJ64" s="32">
        <v>0.14499999999999999</v>
      </c>
      <c r="AK64" s="32">
        <v>0.15300000000000002</v>
      </c>
      <c r="AL64" s="91"/>
      <c r="AM64" s="9" t="e">
        <f>AM60/AM58</f>
        <v>#REF!</v>
      </c>
      <c r="AN64" s="9" t="e">
        <f>AN60/AN58</f>
        <v>#REF!</v>
      </c>
      <c r="AO64" s="104" t="e">
        <f>(AR64-AS64)*100</f>
        <v>#REF!</v>
      </c>
      <c r="AP64" s="9"/>
      <c r="AQ64" s="91"/>
      <c r="AR64" s="9" t="e">
        <f>AR60/AR58</f>
        <v>#REF!</v>
      </c>
      <c r="AS64" s="9" t="e">
        <f>AS60/AS58</f>
        <v>#REF!</v>
      </c>
      <c r="AT64" s="9" t="e">
        <f>AT60/AT58</f>
        <v>#REF!</v>
      </c>
      <c r="AU64" s="32">
        <v>9.0119658823166277E-2</v>
      </c>
      <c r="AV64" s="32">
        <v>2.8002522131075902E-2</v>
      </c>
      <c r="AW64" s="32">
        <v>0.18797555415815123</v>
      </c>
      <c r="AX64" s="32">
        <v>0.18600000000000005</v>
      </c>
      <c r="AY64" s="222">
        <v>0.16900000000000004</v>
      </c>
      <c r="AZ64" s="222">
        <v>0.13400000000000001</v>
      </c>
      <c r="BA64" s="222">
        <v>0.14700000000000002</v>
      </c>
      <c r="BB64" s="91"/>
      <c r="BC64" s="91"/>
    </row>
    <row r="65" spans="1:55" ht="12.75" customHeight="1" x14ac:dyDescent="0.2">
      <c r="A65" s="44"/>
      <c r="B65" s="88"/>
      <c r="C65" s="135"/>
      <c r="D65" s="9"/>
      <c r="E65" s="9"/>
      <c r="F65" s="9"/>
      <c r="G65" s="9"/>
      <c r="H65" s="9"/>
      <c r="I65" s="9"/>
      <c r="J65" s="9"/>
      <c r="K65" s="9"/>
      <c r="L65" s="9"/>
      <c r="M65" s="9"/>
      <c r="N65" s="9"/>
      <c r="O65" s="9"/>
      <c r="P65" s="9"/>
      <c r="Q65" s="9"/>
      <c r="R65" s="9"/>
      <c r="S65" s="9"/>
      <c r="T65" s="9"/>
      <c r="U65" s="9"/>
      <c r="V65" s="9"/>
      <c r="W65" s="9"/>
      <c r="X65" s="9"/>
      <c r="Y65" s="9"/>
      <c r="Z65" s="9"/>
      <c r="AA65" s="9"/>
      <c r="AB65" s="9"/>
      <c r="AC65" s="9"/>
      <c r="AD65" s="32"/>
      <c r="AE65" s="32"/>
      <c r="AF65" s="32"/>
      <c r="AG65" s="32"/>
      <c r="AH65" s="32"/>
      <c r="AI65" s="32"/>
      <c r="AJ65" s="32"/>
      <c r="AK65" s="32"/>
      <c r="AL65" s="91"/>
      <c r="AM65" s="91"/>
      <c r="AN65" s="91"/>
      <c r="AO65" s="135"/>
      <c r="AP65" s="9"/>
      <c r="AQ65" s="91"/>
      <c r="AR65" s="32"/>
      <c r="AS65" s="32"/>
      <c r="AT65" s="32"/>
      <c r="AU65" s="32"/>
      <c r="AV65" s="32"/>
      <c r="AW65" s="32"/>
      <c r="AX65" s="32"/>
      <c r="AY65" s="222"/>
      <c r="AZ65" s="222"/>
      <c r="BA65" s="222"/>
      <c r="BB65" s="91"/>
      <c r="BC65" s="91"/>
    </row>
    <row r="66" spans="1:55" ht="12.75" customHeight="1" x14ac:dyDescent="0.2">
      <c r="A66" s="10" t="s">
        <v>194</v>
      </c>
      <c r="B66" s="88"/>
      <c r="C66" s="91"/>
      <c r="D66" s="91"/>
      <c r="E66" s="91"/>
      <c r="F66" s="483"/>
      <c r="G66" s="483"/>
      <c r="H66" s="483"/>
      <c r="I66" s="483"/>
      <c r="J66" s="483"/>
      <c r="K66" s="483"/>
      <c r="L66" s="483"/>
      <c r="M66" s="483"/>
      <c r="N66" s="91"/>
      <c r="O66" s="91"/>
      <c r="P66" s="91"/>
      <c r="Q66" s="91"/>
      <c r="R66" s="91"/>
      <c r="S66" s="91"/>
      <c r="T66" s="91"/>
      <c r="U66" s="91"/>
      <c r="V66" s="91"/>
      <c r="W66" s="91"/>
      <c r="X66" s="91"/>
      <c r="Y66" s="91"/>
      <c r="Z66" s="265"/>
      <c r="AA66" s="91"/>
      <c r="AB66" s="91"/>
      <c r="AC66" s="91"/>
      <c r="AD66" s="91"/>
      <c r="AE66" s="91"/>
      <c r="AF66" s="91"/>
      <c r="AG66" s="6"/>
      <c r="AH66" s="91"/>
      <c r="AI66" s="6"/>
      <c r="AJ66" s="6"/>
      <c r="AK66" s="91"/>
      <c r="AL66" s="91"/>
      <c r="AM66" s="91"/>
      <c r="AN66" s="91"/>
      <c r="AO66" s="91"/>
      <c r="AP66" s="91"/>
      <c r="AQ66" s="91"/>
      <c r="AR66" s="483"/>
      <c r="AS66" s="91"/>
      <c r="AT66" s="91"/>
      <c r="AU66" s="91"/>
      <c r="AV66" s="91"/>
      <c r="AW66" s="91"/>
      <c r="AX66" s="91"/>
      <c r="AY66" s="28"/>
      <c r="AZ66" s="222"/>
      <c r="BA66" s="222"/>
      <c r="BB66" s="91"/>
      <c r="BC66" s="91"/>
    </row>
    <row r="67" spans="1:55" ht="12.75" customHeight="1" x14ac:dyDescent="0.2">
      <c r="C67" s="3204" t="s">
        <v>312</v>
      </c>
      <c r="D67" s="3205"/>
      <c r="E67" s="184"/>
      <c r="F67" s="273"/>
      <c r="G67" s="273"/>
      <c r="H67" s="273"/>
      <c r="I67" s="17"/>
      <c r="J67" s="273"/>
      <c r="K67" s="273"/>
      <c r="L67" s="273"/>
      <c r="M67" s="17"/>
      <c r="N67" s="15"/>
      <c r="O67" s="16"/>
      <c r="P67" s="273"/>
      <c r="Q67" s="17"/>
      <c r="R67" s="15"/>
      <c r="S67" s="16"/>
      <c r="T67" s="273"/>
      <c r="U67" s="17"/>
      <c r="V67" s="481"/>
      <c r="W67" s="16"/>
      <c r="X67" s="2"/>
      <c r="Y67" s="17"/>
      <c r="Z67" s="16"/>
      <c r="AA67" s="481"/>
      <c r="AB67" s="273"/>
      <c r="AC67" s="17"/>
      <c r="AD67" s="16"/>
      <c r="AE67" s="16"/>
      <c r="AF67" s="16"/>
      <c r="AG67" s="16"/>
      <c r="AH67" s="20"/>
      <c r="AI67" s="17"/>
      <c r="AJ67" s="17"/>
      <c r="AK67" s="17"/>
      <c r="AL67" s="22"/>
      <c r="AM67" s="445" t="s">
        <v>299</v>
      </c>
      <c r="AN67" s="433"/>
      <c r="AO67" s="433" t="s">
        <v>284</v>
      </c>
      <c r="AP67" s="434"/>
      <c r="AQ67" s="91"/>
      <c r="AR67" s="46"/>
      <c r="AS67" s="46"/>
      <c r="AT67" s="46"/>
      <c r="AU67" s="46"/>
      <c r="AV67" s="46"/>
      <c r="AW67" s="124"/>
      <c r="AX67" s="124"/>
      <c r="AY67" s="46"/>
      <c r="AZ67" s="222"/>
      <c r="BA67" s="222"/>
      <c r="BB67" s="105"/>
      <c r="BC67" s="91"/>
    </row>
    <row r="68" spans="1:55" ht="12.75" customHeight="1" x14ac:dyDescent="0.2">
      <c r="C68" s="3201" t="s">
        <v>38</v>
      </c>
      <c r="D68" s="3202"/>
      <c r="E68" s="355"/>
      <c r="F68" s="19" t="s">
        <v>315</v>
      </c>
      <c r="G68" s="19" t="s">
        <v>314</v>
      </c>
      <c r="H68" s="19" t="s">
        <v>313</v>
      </c>
      <c r="I68" s="12" t="s">
        <v>311</v>
      </c>
      <c r="J68" s="19" t="s">
        <v>270</v>
      </c>
      <c r="K68" s="19" t="s">
        <v>271</v>
      </c>
      <c r="L68" s="19" t="s">
        <v>272</v>
      </c>
      <c r="M68" s="12" t="s">
        <v>273</v>
      </c>
      <c r="N68" s="18" t="s">
        <v>223</v>
      </c>
      <c r="O68" s="19" t="s">
        <v>224</v>
      </c>
      <c r="P68" s="19" t="s">
        <v>225</v>
      </c>
      <c r="Q68" s="12" t="s">
        <v>222</v>
      </c>
      <c r="R68" s="18" t="s">
        <v>189</v>
      </c>
      <c r="S68" s="19" t="s">
        <v>190</v>
      </c>
      <c r="T68" s="19" t="s">
        <v>191</v>
      </c>
      <c r="U68" s="12" t="s">
        <v>192</v>
      </c>
      <c r="V68" s="19" t="s">
        <v>121</v>
      </c>
      <c r="W68" s="19" t="s">
        <v>120</v>
      </c>
      <c r="X68" s="19" t="s">
        <v>119</v>
      </c>
      <c r="Y68" s="12" t="s">
        <v>118</v>
      </c>
      <c r="Z68" s="19" t="s">
        <v>81</v>
      </c>
      <c r="AA68" s="19" t="s">
        <v>82</v>
      </c>
      <c r="AB68" s="19" t="s">
        <v>83</v>
      </c>
      <c r="AC68" s="12" t="s">
        <v>29</v>
      </c>
      <c r="AD68" s="19" t="s">
        <v>30</v>
      </c>
      <c r="AE68" s="19" t="s">
        <v>31</v>
      </c>
      <c r="AF68" s="19" t="s">
        <v>32</v>
      </c>
      <c r="AG68" s="19" t="s">
        <v>33</v>
      </c>
      <c r="AH68" s="21" t="s">
        <v>34</v>
      </c>
      <c r="AI68" s="12" t="s">
        <v>35</v>
      </c>
      <c r="AJ68" s="12" t="s">
        <v>36</v>
      </c>
      <c r="AK68" s="12" t="s">
        <v>37</v>
      </c>
      <c r="AL68" s="184"/>
      <c r="AM68" s="19" t="s">
        <v>271</v>
      </c>
      <c r="AN68" s="19" t="s">
        <v>224</v>
      </c>
      <c r="AO68" s="3206" t="s">
        <v>38</v>
      </c>
      <c r="AP68" s="3207"/>
      <c r="AQ68" s="91"/>
      <c r="AR68" s="18" t="s">
        <v>275</v>
      </c>
      <c r="AS68" s="18" t="s">
        <v>227</v>
      </c>
      <c r="AT68" s="18" t="s">
        <v>123</v>
      </c>
      <c r="AU68" s="18" t="s">
        <v>122</v>
      </c>
      <c r="AV68" s="18" t="s">
        <v>42</v>
      </c>
      <c r="AW68" s="21" t="s">
        <v>39</v>
      </c>
      <c r="AX68" s="21" t="s">
        <v>40</v>
      </c>
      <c r="AY68" s="21" t="s">
        <v>142</v>
      </c>
      <c r="AZ68" s="222"/>
      <c r="BA68" s="222"/>
      <c r="BB68" s="105"/>
      <c r="BC68" s="91"/>
    </row>
    <row r="69" spans="1:55" ht="12.75" customHeight="1" x14ac:dyDescent="0.2">
      <c r="A69" s="44"/>
      <c r="B69" s="6" t="s">
        <v>300</v>
      </c>
      <c r="C69" s="45">
        <f t="shared" ref="C69:C75" si="43">I69-M69</f>
        <v>-4681</v>
      </c>
      <c r="D69" s="39">
        <f t="shared" ref="D69:D75" si="44">IF(OR((C69/M69)&gt;3,(C69/M69)&lt;-3),"n.m.",(C69/M69))</f>
        <v>-0.11540927021696253</v>
      </c>
      <c r="E69" s="47"/>
      <c r="F69" s="488"/>
      <c r="G69" s="488"/>
      <c r="H69" s="488"/>
      <c r="I69" s="109">
        <v>35879</v>
      </c>
      <c r="J69" s="488">
        <v>33903</v>
      </c>
      <c r="K69" s="488">
        <v>38555</v>
      </c>
      <c r="L69" s="488">
        <v>39686</v>
      </c>
      <c r="M69" s="109">
        <v>40560</v>
      </c>
      <c r="N69" s="140">
        <v>55318</v>
      </c>
      <c r="O69" s="140">
        <v>42584</v>
      </c>
      <c r="P69" s="140">
        <v>45125</v>
      </c>
      <c r="Q69" s="109">
        <v>44915</v>
      </c>
      <c r="R69" s="140">
        <v>61873</v>
      </c>
      <c r="S69" s="140">
        <v>67349</v>
      </c>
      <c r="T69" s="140">
        <v>44815</v>
      </c>
      <c r="U69" s="109">
        <v>44827</v>
      </c>
      <c r="V69" s="140">
        <v>49348</v>
      </c>
      <c r="W69" s="140">
        <v>47003</v>
      </c>
      <c r="X69" s="140">
        <v>43321</v>
      </c>
      <c r="Y69" s="109">
        <v>42012</v>
      </c>
      <c r="Z69" s="140">
        <v>35191</v>
      </c>
      <c r="AA69" s="140">
        <v>39059</v>
      </c>
      <c r="AB69" s="109">
        <v>44316</v>
      </c>
      <c r="AC69" s="109">
        <v>54791</v>
      </c>
      <c r="AD69" s="252">
        <v>29584</v>
      </c>
      <c r="AE69" s="91"/>
      <c r="AF69" s="91"/>
      <c r="AG69" s="6"/>
      <c r="AH69" s="91"/>
      <c r="AI69" s="6"/>
      <c r="AJ69" s="6"/>
      <c r="AK69" s="91"/>
      <c r="AL69" s="47"/>
      <c r="AM69" s="235">
        <f t="shared" ref="AM69:AM74" si="45">SUM(K69:M69)</f>
        <v>118801</v>
      </c>
      <c r="AN69" s="235">
        <f t="shared" ref="AN69:AN74" si="46">SUM(O69:Q69)</f>
        <v>132624</v>
      </c>
      <c r="AO69" s="358">
        <f t="shared" ref="AO69:AO75" si="47">AR69-AS69</f>
        <v>-35238</v>
      </c>
      <c r="AP69" s="247">
        <f t="shared" ref="AP69:AP75" si="48">IF(OR((AO69/AS69)&gt;3,(AO69/AS69)&lt;-3),"n.m.",(AO69/AS69))</f>
        <v>-0.1874940141107363</v>
      </c>
      <c r="AQ69" s="91"/>
      <c r="AR69" s="487">
        <f t="shared" ref="AR69:AR74" si="49">SUM(J69:M69)</f>
        <v>152704</v>
      </c>
      <c r="AS69" s="129">
        <f t="shared" ref="AS69:AS74" si="50">SUM(N69:Q69)</f>
        <v>187942</v>
      </c>
      <c r="AT69" s="37">
        <v>218864</v>
      </c>
      <c r="AU69" s="37">
        <v>181684</v>
      </c>
      <c r="AV69" s="37">
        <v>173357</v>
      </c>
      <c r="AW69" s="37">
        <v>234389</v>
      </c>
      <c r="AX69" s="37">
        <v>245369</v>
      </c>
      <c r="AY69" s="224">
        <v>203714</v>
      </c>
      <c r="AZ69" s="222"/>
      <c r="BA69" s="222"/>
      <c r="BB69" s="105"/>
      <c r="BC69" s="91"/>
    </row>
    <row r="70" spans="1:55" ht="12.75" customHeight="1" x14ac:dyDescent="0.2">
      <c r="A70" s="44"/>
      <c r="B70" s="6" t="s">
        <v>60</v>
      </c>
      <c r="C70" s="45">
        <f t="shared" si="43"/>
        <v>-6612</v>
      </c>
      <c r="D70" s="39">
        <f t="shared" si="44"/>
        <v>-0.35377207062600319</v>
      </c>
      <c r="E70" s="47"/>
      <c r="F70" s="488"/>
      <c r="G70" s="488"/>
      <c r="H70" s="488"/>
      <c r="I70" s="109">
        <v>12078</v>
      </c>
      <c r="J70" s="488">
        <v>18076</v>
      </c>
      <c r="K70" s="488">
        <v>20205</v>
      </c>
      <c r="L70" s="488">
        <v>17189</v>
      </c>
      <c r="M70" s="109">
        <v>18690</v>
      </c>
      <c r="N70" s="140">
        <v>41150</v>
      </c>
      <c r="O70" s="140">
        <v>22843</v>
      </c>
      <c r="P70" s="140">
        <v>24217</v>
      </c>
      <c r="Q70" s="109">
        <v>46052</v>
      </c>
      <c r="R70" s="140">
        <v>75738</v>
      </c>
      <c r="S70" s="140">
        <v>91523</v>
      </c>
      <c r="T70" s="140">
        <v>41541</v>
      </c>
      <c r="U70" s="109">
        <v>41164</v>
      </c>
      <c r="V70" s="140">
        <v>34068</v>
      </c>
      <c r="W70" s="140">
        <v>56636</v>
      </c>
      <c r="X70" s="140">
        <v>22209</v>
      </c>
      <c r="Y70" s="109">
        <v>25318</v>
      </c>
      <c r="Z70" s="140">
        <v>21433</v>
      </c>
      <c r="AA70" s="140">
        <v>6245</v>
      </c>
      <c r="AB70" s="109">
        <v>17686</v>
      </c>
      <c r="AC70" s="109">
        <v>25366</v>
      </c>
      <c r="AD70" s="252">
        <v>68274</v>
      </c>
      <c r="AE70" s="91">
        <v>0</v>
      </c>
      <c r="AF70" s="91">
        <v>0</v>
      </c>
      <c r="AG70" s="6">
        <v>0</v>
      </c>
      <c r="AH70" s="91">
        <v>0</v>
      </c>
      <c r="AI70" s="6">
        <v>0</v>
      </c>
      <c r="AJ70" s="6">
        <v>0</v>
      </c>
      <c r="AK70" s="91">
        <v>0</v>
      </c>
      <c r="AL70" s="47"/>
      <c r="AM70" s="494">
        <f t="shared" si="45"/>
        <v>56084</v>
      </c>
      <c r="AN70" s="494">
        <f t="shared" si="46"/>
        <v>93112</v>
      </c>
      <c r="AO70" s="359">
        <f t="shared" si="47"/>
        <v>-60102</v>
      </c>
      <c r="AP70" s="39">
        <f t="shared" si="48"/>
        <v>-0.44764713768601688</v>
      </c>
      <c r="AQ70" s="91"/>
      <c r="AR70" s="487">
        <f t="shared" si="49"/>
        <v>74160</v>
      </c>
      <c r="AS70" s="129">
        <f t="shared" si="50"/>
        <v>134262</v>
      </c>
      <c r="AT70" s="37">
        <v>249966</v>
      </c>
      <c r="AU70" s="37">
        <v>138231</v>
      </c>
      <c r="AV70" s="37">
        <v>70730</v>
      </c>
      <c r="AW70" s="37">
        <v>170811</v>
      </c>
      <c r="AX70" s="37">
        <v>192313</v>
      </c>
      <c r="AY70" s="37">
        <f>157642-4636</f>
        <v>153006</v>
      </c>
      <c r="AZ70" s="222"/>
      <c r="BA70" s="222"/>
      <c r="BB70" s="105"/>
      <c r="BC70" s="91"/>
    </row>
    <row r="71" spans="1:55" ht="12.75" customHeight="1" x14ac:dyDescent="0.2">
      <c r="A71" s="44"/>
      <c r="B71" s="6" t="s">
        <v>208</v>
      </c>
      <c r="C71" s="45">
        <f t="shared" si="43"/>
        <v>652</v>
      </c>
      <c r="D71" s="39">
        <f t="shared" si="44"/>
        <v>0.10253184462965875</v>
      </c>
      <c r="E71" s="47"/>
      <c r="F71" s="488"/>
      <c r="G71" s="488"/>
      <c r="H71" s="488"/>
      <c r="I71" s="109">
        <v>7011</v>
      </c>
      <c r="J71" s="488">
        <v>29706</v>
      </c>
      <c r="K71" s="488">
        <v>45232</v>
      </c>
      <c r="L71" s="488">
        <v>8690</v>
      </c>
      <c r="M71" s="109">
        <v>6359</v>
      </c>
      <c r="N71" s="140">
        <v>16761</v>
      </c>
      <c r="O71" s="140">
        <v>27819</v>
      </c>
      <c r="P71" s="140">
        <v>16445</v>
      </c>
      <c r="Q71" s="109">
        <v>17764</v>
      </c>
      <c r="R71" s="140">
        <v>19980</v>
      </c>
      <c r="S71" s="140">
        <v>19913</v>
      </c>
      <c r="T71" s="140">
        <v>8420</v>
      </c>
      <c r="U71" s="109">
        <v>14574</v>
      </c>
      <c r="V71" s="140">
        <v>1297</v>
      </c>
      <c r="W71" s="140">
        <v>1601</v>
      </c>
      <c r="X71" s="140">
        <v>1211</v>
      </c>
      <c r="Y71" s="109">
        <v>1444</v>
      </c>
      <c r="Z71" s="140">
        <v>2473</v>
      </c>
      <c r="AA71" s="140">
        <v>1215</v>
      </c>
      <c r="AB71" s="109">
        <v>2659</v>
      </c>
      <c r="AC71" s="109">
        <v>8562</v>
      </c>
      <c r="AD71" s="252"/>
      <c r="AE71" s="91"/>
      <c r="AF71" s="91"/>
      <c r="AG71" s="6"/>
      <c r="AH71" s="91"/>
      <c r="AI71" s="6"/>
      <c r="AJ71" s="6"/>
      <c r="AK71" s="91"/>
      <c r="AL71" s="47"/>
      <c r="AM71" s="494">
        <f t="shared" si="45"/>
        <v>60281</v>
      </c>
      <c r="AN71" s="494">
        <f t="shared" si="46"/>
        <v>62028</v>
      </c>
      <c r="AO71" s="359">
        <f t="shared" si="47"/>
        <v>11198</v>
      </c>
      <c r="AP71" s="39">
        <f>IF(OR((AO71/AS71)&gt;3,(AO71/AS71)&lt;-3),"n.m.",(AO71/AS71))</f>
        <v>0.14212643896990695</v>
      </c>
      <c r="AQ71" s="91"/>
      <c r="AR71" s="487">
        <f t="shared" si="49"/>
        <v>89987</v>
      </c>
      <c r="AS71" s="129">
        <f t="shared" si="50"/>
        <v>78789</v>
      </c>
      <c r="AT71" s="37">
        <v>62887</v>
      </c>
      <c r="AU71" s="37">
        <v>5553</v>
      </c>
      <c r="AV71" s="37">
        <v>14909</v>
      </c>
      <c r="AW71" s="37">
        <v>17584</v>
      </c>
      <c r="AX71" s="37">
        <v>12713</v>
      </c>
      <c r="AY71" s="37">
        <f>4636</f>
        <v>4636</v>
      </c>
      <c r="AZ71" s="222"/>
      <c r="BA71" s="222"/>
      <c r="BB71" s="105"/>
      <c r="BC71" s="91"/>
    </row>
    <row r="72" spans="1:55" ht="12.75" customHeight="1" x14ac:dyDescent="0.2">
      <c r="A72" s="44"/>
      <c r="B72" s="6" t="s">
        <v>61</v>
      </c>
      <c r="C72" s="45">
        <f t="shared" si="43"/>
        <v>-505</v>
      </c>
      <c r="D72" s="39">
        <f t="shared" si="44"/>
        <v>-2.3488372093023258</v>
      </c>
      <c r="E72" s="47"/>
      <c r="F72" s="488"/>
      <c r="G72" s="488"/>
      <c r="H72" s="488"/>
      <c r="I72" s="109">
        <v>-290</v>
      </c>
      <c r="J72" s="488">
        <v>454</v>
      </c>
      <c r="K72" s="488">
        <v>561</v>
      </c>
      <c r="L72" s="488">
        <v>783</v>
      </c>
      <c r="M72" s="109">
        <v>215</v>
      </c>
      <c r="N72" s="140">
        <v>1747</v>
      </c>
      <c r="O72" s="140">
        <v>848</v>
      </c>
      <c r="P72" s="140">
        <v>-2929</v>
      </c>
      <c r="Q72" s="109">
        <v>-48</v>
      </c>
      <c r="R72" s="140">
        <v>6902</v>
      </c>
      <c r="S72" s="140">
        <v>3619</v>
      </c>
      <c r="T72" s="140">
        <v>2704</v>
      </c>
      <c r="U72" s="109">
        <v>1288</v>
      </c>
      <c r="V72" s="140">
        <v>3191</v>
      </c>
      <c r="W72" s="140">
        <v>9164</v>
      </c>
      <c r="X72" s="140">
        <v>3867</v>
      </c>
      <c r="Y72" s="109">
        <v>4913</v>
      </c>
      <c r="Z72" s="140">
        <v>3828</v>
      </c>
      <c r="AA72" s="140">
        <v>2161</v>
      </c>
      <c r="AB72" s="109">
        <v>1000</v>
      </c>
      <c r="AC72" s="109">
        <v>2684</v>
      </c>
      <c r="AD72" s="252">
        <v>5363</v>
      </c>
      <c r="AE72" s="91"/>
      <c r="AF72" s="91"/>
      <c r="AG72" s="6"/>
      <c r="AH72" s="91"/>
      <c r="AI72" s="6"/>
      <c r="AJ72" s="6"/>
      <c r="AK72" s="91"/>
      <c r="AL72" s="47"/>
      <c r="AM72" s="494">
        <f t="shared" si="45"/>
        <v>1559</v>
      </c>
      <c r="AN72" s="494">
        <f t="shared" si="46"/>
        <v>-2129</v>
      </c>
      <c r="AO72" s="359">
        <f t="shared" si="47"/>
        <v>2395</v>
      </c>
      <c r="AP72" s="324" t="str">
        <f t="shared" si="48"/>
        <v>n.m.</v>
      </c>
      <c r="AQ72" s="91"/>
      <c r="AR72" s="487">
        <f t="shared" si="49"/>
        <v>2013</v>
      </c>
      <c r="AS72" s="129">
        <f t="shared" si="50"/>
        <v>-382</v>
      </c>
      <c r="AT72" s="37">
        <v>14513</v>
      </c>
      <c r="AU72" s="37">
        <v>21135</v>
      </c>
      <c r="AV72" s="37">
        <v>9673</v>
      </c>
      <c r="AW72" s="37">
        <v>3820</v>
      </c>
      <c r="AX72" s="37">
        <v>14642</v>
      </c>
      <c r="AY72" s="37">
        <v>22208</v>
      </c>
      <c r="AZ72" s="222"/>
      <c r="BA72" s="222"/>
      <c r="BB72" s="105"/>
      <c r="BC72" s="91"/>
    </row>
    <row r="73" spans="1:55" ht="12.75" customHeight="1" x14ac:dyDescent="0.2">
      <c r="A73" s="44"/>
      <c r="B73" s="6" t="s">
        <v>62</v>
      </c>
      <c r="C73" s="45">
        <f t="shared" si="43"/>
        <v>-2257</v>
      </c>
      <c r="D73" s="39">
        <f t="shared" si="44"/>
        <v>-0.29728661749209695</v>
      </c>
      <c r="E73" s="47"/>
      <c r="F73" s="488"/>
      <c r="G73" s="488"/>
      <c r="H73" s="488"/>
      <c r="I73" s="109">
        <v>5335</v>
      </c>
      <c r="J73" s="488">
        <v>5292</v>
      </c>
      <c r="K73" s="488">
        <v>6253</v>
      </c>
      <c r="L73" s="488">
        <v>5935</v>
      </c>
      <c r="M73" s="109">
        <v>7592</v>
      </c>
      <c r="N73" s="140">
        <v>7872</v>
      </c>
      <c r="O73" s="140">
        <v>8033</v>
      </c>
      <c r="P73" s="140">
        <v>7569</v>
      </c>
      <c r="Q73" s="109">
        <v>7780</v>
      </c>
      <c r="R73" s="140">
        <v>7586</v>
      </c>
      <c r="S73" s="140">
        <v>7687</v>
      </c>
      <c r="T73" s="140">
        <v>5362</v>
      </c>
      <c r="U73" s="109">
        <v>3079</v>
      </c>
      <c r="V73" s="140">
        <v>3272</v>
      </c>
      <c r="W73" s="140">
        <v>3852</v>
      </c>
      <c r="X73" s="140">
        <v>3893</v>
      </c>
      <c r="Y73" s="109">
        <v>3439</v>
      </c>
      <c r="Z73" s="140">
        <v>4918</v>
      </c>
      <c r="AA73" s="140">
        <v>8514</v>
      </c>
      <c r="AB73" s="109">
        <v>10813</v>
      </c>
      <c r="AC73" s="109">
        <v>11226</v>
      </c>
      <c r="AD73" s="252">
        <v>1512</v>
      </c>
      <c r="AE73" s="91"/>
      <c r="AF73" s="91"/>
      <c r="AG73" s="6"/>
      <c r="AH73" s="91"/>
      <c r="AI73" s="6"/>
      <c r="AJ73" s="6"/>
      <c r="AK73" s="91"/>
      <c r="AL73" s="47"/>
      <c r="AM73" s="494">
        <f t="shared" si="45"/>
        <v>19780</v>
      </c>
      <c r="AN73" s="494">
        <f t="shared" si="46"/>
        <v>23382</v>
      </c>
      <c r="AO73" s="359">
        <f t="shared" si="47"/>
        <v>-6182</v>
      </c>
      <c r="AP73" s="39">
        <f t="shared" si="48"/>
        <v>-0.19779868176873361</v>
      </c>
      <c r="AQ73" s="91"/>
      <c r="AR73" s="487">
        <f t="shared" si="49"/>
        <v>25072</v>
      </c>
      <c r="AS73" s="129">
        <f t="shared" si="50"/>
        <v>31254</v>
      </c>
      <c r="AT73" s="37">
        <v>23714</v>
      </c>
      <c r="AU73" s="37">
        <v>14456</v>
      </c>
      <c r="AV73" s="37">
        <v>35471</v>
      </c>
      <c r="AW73" s="37">
        <v>58127</v>
      </c>
      <c r="AX73" s="37">
        <v>52152</v>
      </c>
      <c r="AY73" s="37">
        <f>33277+8255</f>
        <v>41532</v>
      </c>
      <c r="AZ73" s="222"/>
      <c r="BA73" s="222"/>
      <c r="BB73" s="105"/>
      <c r="BC73" s="91"/>
    </row>
    <row r="74" spans="1:55" ht="12.75" customHeight="1" x14ac:dyDescent="0.2">
      <c r="A74" s="123"/>
      <c r="B74" s="6" t="s">
        <v>63</v>
      </c>
      <c r="C74" s="45">
        <f t="shared" si="43"/>
        <v>-3349</v>
      </c>
      <c r="D74" s="324">
        <f t="shared" si="44"/>
        <v>-1.0384496124031009</v>
      </c>
      <c r="E74" s="357"/>
      <c r="F74" s="488"/>
      <c r="G74" s="488"/>
      <c r="H74" s="488"/>
      <c r="I74" s="109">
        <v>-124</v>
      </c>
      <c r="J74" s="488">
        <v>6169</v>
      </c>
      <c r="K74" s="488">
        <v>4664</v>
      </c>
      <c r="L74" s="488">
        <f>7506+939</f>
        <v>8445</v>
      </c>
      <c r="M74" s="109">
        <v>3225</v>
      </c>
      <c r="N74" s="140">
        <v>10006</v>
      </c>
      <c r="O74" s="140">
        <v>8317</v>
      </c>
      <c r="P74" s="140">
        <v>1316</v>
      </c>
      <c r="Q74" s="109">
        <v>6627</v>
      </c>
      <c r="R74" s="140">
        <v>11160</v>
      </c>
      <c r="S74" s="140">
        <v>6815</v>
      </c>
      <c r="T74" s="140">
        <v>6651</v>
      </c>
      <c r="U74" s="109">
        <v>3986</v>
      </c>
      <c r="V74" s="140">
        <v>6846</v>
      </c>
      <c r="W74" s="140">
        <v>5370</v>
      </c>
      <c r="X74" s="140">
        <v>4689</v>
      </c>
      <c r="Y74" s="109">
        <v>10808</v>
      </c>
      <c r="Z74" s="140">
        <v>4941</v>
      </c>
      <c r="AA74" s="140">
        <v>713</v>
      </c>
      <c r="AB74" s="109">
        <v>4301</v>
      </c>
      <c r="AC74" s="109">
        <v>6269</v>
      </c>
      <c r="AD74" s="253">
        <v>60</v>
      </c>
      <c r="AE74" s="13"/>
      <c r="AF74" s="13"/>
      <c r="AG74" s="13"/>
      <c r="AH74" s="13"/>
      <c r="AI74" s="13"/>
      <c r="AJ74" s="13"/>
      <c r="AK74" s="13"/>
      <c r="AL74" s="47"/>
      <c r="AM74" s="494">
        <f t="shared" si="45"/>
        <v>16334</v>
      </c>
      <c r="AN74" s="494">
        <f t="shared" si="46"/>
        <v>16260</v>
      </c>
      <c r="AO74" s="360">
        <f t="shared" si="47"/>
        <v>-3763</v>
      </c>
      <c r="AP74" s="98">
        <f t="shared" si="48"/>
        <v>-0.14326505748876875</v>
      </c>
      <c r="AQ74" s="44"/>
      <c r="AR74" s="487">
        <f t="shared" si="49"/>
        <v>22503</v>
      </c>
      <c r="AS74" s="129">
        <f t="shared" si="50"/>
        <v>26266</v>
      </c>
      <c r="AT74" s="37">
        <v>28612</v>
      </c>
      <c r="AU74" s="37">
        <v>27713</v>
      </c>
      <c r="AV74" s="37">
        <v>16224</v>
      </c>
      <c r="AW74" s="37">
        <v>24335</v>
      </c>
      <c r="AX74" s="37">
        <v>13303</v>
      </c>
      <c r="AY74" s="102">
        <v>12458</v>
      </c>
      <c r="AZ74" s="222"/>
      <c r="BA74" s="222"/>
      <c r="BB74" s="105"/>
      <c r="BC74" s="91"/>
    </row>
    <row r="75" spans="1:55" ht="12.75" customHeight="1" x14ac:dyDescent="0.2">
      <c r="A75" s="123"/>
      <c r="B75" s="6"/>
      <c r="C75" s="338">
        <f t="shared" si="43"/>
        <v>-16752</v>
      </c>
      <c r="D75" s="339">
        <f t="shared" si="44"/>
        <v>-0.21857752377970016</v>
      </c>
      <c r="E75" s="22"/>
      <c r="F75" s="238">
        <f>SUM(F69:F74)</f>
        <v>0</v>
      </c>
      <c r="G75" s="238">
        <f>SUM(G69:G74)</f>
        <v>0</v>
      </c>
      <c r="H75" s="238">
        <f>SUM(H69:H74)</f>
        <v>0</v>
      </c>
      <c r="I75" s="341">
        <f>SUM(I69:I74)</f>
        <v>59889</v>
      </c>
      <c r="J75" s="238">
        <f t="shared" ref="J75:P75" si="51">SUM(J69:J74)</f>
        <v>93600</v>
      </c>
      <c r="K75" s="238">
        <f t="shared" si="51"/>
        <v>115470</v>
      </c>
      <c r="L75" s="238">
        <f t="shared" si="51"/>
        <v>80728</v>
      </c>
      <c r="M75" s="341">
        <f t="shared" si="51"/>
        <v>76641</v>
      </c>
      <c r="N75" s="238">
        <f t="shared" si="51"/>
        <v>132854</v>
      </c>
      <c r="O75" s="238">
        <f t="shared" si="51"/>
        <v>110444</v>
      </c>
      <c r="P75" s="238">
        <f t="shared" si="51"/>
        <v>91743</v>
      </c>
      <c r="Q75" s="341">
        <f>SUM(Q69:Q74)</f>
        <v>123090</v>
      </c>
      <c r="R75" s="238">
        <v>183239</v>
      </c>
      <c r="S75" s="238">
        <v>196906</v>
      </c>
      <c r="T75" s="238">
        <v>109493</v>
      </c>
      <c r="U75" s="341">
        <v>108918</v>
      </c>
      <c r="V75" s="238">
        <v>98022</v>
      </c>
      <c r="W75" s="238">
        <v>123626</v>
      </c>
      <c r="X75" s="238">
        <v>79190</v>
      </c>
      <c r="Y75" s="341">
        <v>87934</v>
      </c>
      <c r="Z75" s="237">
        <v>72784</v>
      </c>
      <c r="AA75" s="238">
        <v>57907</v>
      </c>
      <c r="AB75" s="341">
        <v>80775</v>
      </c>
      <c r="AC75" s="341">
        <v>108898</v>
      </c>
      <c r="AD75" s="341">
        <v>104793</v>
      </c>
      <c r="AE75" s="2"/>
      <c r="AF75" s="2"/>
      <c r="AG75" s="2"/>
      <c r="AH75" s="2"/>
      <c r="AI75" s="2"/>
      <c r="AJ75" s="2"/>
      <c r="AK75" s="2"/>
      <c r="AL75" s="22"/>
      <c r="AM75" s="238">
        <f>SUM(AM69:AM74)</f>
        <v>272839</v>
      </c>
      <c r="AN75" s="238">
        <f>SUM(AN69:AN74)</f>
        <v>325277</v>
      </c>
      <c r="AO75" s="343">
        <f t="shared" si="47"/>
        <v>-91692</v>
      </c>
      <c r="AP75" s="339">
        <f t="shared" si="48"/>
        <v>-0.2001436270411738</v>
      </c>
      <c r="AR75" s="237">
        <f>SUM(AR69:AR74)</f>
        <v>366439</v>
      </c>
      <c r="AS75" s="237">
        <f>SUM(AS69:AS74)</f>
        <v>458131</v>
      </c>
      <c r="AT75" s="237">
        <v>598556</v>
      </c>
      <c r="AU75" s="237">
        <v>388772</v>
      </c>
      <c r="AV75" s="340">
        <v>320364</v>
      </c>
      <c r="AW75" s="344">
        <v>509066</v>
      </c>
      <c r="AX75" s="344">
        <v>530492</v>
      </c>
      <c r="AY75" s="113">
        <f>SUM(AY69:AY74)</f>
        <v>437554</v>
      </c>
      <c r="AZ75" s="222"/>
      <c r="BA75" s="222"/>
      <c r="BB75" s="105"/>
      <c r="BC75" s="91"/>
    </row>
    <row r="76" spans="1:55" s="407" customFormat="1" ht="12.75" customHeight="1" x14ac:dyDescent="0.2">
      <c r="A76" s="123"/>
      <c r="B76" s="6"/>
      <c r="C76" s="262"/>
      <c r="D76" s="247"/>
      <c r="E76" s="22"/>
      <c r="F76" s="245"/>
      <c r="G76" s="245"/>
      <c r="H76" s="245"/>
      <c r="I76" s="439"/>
      <c r="J76" s="245"/>
      <c r="K76" s="245"/>
      <c r="L76" s="245"/>
      <c r="M76" s="439"/>
      <c r="N76" s="156"/>
      <c r="O76" s="245"/>
      <c r="P76" s="245"/>
      <c r="Q76" s="439"/>
      <c r="R76" s="156"/>
      <c r="S76" s="245"/>
      <c r="T76" s="245"/>
      <c r="U76" s="424"/>
      <c r="V76" s="156"/>
      <c r="W76" s="424"/>
      <c r="X76" s="424"/>
      <c r="Y76" s="424"/>
      <c r="Z76" s="235"/>
      <c r="AA76" s="235"/>
      <c r="AB76" s="235"/>
      <c r="AC76" s="235"/>
      <c r="AD76" s="235"/>
      <c r="AE76" s="2"/>
      <c r="AF76" s="2"/>
      <c r="AG76" s="2"/>
      <c r="AH76" s="2"/>
      <c r="AI76" s="2"/>
      <c r="AJ76" s="2"/>
      <c r="AK76" s="2"/>
      <c r="AL76" s="22"/>
      <c r="AM76" s="15"/>
      <c r="AN76" s="16"/>
      <c r="AO76" s="440"/>
      <c r="AP76" s="313"/>
      <c r="AR76" s="425"/>
      <c r="AS76" s="425"/>
      <c r="AT76" s="425"/>
      <c r="AU76" s="425"/>
      <c r="AV76" s="284"/>
      <c r="AW76" s="425"/>
      <c r="AX76" s="425"/>
      <c r="AY76" s="140"/>
      <c r="AZ76" s="88"/>
      <c r="BA76" s="88"/>
      <c r="BB76" s="23"/>
    </row>
    <row r="77" spans="1:55" s="407" customFormat="1" ht="13.5" customHeight="1" x14ac:dyDescent="0.2">
      <c r="A77" s="123"/>
      <c r="B77" s="6" t="s">
        <v>285</v>
      </c>
      <c r="C77" s="97" t="e">
        <f>I77-M77</f>
        <v>#REF!</v>
      </c>
      <c r="D77" s="322" t="e">
        <f>IF(OR((C77/M77)&gt;3,(C77/M77)&lt;-3),"n.m.",(C77/M77))</f>
        <v>#REF!</v>
      </c>
      <c r="E77" s="22"/>
      <c r="F77" s="243"/>
      <c r="G77" s="243"/>
      <c r="H77" s="243"/>
      <c r="I77" s="266">
        <v>-1755</v>
      </c>
      <c r="J77" s="243">
        <v>-4119</v>
      </c>
      <c r="K77" s="243">
        <v>-2879</v>
      </c>
      <c r="L77" s="243">
        <v>-1302</v>
      </c>
      <c r="M77" s="266" t="e">
        <f>+#REF!-'8 UK and Europe'!M73-'9 US'!M72</f>
        <v>#REF!</v>
      </c>
      <c r="N77" s="155" t="e">
        <f>#REF!-'9 US'!N72</f>
        <v>#REF!</v>
      </c>
      <c r="O77" s="243" t="e">
        <f>#REF!-'9 US'!O72</f>
        <v>#REF!</v>
      </c>
      <c r="P77" s="243">
        <v>-6322</v>
      </c>
      <c r="Q77" s="266">
        <v>-10795</v>
      </c>
      <c r="R77" s="155">
        <v>-9261</v>
      </c>
      <c r="S77" s="243">
        <v>-1134</v>
      </c>
      <c r="T77" s="243">
        <v>-5070</v>
      </c>
      <c r="U77" s="253">
        <v>-6918</v>
      </c>
      <c r="V77" s="426" t="s">
        <v>181</v>
      </c>
      <c r="W77" s="427" t="s">
        <v>181</v>
      </c>
      <c r="X77" s="427" t="s">
        <v>181</v>
      </c>
      <c r="Y77" s="427" t="s">
        <v>181</v>
      </c>
      <c r="Z77" s="428"/>
      <c r="AA77" s="428"/>
      <c r="AB77" s="428"/>
      <c r="AC77" s="428"/>
      <c r="AD77" s="428"/>
      <c r="AE77" s="429"/>
      <c r="AF77" s="429"/>
      <c r="AG77" s="429"/>
      <c r="AH77" s="429"/>
      <c r="AI77" s="429"/>
      <c r="AJ77" s="429"/>
      <c r="AK77" s="429"/>
      <c r="AL77" s="465"/>
      <c r="AM77" s="155" t="e">
        <f>SUM(K77:M77)</f>
        <v>#REF!</v>
      </c>
      <c r="AN77" s="243" t="e">
        <f>SUM(O77:Q77)</f>
        <v>#REF!</v>
      </c>
      <c r="AO77" s="441" t="e">
        <f>AR77-AS77</f>
        <v>#REF!</v>
      </c>
      <c r="AP77" s="322" t="e">
        <f>-IF(OR((AO77/AS77)&gt;3,(AO77/AS77)&lt;-3),"n.m.",(AO77/AS77))</f>
        <v>#REF!</v>
      </c>
      <c r="AQ77" s="55"/>
      <c r="AR77" s="430" t="e">
        <f>SUM(J77:M77)</f>
        <v>#REF!</v>
      </c>
      <c r="AS77" s="430" t="e">
        <f>SUM(N77:Q77)</f>
        <v>#REF!</v>
      </c>
      <c r="AT77" s="430">
        <f>SUM(R77:U77)</f>
        <v>-22383</v>
      </c>
      <c r="AU77" s="430" t="s">
        <v>181</v>
      </c>
      <c r="AV77" s="431" t="s">
        <v>181</v>
      </c>
      <c r="AW77" s="430" t="s">
        <v>181</v>
      </c>
      <c r="AX77" s="430" t="s">
        <v>181</v>
      </c>
      <c r="AY77" s="140"/>
      <c r="AZ77" s="88"/>
      <c r="BA77" s="88"/>
      <c r="BB77" s="23"/>
    </row>
    <row r="78" spans="1:55" ht="12.75" customHeight="1" x14ac:dyDescent="0.2">
      <c r="B78" s="11"/>
      <c r="C78" s="11"/>
      <c r="D78" s="11"/>
      <c r="E78" s="11"/>
      <c r="F78" s="11"/>
      <c r="G78" s="11"/>
      <c r="H78" s="11"/>
      <c r="I78" s="13"/>
      <c r="J78" s="11"/>
      <c r="K78" s="11"/>
      <c r="L78" s="11"/>
      <c r="M78" s="13"/>
      <c r="N78" s="11"/>
      <c r="O78" s="11"/>
      <c r="P78" s="11"/>
      <c r="Q78" s="13"/>
      <c r="R78" s="11"/>
      <c r="S78" s="11"/>
      <c r="T78" s="11"/>
      <c r="U78" s="13"/>
      <c r="V78" s="11"/>
      <c r="W78" s="11"/>
      <c r="X78" s="11"/>
      <c r="Y78" s="13"/>
      <c r="Z78" s="11"/>
      <c r="AA78" s="11"/>
      <c r="AB78" s="11"/>
      <c r="AC78" s="13"/>
      <c r="AD78" s="13"/>
      <c r="AE78" s="13"/>
      <c r="AF78" s="13"/>
      <c r="AG78" s="13"/>
      <c r="AH78" s="13"/>
      <c r="AI78" s="13"/>
      <c r="AJ78" s="13"/>
      <c r="AK78" s="13"/>
      <c r="AL78" s="3"/>
      <c r="AM78" s="3"/>
      <c r="AN78" s="3"/>
      <c r="AW78" s="2"/>
      <c r="AX78" s="2"/>
      <c r="BB78" s="3"/>
      <c r="BC78" s="3"/>
    </row>
    <row r="79" spans="1:55" x14ac:dyDescent="0.2">
      <c r="A79" s="6" t="s">
        <v>298</v>
      </c>
    </row>
    <row r="80" spans="1:55" x14ac:dyDescent="0.2">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c r="AY80" s="345"/>
      <c r="BB80" s="3"/>
      <c r="BC80" s="3"/>
    </row>
    <row r="81" spans="1:55" x14ac:dyDescent="0.2">
      <c r="A81" s="3"/>
      <c r="B81" s="3"/>
      <c r="C81" s="3"/>
      <c r="D81" s="3"/>
      <c r="F81" s="411"/>
      <c r="G81" s="411"/>
      <c r="H81" s="411"/>
      <c r="I81" s="411"/>
      <c r="J81" s="411"/>
      <c r="K81" s="411"/>
      <c r="L81" s="411"/>
      <c r="M81" s="411"/>
      <c r="N81" s="411"/>
      <c r="O81" s="411"/>
      <c r="P81" s="411"/>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411"/>
      <c r="AN81" s="411"/>
      <c r="AO81" s="488"/>
      <c r="AP81" s="323"/>
      <c r="AQ81" s="480"/>
      <c r="AR81" s="347"/>
      <c r="AS81" s="347"/>
      <c r="AT81" s="186"/>
      <c r="AU81" s="186"/>
      <c r="AV81" s="186"/>
      <c r="AW81" s="186"/>
      <c r="AX81" s="186"/>
      <c r="AY81" s="186"/>
      <c r="AZ81" s="186"/>
      <c r="BA81" s="186"/>
      <c r="BB81" s="186"/>
      <c r="BC81" s="3"/>
    </row>
    <row r="82" spans="1:55" x14ac:dyDescent="0.2">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480"/>
      <c r="AP82" s="480"/>
      <c r="AQ82" s="480"/>
      <c r="AR82" s="511"/>
      <c r="AS82" s="511"/>
      <c r="AT82" s="260"/>
      <c r="AU82" s="260"/>
      <c r="AV82" s="260"/>
      <c r="AW82" s="260"/>
      <c r="AX82" s="260"/>
      <c r="AY82" s="260"/>
      <c r="BB82" s="3"/>
      <c r="BC82" s="3"/>
    </row>
    <row r="83" spans="1:55" x14ac:dyDescent="0.2">
      <c r="I83" s="507"/>
      <c r="M83" s="507"/>
      <c r="Q83" s="28"/>
      <c r="U83" s="28"/>
      <c r="Y83" s="28"/>
      <c r="AC83" s="28"/>
      <c r="AE83" s="233"/>
      <c r="AH83" s="233"/>
      <c r="AI83" s="233"/>
      <c r="AK83" s="28"/>
      <c r="AL83" s="3"/>
      <c r="AM83" s="3"/>
      <c r="AN83" s="3"/>
      <c r="AO83" s="480"/>
      <c r="AP83" s="480"/>
      <c r="AQ83" s="480"/>
      <c r="AR83" s="457"/>
      <c r="AS83" s="457"/>
      <c r="AW83" s="2"/>
      <c r="AX83" s="2"/>
    </row>
    <row r="84" spans="1:55" x14ac:dyDescent="0.2">
      <c r="I84" s="2"/>
      <c r="M84" s="2"/>
      <c r="Q84" s="2"/>
      <c r="U84" s="2"/>
      <c r="Y84" s="2"/>
      <c r="AC84" s="2"/>
      <c r="AE84" s="233"/>
      <c r="AH84" s="233"/>
      <c r="AI84" s="233"/>
      <c r="AK84" s="93"/>
      <c r="AL84" s="3"/>
      <c r="AM84" s="3"/>
      <c r="AN84" s="3"/>
      <c r="AO84" s="480"/>
      <c r="AP84" s="480"/>
      <c r="AQ84" s="480"/>
      <c r="AR84" s="400"/>
      <c r="AS84" s="400"/>
      <c r="AW84" s="2"/>
      <c r="AX84" s="2"/>
    </row>
    <row r="85" spans="1:55" x14ac:dyDescent="0.2">
      <c r="I85" s="2"/>
      <c r="M85" s="2"/>
      <c r="Q85" s="2"/>
      <c r="U85" s="2"/>
      <c r="Y85" s="2"/>
      <c r="AC85" s="2"/>
      <c r="AE85" s="233"/>
      <c r="AH85" s="233"/>
      <c r="AI85" s="233"/>
      <c r="AK85" s="94"/>
      <c r="AL85" s="3"/>
      <c r="AM85" s="3"/>
      <c r="AN85" s="3"/>
      <c r="AW85" s="2"/>
      <c r="AX85" s="2"/>
    </row>
    <row r="86" spans="1:55" x14ac:dyDescent="0.2">
      <c r="I86" s="2"/>
      <c r="M86" s="2"/>
      <c r="Q86" s="2"/>
      <c r="U86" s="2"/>
      <c r="Y86" s="2"/>
      <c r="AC86" s="2"/>
      <c r="AE86" s="233"/>
      <c r="AH86" s="233"/>
      <c r="AI86" s="233"/>
      <c r="AK86" s="94"/>
      <c r="AL86" s="3"/>
      <c r="AM86" s="3"/>
      <c r="AN86" s="3"/>
      <c r="AW86" s="29"/>
      <c r="AX86" s="29"/>
    </row>
    <row r="87" spans="1:55" x14ac:dyDescent="0.2">
      <c r="I87" s="29"/>
      <c r="M87" s="29"/>
      <c r="Q87" s="29"/>
      <c r="U87" s="29"/>
      <c r="Y87" s="29"/>
      <c r="AC87" s="29"/>
      <c r="AE87" s="233"/>
      <c r="AH87" s="233"/>
      <c r="AI87" s="233"/>
      <c r="AK87" s="9"/>
      <c r="AL87" s="3"/>
      <c r="AM87" s="3"/>
      <c r="AN87" s="3"/>
      <c r="AW87" s="29"/>
      <c r="AX87" s="29"/>
    </row>
    <row r="88" spans="1:55" x14ac:dyDescent="0.2">
      <c r="I88" s="29"/>
      <c r="M88" s="29"/>
      <c r="Q88" s="29"/>
      <c r="U88" s="29"/>
      <c r="Y88" s="29"/>
      <c r="AC88" s="29"/>
      <c r="AE88" s="233"/>
      <c r="AH88" s="233"/>
      <c r="AI88" s="233"/>
      <c r="AK88" s="9"/>
      <c r="AL88" s="3"/>
      <c r="AM88" s="3"/>
      <c r="AN88" s="3"/>
      <c r="AW88" s="29"/>
      <c r="AX88" s="29"/>
    </row>
    <row r="89" spans="1:55" x14ac:dyDescent="0.2">
      <c r="I89" s="30"/>
      <c r="M89" s="30"/>
      <c r="Q89" s="30"/>
      <c r="U89" s="30"/>
      <c r="Y89" s="30"/>
      <c r="AC89" s="30"/>
      <c r="AE89" s="233"/>
      <c r="AH89" s="233"/>
      <c r="AI89" s="233"/>
      <c r="AK89" s="30"/>
      <c r="AL89" s="3"/>
      <c r="AM89" s="3"/>
      <c r="AN89" s="3"/>
      <c r="AW89" s="2"/>
      <c r="AX89" s="2"/>
    </row>
    <row r="90" spans="1:55" x14ac:dyDescent="0.2">
      <c r="I90" s="2"/>
      <c r="M90" s="2"/>
      <c r="Q90" s="2"/>
      <c r="U90" s="2"/>
      <c r="Y90" s="2"/>
      <c r="AC90" s="2"/>
      <c r="AE90" s="233"/>
      <c r="AH90" s="233"/>
      <c r="AI90" s="233"/>
      <c r="AK90" s="95"/>
      <c r="AL90" s="3"/>
      <c r="AM90" s="3"/>
      <c r="AN90" s="3"/>
      <c r="AW90" s="2"/>
      <c r="AX90" s="2"/>
    </row>
    <row r="91" spans="1:55" x14ac:dyDescent="0.2">
      <c r="I91" s="2"/>
      <c r="M91" s="2"/>
      <c r="Q91" s="2"/>
      <c r="U91" s="2"/>
      <c r="Y91" s="2"/>
      <c r="AC91" s="2"/>
      <c r="AD91" s="2"/>
      <c r="AE91" s="233"/>
      <c r="AG91" s="2"/>
      <c r="AH91" s="233"/>
      <c r="AI91" s="233"/>
      <c r="AJ91" s="2"/>
      <c r="AK91" s="2"/>
      <c r="AL91" s="3"/>
      <c r="AM91" s="3"/>
      <c r="AN91" s="3"/>
      <c r="AW91" s="41"/>
      <c r="AX91" s="41"/>
    </row>
    <row r="92" spans="1:55" x14ac:dyDescent="0.2">
      <c r="I92" s="29"/>
      <c r="M92" s="29"/>
      <c r="Q92" s="29"/>
      <c r="U92" s="29"/>
      <c r="Y92" s="29"/>
      <c r="AC92" s="29"/>
      <c r="AD92" s="38"/>
      <c r="AE92" s="233"/>
      <c r="AF92" s="29"/>
      <c r="AG92" s="29"/>
      <c r="AH92" s="233"/>
      <c r="AI92" s="233"/>
      <c r="AJ92" s="31"/>
      <c r="AK92" s="1"/>
      <c r="AL92" s="3"/>
      <c r="AM92" s="3"/>
      <c r="AN92" s="3"/>
      <c r="AW92" s="41"/>
      <c r="AX92" s="41"/>
    </row>
    <row r="93" spans="1:55" x14ac:dyDescent="0.2">
      <c r="AC93" s="29"/>
      <c r="AD93" s="29"/>
      <c r="AE93" s="233"/>
      <c r="AH93" s="233"/>
      <c r="AI93" s="233"/>
      <c r="AJ93" s="29"/>
      <c r="AK93" s="29"/>
      <c r="AL93" s="3"/>
      <c r="AM93" s="3"/>
      <c r="AN93" s="3"/>
      <c r="AW93" s="42"/>
      <c r="AX93" s="42"/>
    </row>
    <row r="94" spans="1:55" x14ac:dyDescent="0.2">
      <c r="AC94" s="9"/>
      <c r="AD94" s="36"/>
      <c r="AE94" s="32"/>
      <c r="AF94" s="32"/>
      <c r="AG94" s="32"/>
      <c r="AH94" s="36"/>
      <c r="AI94" s="32"/>
      <c r="AJ94" s="32"/>
      <c r="AK94" s="40"/>
      <c r="AL94" s="3"/>
      <c r="AM94" s="3"/>
      <c r="AN94" s="3"/>
      <c r="AW94" s="43"/>
      <c r="AX94" s="43"/>
    </row>
    <row r="95" spans="1:55" x14ac:dyDescent="0.2">
      <c r="AC95" s="9"/>
      <c r="AD95" s="32"/>
      <c r="AE95" s="32"/>
      <c r="AF95" s="32"/>
      <c r="AG95" s="32"/>
      <c r="AH95" s="32"/>
      <c r="AI95" s="32"/>
      <c r="AJ95" s="32"/>
      <c r="AK95" s="40"/>
      <c r="AL95" s="3"/>
      <c r="AM95" s="3"/>
      <c r="AN95" s="3"/>
      <c r="AW95" s="32"/>
      <c r="AX95" s="32"/>
    </row>
    <row r="96" spans="1:55" x14ac:dyDescent="0.2">
      <c r="AC96" s="9"/>
      <c r="AD96" s="32"/>
      <c r="AE96" s="32"/>
      <c r="AF96" s="32"/>
      <c r="AG96" s="32"/>
      <c r="AH96" s="32"/>
      <c r="AI96" s="32"/>
      <c r="AJ96" s="32"/>
      <c r="AK96" s="35"/>
      <c r="AL96" s="3"/>
      <c r="AM96" s="3"/>
      <c r="AN96" s="3"/>
      <c r="AW96" s="32"/>
      <c r="AX96" s="32"/>
    </row>
    <row r="97" spans="29:50" x14ac:dyDescent="0.2">
      <c r="AC97" s="32"/>
      <c r="AD97" s="32"/>
      <c r="AE97" s="32"/>
      <c r="AF97" s="32"/>
      <c r="AG97" s="32"/>
      <c r="AH97" s="32"/>
      <c r="AI97" s="32"/>
      <c r="AJ97" s="32"/>
      <c r="AK97" s="32"/>
      <c r="AL97" s="3"/>
      <c r="AM97" s="3"/>
      <c r="AN97" s="3"/>
      <c r="AW97" s="33"/>
      <c r="AX97" s="33"/>
    </row>
    <row r="98" spans="29:50" x14ac:dyDescent="0.2">
      <c r="AC98" s="33"/>
      <c r="AD98" s="33"/>
      <c r="AE98" s="33"/>
      <c r="AF98" s="33"/>
      <c r="AG98" s="33"/>
      <c r="AH98" s="33"/>
      <c r="AI98" s="33"/>
      <c r="AJ98" s="33"/>
      <c r="AK98" s="33"/>
      <c r="AL98" s="3"/>
      <c r="AM98" s="3"/>
      <c r="AN98" s="3"/>
      <c r="AW98" s="33"/>
      <c r="AX98" s="33"/>
    </row>
    <row r="99" spans="29:50" x14ac:dyDescent="0.2">
      <c r="AC99" s="33"/>
      <c r="AD99" s="33"/>
      <c r="AE99" s="33"/>
      <c r="AF99" s="33"/>
      <c r="AG99" s="33"/>
      <c r="AH99" s="33"/>
      <c r="AI99" s="33"/>
      <c r="AJ99" s="33"/>
      <c r="AK99" s="33"/>
      <c r="AL99" s="3"/>
      <c r="AM99" s="3"/>
      <c r="AN99" s="3"/>
      <c r="AW99" s="3"/>
      <c r="AX99" s="3"/>
    </row>
    <row r="100" spans="29:50" x14ac:dyDescent="0.2">
      <c r="AC100" s="3"/>
      <c r="AD100" s="3"/>
      <c r="AE100" s="3"/>
      <c r="AF100" s="3"/>
      <c r="AG100" s="3"/>
      <c r="AH100" s="3"/>
      <c r="AI100" s="3"/>
      <c r="AJ100" s="3"/>
      <c r="AK100" s="3"/>
      <c r="AL100" s="3"/>
      <c r="AM100" s="3"/>
      <c r="AN100" s="3"/>
      <c r="AW100" s="3"/>
      <c r="AX100" s="3"/>
    </row>
    <row r="101" spans="29:50" x14ac:dyDescent="0.2">
      <c r="AC101" s="3"/>
      <c r="AD101" s="3"/>
      <c r="AE101" s="3"/>
      <c r="AF101" s="3"/>
      <c r="AG101" s="3"/>
      <c r="AH101" s="3"/>
      <c r="AI101" s="3"/>
      <c r="AJ101" s="3"/>
      <c r="AK101" s="3"/>
      <c r="AL101" s="3"/>
      <c r="AM101" s="3"/>
      <c r="AN101" s="3"/>
      <c r="AW101" s="3"/>
      <c r="AX101" s="3"/>
    </row>
    <row r="102" spans="29:50" x14ac:dyDescent="0.2">
      <c r="AC102" s="3"/>
      <c r="AD102" s="3"/>
      <c r="AE102" s="3"/>
      <c r="AF102" s="3"/>
      <c r="AG102" s="3"/>
      <c r="AH102" s="3"/>
      <c r="AI102" s="3"/>
      <c r="AJ102" s="3"/>
      <c r="AK102" s="3"/>
      <c r="AL102" s="3"/>
      <c r="AM102" s="3"/>
      <c r="AN102" s="3"/>
      <c r="AW102" s="3"/>
      <c r="AX102" s="3"/>
    </row>
    <row r="103" spans="29:50" x14ac:dyDescent="0.2">
      <c r="AC103" s="3"/>
      <c r="AD103" s="3"/>
      <c r="AE103" s="3"/>
      <c r="AF103" s="3"/>
      <c r="AG103" s="3"/>
      <c r="AH103" s="3"/>
      <c r="AI103" s="3"/>
      <c r="AJ103" s="3"/>
      <c r="AK103" s="3"/>
      <c r="AL103" s="3"/>
      <c r="AM103" s="3"/>
      <c r="AN103" s="3"/>
      <c r="AW103" s="3"/>
      <c r="AX103" s="3"/>
    </row>
    <row r="104" spans="29:50" x14ac:dyDescent="0.2">
      <c r="AC104" s="3"/>
      <c r="AD104" s="3"/>
      <c r="AE104" s="3"/>
      <c r="AF104" s="3"/>
      <c r="AG104" s="3"/>
      <c r="AH104" s="3"/>
      <c r="AI104" s="3"/>
      <c r="AJ104" s="3"/>
      <c r="AK104" s="3"/>
      <c r="AL104" s="3"/>
      <c r="AM104" s="3"/>
      <c r="AN104" s="3"/>
    </row>
  </sheetData>
  <mergeCells count="11">
    <mergeCell ref="AO10:AP10"/>
    <mergeCell ref="AO57:AP57"/>
    <mergeCell ref="AO68:AP68"/>
    <mergeCell ref="C68:D68"/>
    <mergeCell ref="C67:D67"/>
    <mergeCell ref="A42:B42"/>
    <mergeCell ref="C57:D57"/>
    <mergeCell ref="C9:D9"/>
    <mergeCell ref="C10:D10"/>
    <mergeCell ref="C56:D56"/>
    <mergeCell ref="A36:B36"/>
  </mergeCells>
  <phoneticPr fontId="14" type="noConversion"/>
  <conditionalFormatting sqref="AV46:AX50 A54:A55 AS65:AT65 AD46:AK50 AD62:AK65 A66 A74:A77 AU62:AX65 AU46:AU51 AS51:AT51 B43:B47 A43 A46:A47">
    <cfRule type="cellIs" dxfId="26" priority="4" stopIfTrue="1" operator="equal">
      <formula>0</formula>
    </cfRule>
  </conditionalFormatting>
  <conditionalFormatting sqref="AR65 AR51">
    <cfRule type="cellIs" dxfId="25" priority="1" stopIfTrue="1" operator="equal">
      <formula>0</formula>
    </cfRule>
  </conditionalFormatting>
  <printOptions horizontalCentered="1"/>
  <pageMargins left="0.3" right="0.3" top="0.4" bottom="0.6" header="0" footer="0.3"/>
  <pageSetup scale="56" orientation="landscape" r:id="rId1"/>
  <headerFooter alignWithMargins="0">
    <oddFooter>&amp;L&amp;F&amp;CPage 7</oddFooter>
  </headerFooter>
  <colBreaks count="1" manualBreakCount="1">
    <brk id="51" max="70" man="1"/>
  </colBreaks>
  <ignoredErrors>
    <ignoredError sqref="AT31 AT20:AT29"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5:BI97"/>
  <sheetViews>
    <sheetView workbookViewId="0"/>
  </sheetViews>
  <sheetFormatPr defaultRowHeight="12.75" outlineLevelRow="1" x14ac:dyDescent="0.2"/>
  <cols>
    <col min="1" max="1" width="2.7109375" style="407" customWidth="1"/>
    <col min="2" max="2" width="44.7109375" style="407" customWidth="1"/>
    <col min="3" max="4" width="9.7109375" style="407" customWidth="1"/>
    <col min="5" max="5" width="1.5703125" style="3" customWidth="1"/>
    <col min="6" max="6" width="9.7109375" style="481" hidden="1" customWidth="1"/>
    <col min="7" max="8" width="8.42578125" style="481" hidden="1" customWidth="1"/>
    <col min="9" max="9" width="8.42578125" style="481" customWidth="1"/>
    <col min="10" max="10" width="9.7109375" style="481" customWidth="1"/>
    <col min="11" max="13" width="8.42578125" style="481" customWidth="1"/>
    <col min="14" max="16" width="8.5703125" style="3" customWidth="1"/>
    <col min="17" max="17" width="8.85546875" style="3" customWidth="1"/>
    <col min="18" max="18" width="9.140625" style="3" hidden="1" customWidth="1"/>
    <col min="19" max="26" width="8.5703125" style="3" hidden="1" customWidth="1"/>
    <col min="27" max="28" width="9.7109375" style="3" hidden="1" customWidth="1"/>
    <col min="29" max="37" width="9.7109375" style="407" hidden="1" customWidth="1"/>
    <col min="38" max="38" width="1.5703125" style="407" customWidth="1"/>
    <col min="39" max="40" width="9.85546875" style="407" hidden="1" customWidth="1"/>
    <col min="41" max="42" width="9.85546875" style="64" hidden="1" customWidth="1"/>
    <col min="43" max="43" width="1.5703125" style="407" hidden="1" customWidth="1"/>
    <col min="44" max="46" width="9.7109375" style="64" customWidth="1"/>
    <col min="47" max="47" width="9.28515625" style="407" customWidth="1"/>
    <col min="48" max="48" width="9.7109375" style="407" customWidth="1"/>
    <col min="49" max="53" width="9.7109375" style="407" hidden="1" customWidth="1"/>
    <col min="54" max="54" width="1.5703125" style="407" customWidth="1"/>
    <col min="55" max="268" width="9.140625" style="407"/>
    <col min="269" max="269" width="2.7109375" style="407" customWidth="1"/>
    <col min="270" max="270" width="38.140625" style="407" customWidth="1"/>
    <col min="271" max="271" width="9.5703125" style="407" customWidth="1"/>
    <col min="272" max="272" width="9.7109375" style="407" customWidth="1"/>
    <col min="273" max="273" width="1.5703125" style="407" customWidth="1"/>
    <col min="274" max="276" width="0" style="407" hidden="1" customWidth="1"/>
    <col min="277" max="285" width="8.5703125" style="407" customWidth="1"/>
    <col min="286" max="300" width="0" style="407" hidden="1" customWidth="1"/>
    <col min="301" max="301" width="1.5703125" style="407" customWidth="1"/>
    <col min="302" max="302" width="9.7109375" style="407" customWidth="1"/>
    <col min="303" max="303" width="9.28515625" style="407" customWidth="1"/>
    <col min="304" max="306" width="9.7109375" style="407" customWidth="1"/>
    <col min="307" max="309" width="0" style="407" hidden="1" customWidth="1"/>
    <col min="310" max="310" width="1.5703125" style="407" customWidth="1"/>
    <col min="311" max="524" width="9.140625" style="407"/>
    <col min="525" max="525" width="2.7109375" style="407" customWidth="1"/>
    <col min="526" max="526" width="38.140625" style="407" customWidth="1"/>
    <col min="527" max="527" width="9.5703125" style="407" customWidth="1"/>
    <col min="528" max="528" width="9.7109375" style="407" customWidth="1"/>
    <col min="529" max="529" width="1.5703125" style="407" customWidth="1"/>
    <col min="530" max="532" width="0" style="407" hidden="1" customWidth="1"/>
    <col min="533" max="541" width="8.5703125" style="407" customWidth="1"/>
    <col min="542" max="556" width="0" style="407" hidden="1" customWidth="1"/>
    <col min="557" max="557" width="1.5703125" style="407" customWidth="1"/>
    <col min="558" max="558" width="9.7109375" style="407" customWidth="1"/>
    <col min="559" max="559" width="9.28515625" style="407" customWidth="1"/>
    <col min="560" max="562" width="9.7109375" style="407" customWidth="1"/>
    <col min="563" max="565" width="0" style="407" hidden="1" customWidth="1"/>
    <col min="566" max="566" width="1.5703125" style="407" customWidth="1"/>
    <col min="567" max="780" width="9.140625" style="407"/>
    <col min="781" max="781" width="2.7109375" style="407" customWidth="1"/>
    <col min="782" max="782" width="38.140625" style="407" customWidth="1"/>
    <col min="783" max="783" width="9.5703125" style="407" customWidth="1"/>
    <col min="784" max="784" width="9.7109375" style="407" customWidth="1"/>
    <col min="785" max="785" width="1.5703125" style="407" customWidth="1"/>
    <col min="786" max="788" width="0" style="407" hidden="1" customWidth="1"/>
    <col min="789" max="797" width="8.5703125" style="407" customWidth="1"/>
    <col min="798" max="812" width="0" style="407" hidden="1" customWidth="1"/>
    <col min="813" max="813" width="1.5703125" style="407" customWidth="1"/>
    <col min="814" max="814" width="9.7109375" style="407" customWidth="1"/>
    <col min="815" max="815" width="9.28515625" style="407" customWidth="1"/>
    <col min="816" max="818" width="9.7109375" style="407" customWidth="1"/>
    <col min="819" max="821" width="0" style="407" hidden="1" customWidth="1"/>
    <col min="822" max="822" width="1.5703125" style="407" customWidth="1"/>
    <col min="823" max="1036" width="9.140625" style="407"/>
    <col min="1037" max="1037" width="2.7109375" style="407" customWidth="1"/>
    <col min="1038" max="1038" width="38.140625" style="407" customWidth="1"/>
    <col min="1039" max="1039" width="9.5703125" style="407" customWidth="1"/>
    <col min="1040" max="1040" width="9.7109375" style="407" customWidth="1"/>
    <col min="1041" max="1041" width="1.5703125" style="407" customWidth="1"/>
    <col min="1042" max="1044" width="0" style="407" hidden="1" customWidth="1"/>
    <col min="1045" max="1053" width="8.5703125" style="407" customWidth="1"/>
    <col min="1054" max="1068" width="0" style="407" hidden="1" customWidth="1"/>
    <col min="1069" max="1069" width="1.5703125" style="407" customWidth="1"/>
    <col min="1070" max="1070" width="9.7109375" style="407" customWidth="1"/>
    <col min="1071" max="1071" width="9.28515625" style="407" customWidth="1"/>
    <col min="1072" max="1074" width="9.7109375" style="407" customWidth="1"/>
    <col min="1075" max="1077" width="0" style="407" hidden="1" customWidth="1"/>
    <col min="1078" max="1078" width="1.5703125" style="407" customWidth="1"/>
    <col min="1079" max="1292" width="9.140625" style="407"/>
    <col min="1293" max="1293" width="2.7109375" style="407" customWidth="1"/>
    <col min="1294" max="1294" width="38.140625" style="407" customWidth="1"/>
    <col min="1295" max="1295" width="9.5703125" style="407" customWidth="1"/>
    <col min="1296" max="1296" width="9.7109375" style="407" customWidth="1"/>
    <col min="1297" max="1297" width="1.5703125" style="407" customWidth="1"/>
    <col min="1298" max="1300" width="0" style="407" hidden="1" customWidth="1"/>
    <col min="1301" max="1309" width="8.5703125" style="407" customWidth="1"/>
    <col min="1310" max="1324" width="0" style="407" hidden="1" customWidth="1"/>
    <col min="1325" max="1325" width="1.5703125" style="407" customWidth="1"/>
    <col min="1326" max="1326" width="9.7109375" style="407" customWidth="1"/>
    <col min="1327" max="1327" width="9.28515625" style="407" customWidth="1"/>
    <col min="1328" max="1330" width="9.7109375" style="407" customWidth="1"/>
    <col min="1331" max="1333" width="0" style="407" hidden="1" customWidth="1"/>
    <col min="1334" max="1334" width="1.5703125" style="407" customWidth="1"/>
    <col min="1335" max="1548" width="9.140625" style="407"/>
    <col min="1549" max="1549" width="2.7109375" style="407" customWidth="1"/>
    <col min="1550" max="1550" width="38.140625" style="407" customWidth="1"/>
    <col min="1551" max="1551" width="9.5703125" style="407" customWidth="1"/>
    <col min="1552" max="1552" width="9.7109375" style="407" customWidth="1"/>
    <col min="1553" max="1553" width="1.5703125" style="407" customWidth="1"/>
    <col min="1554" max="1556" width="0" style="407" hidden="1" customWidth="1"/>
    <col min="1557" max="1565" width="8.5703125" style="407" customWidth="1"/>
    <col min="1566" max="1580" width="0" style="407" hidden="1" customWidth="1"/>
    <col min="1581" max="1581" width="1.5703125" style="407" customWidth="1"/>
    <col min="1582" max="1582" width="9.7109375" style="407" customWidth="1"/>
    <col min="1583" max="1583" width="9.28515625" style="407" customWidth="1"/>
    <col min="1584" max="1586" width="9.7109375" style="407" customWidth="1"/>
    <col min="1587" max="1589" width="0" style="407" hidden="1" customWidth="1"/>
    <col min="1590" max="1590" width="1.5703125" style="407" customWidth="1"/>
    <col min="1591" max="1804" width="9.140625" style="407"/>
    <col min="1805" max="1805" width="2.7109375" style="407" customWidth="1"/>
    <col min="1806" max="1806" width="38.140625" style="407" customWidth="1"/>
    <col min="1807" max="1807" width="9.5703125" style="407" customWidth="1"/>
    <col min="1808" max="1808" width="9.7109375" style="407" customWidth="1"/>
    <col min="1809" max="1809" width="1.5703125" style="407" customWidth="1"/>
    <col min="1810" max="1812" width="0" style="407" hidden="1" customWidth="1"/>
    <col min="1813" max="1821" width="8.5703125" style="407" customWidth="1"/>
    <col min="1822" max="1836" width="0" style="407" hidden="1" customWidth="1"/>
    <col min="1837" max="1837" width="1.5703125" style="407" customWidth="1"/>
    <col min="1838" max="1838" width="9.7109375" style="407" customWidth="1"/>
    <col min="1839" max="1839" width="9.28515625" style="407" customWidth="1"/>
    <col min="1840" max="1842" width="9.7109375" style="407" customWidth="1"/>
    <col min="1843" max="1845" width="0" style="407" hidden="1" customWidth="1"/>
    <col min="1846" max="1846" width="1.5703125" style="407" customWidth="1"/>
    <col min="1847" max="2060" width="9.140625" style="407"/>
    <col min="2061" max="2061" width="2.7109375" style="407" customWidth="1"/>
    <col min="2062" max="2062" width="38.140625" style="407" customWidth="1"/>
    <col min="2063" max="2063" width="9.5703125" style="407" customWidth="1"/>
    <col min="2064" max="2064" width="9.7109375" style="407" customWidth="1"/>
    <col min="2065" max="2065" width="1.5703125" style="407" customWidth="1"/>
    <col min="2066" max="2068" width="0" style="407" hidden="1" customWidth="1"/>
    <col min="2069" max="2077" width="8.5703125" style="407" customWidth="1"/>
    <col min="2078" max="2092" width="0" style="407" hidden="1" customWidth="1"/>
    <col min="2093" max="2093" width="1.5703125" style="407" customWidth="1"/>
    <col min="2094" max="2094" width="9.7109375" style="407" customWidth="1"/>
    <col min="2095" max="2095" width="9.28515625" style="407" customWidth="1"/>
    <col min="2096" max="2098" width="9.7109375" style="407" customWidth="1"/>
    <col min="2099" max="2101" width="0" style="407" hidden="1" customWidth="1"/>
    <col min="2102" max="2102" width="1.5703125" style="407" customWidth="1"/>
    <col min="2103" max="2316" width="9.140625" style="407"/>
    <col min="2317" max="2317" width="2.7109375" style="407" customWidth="1"/>
    <col min="2318" max="2318" width="38.140625" style="407" customWidth="1"/>
    <col min="2319" max="2319" width="9.5703125" style="407" customWidth="1"/>
    <col min="2320" max="2320" width="9.7109375" style="407" customWidth="1"/>
    <col min="2321" max="2321" width="1.5703125" style="407" customWidth="1"/>
    <col min="2322" max="2324" width="0" style="407" hidden="1" customWidth="1"/>
    <col min="2325" max="2333" width="8.5703125" style="407" customWidth="1"/>
    <col min="2334" max="2348" width="0" style="407" hidden="1" customWidth="1"/>
    <col min="2349" max="2349" width="1.5703125" style="407" customWidth="1"/>
    <col min="2350" max="2350" width="9.7109375" style="407" customWidth="1"/>
    <col min="2351" max="2351" width="9.28515625" style="407" customWidth="1"/>
    <col min="2352" max="2354" width="9.7109375" style="407" customWidth="1"/>
    <col min="2355" max="2357" width="0" style="407" hidden="1" customWidth="1"/>
    <col min="2358" max="2358" width="1.5703125" style="407" customWidth="1"/>
    <col min="2359" max="2572" width="9.140625" style="407"/>
    <col min="2573" max="2573" width="2.7109375" style="407" customWidth="1"/>
    <col min="2574" max="2574" width="38.140625" style="407" customWidth="1"/>
    <col min="2575" max="2575" width="9.5703125" style="407" customWidth="1"/>
    <col min="2576" max="2576" width="9.7109375" style="407" customWidth="1"/>
    <col min="2577" max="2577" width="1.5703125" style="407" customWidth="1"/>
    <col min="2578" max="2580" width="0" style="407" hidden="1" customWidth="1"/>
    <col min="2581" max="2589" width="8.5703125" style="407" customWidth="1"/>
    <col min="2590" max="2604" width="0" style="407" hidden="1" customWidth="1"/>
    <col min="2605" max="2605" width="1.5703125" style="407" customWidth="1"/>
    <col min="2606" max="2606" width="9.7109375" style="407" customWidth="1"/>
    <col min="2607" max="2607" width="9.28515625" style="407" customWidth="1"/>
    <col min="2608" max="2610" width="9.7109375" style="407" customWidth="1"/>
    <col min="2611" max="2613" width="0" style="407" hidden="1" customWidth="1"/>
    <col min="2614" max="2614" width="1.5703125" style="407" customWidth="1"/>
    <col min="2615" max="2828" width="9.140625" style="407"/>
    <col min="2829" max="2829" width="2.7109375" style="407" customWidth="1"/>
    <col min="2830" max="2830" width="38.140625" style="407" customWidth="1"/>
    <col min="2831" max="2831" width="9.5703125" style="407" customWidth="1"/>
    <col min="2832" max="2832" width="9.7109375" style="407" customWidth="1"/>
    <col min="2833" max="2833" width="1.5703125" style="407" customWidth="1"/>
    <col min="2834" max="2836" width="0" style="407" hidden="1" customWidth="1"/>
    <col min="2837" max="2845" width="8.5703125" style="407" customWidth="1"/>
    <col min="2846" max="2860" width="0" style="407" hidden="1" customWidth="1"/>
    <col min="2861" max="2861" width="1.5703125" style="407" customWidth="1"/>
    <col min="2862" max="2862" width="9.7109375" style="407" customWidth="1"/>
    <col min="2863" max="2863" width="9.28515625" style="407" customWidth="1"/>
    <col min="2864" max="2866" width="9.7109375" style="407" customWidth="1"/>
    <col min="2867" max="2869" width="0" style="407" hidden="1" customWidth="1"/>
    <col min="2870" max="2870" width="1.5703125" style="407" customWidth="1"/>
    <col min="2871" max="3084" width="9.140625" style="407"/>
    <col min="3085" max="3085" width="2.7109375" style="407" customWidth="1"/>
    <col min="3086" max="3086" width="38.140625" style="407" customWidth="1"/>
    <col min="3087" max="3087" width="9.5703125" style="407" customWidth="1"/>
    <col min="3088" max="3088" width="9.7109375" style="407" customWidth="1"/>
    <col min="3089" max="3089" width="1.5703125" style="407" customWidth="1"/>
    <col min="3090" max="3092" width="0" style="407" hidden="1" customWidth="1"/>
    <col min="3093" max="3101" width="8.5703125" style="407" customWidth="1"/>
    <col min="3102" max="3116" width="0" style="407" hidden="1" customWidth="1"/>
    <col min="3117" max="3117" width="1.5703125" style="407" customWidth="1"/>
    <col min="3118" max="3118" width="9.7109375" style="407" customWidth="1"/>
    <col min="3119" max="3119" width="9.28515625" style="407" customWidth="1"/>
    <col min="3120" max="3122" width="9.7109375" style="407" customWidth="1"/>
    <col min="3123" max="3125" width="0" style="407" hidden="1" customWidth="1"/>
    <col min="3126" max="3126" width="1.5703125" style="407" customWidth="1"/>
    <col min="3127" max="3340" width="9.140625" style="407"/>
    <col min="3341" max="3341" width="2.7109375" style="407" customWidth="1"/>
    <col min="3342" max="3342" width="38.140625" style="407" customWidth="1"/>
    <col min="3343" max="3343" width="9.5703125" style="407" customWidth="1"/>
    <col min="3344" max="3344" width="9.7109375" style="407" customWidth="1"/>
    <col min="3345" max="3345" width="1.5703125" style="407" customWidth="1"/>
    <col min="3346" max="3348" width="0" style="407" hidden="1" customWidth="1"/>
    <col min="3349" max="3357" width="8.5703125" style="407" customWidth="1"/>
    <col min="3358" max="3372" width="0" style="407" hidden="1" customWidth="1"/>
    <col min="3373" max="3373" width="1.5703125" style="407" customWidth="1"/>
    <col min="3374" max="3374" width="9.7109375" style="407" customWidth="1"/>
    <col min="3375" max="3375" width="9.28515625" style="407" customWidth="1"/>
    <col min="3376" max="3378" width="9.7109375" style="407" customWidth="1"/>
    <col min="3379" max="3381" width="0" style="407" hidden="1" customWidth="1"/>
    <col min="3382" max="3382" width="1.5703125" style="407" customWidth="1"/>
    <col min="3383" max="3596" width="9.140625" style="407"/>
    <col min="3597" max="3597" width="2.7109375" style="407" customWidth="1"/>
    <col min="3598" max="3598" width="38.140625" style="407" customWidth="1"/>
    <col min="3599" max="3599" width="9.5703125" style="407" customWidth="1"/>
    <col min="3600" max="3600" width="9.7109375" style="407" customWidth="1"/>
    <col min="3601" max="3601" width="1.5703125" style="407" customWidth="1"/>
    <col min="3602" max="3604" width="0" style="407" hidden="1" customWidth="1"/>
    <col min="3605" max="3613" width="8.5703125" style="407" customWidth="1"/>
    <col min="3614" max="3628" width="0" style="407" hidden="1" customWidth="1"/>
    <col min="3629" max="3629" width="1.5703125" style="407" customWidth="1"/>
    <col min="3630" max="3630" width="9.7109375" style="407" customWidth="1"/>
    <col min="3631" max="3631" width="9.28515625" style="407" customWidth="1"/>
    <col min="3632" max="3634" width="9.7109375" style="407" customWidth="1"/>
    <col min="3635" max="3637" width="0" style="407" hidden="1" customWidth="1"/>
    <col min="3638" max="3638" width="1.5703125" style="407" customWidth="1"/>
    <col min="3639" max="3852" width="9.140625" style="407"/>
    <col min="3853" max="3853" width="2.7109375" style="407" customWidth="1"/>
    <col min="3854" max="3854" width="38.140625" style="407" customWidth="1"/>
    <col min="3855" max="3855" width="9.5703125" style="407" customWidth="1"/>
    <col min="3856" max="3856" width="9.7109375" style="407" customWidth="1"/>
    <col min="3857" max="3857" width="1.5703125" style="407" customWidth="1"/>
    <col min="3858" max="3860" width="0" style="407" hidden="1" customWidth="1"/>
    <col min="3861" max="3869" width="8.5703125" style="407" customWidth="1"/>
    <col min="3870" max="3884" width="0" style="407" hidden="1" customWidth="1"/>
    <col min="3885" max="3885" width="1.5703125" style="407" customWidth="1"/>
    <col min="3886" max="3886" width="9.7109375" style="407" customWidth="1"/>
    <col min="3887" max="3887" width="9.28515625" style="407" customWidth="1"/>
    <col min="3888" max="3890" width="9.7109375" style="407" customWidth="1"/>
    <col min="3891" max="3893" width="0" style="407" hidden="1" customWidth="1"/>
    <col min="3894" max="3894" width="1.5703125" style="407" customWidth="1"/>
    <col min="3895" max="4108" width="9.140625" style="407"/>
    <col min="4109" max="4109" width="2.7109375" style="407" customWidth="1"/>
    <col min="4110" max="4110" width="38.140625" style="407" customWidth="1"/>
    <col min="4111" max="4111" width="9.5703125" style="407" customWidth="1"/>
    <col min="4112" max="4112" width="9.7109375" style="407" customWidth="1"/>
    <col min="4113" max="4113" width="1.5703125" style="407" customWidth="1"/>
    <col min="4114" max="4116" width="0" style="407" hidden="1" customWidth="1"/>
    <col min="4117" max="4125" width="8.5703125" style="407" customWidth="1"/>
    <col min="4126" max="4140" width="0" style="407" hidden="1" customWidth="1"/>
    <col min="4141" max="4141" width="1.5703125" style="407" customWidth="1"/>
    <col min="4142" max="4142" width="9.7109375" style="407" customWidth="1"/>
    <col min="4143" max="4143" width="9.28515625" style="407" customWidth="1"/>
    <col min="4144" max="4146" width="9.7109375" style="407" customWidth="1"/>
    <col min="4147" max="4149" width="0" style="407" hidden="1" customWidth="1"/>
    <col min="4150" max="4150" width="1.5703125" style="407" customWidth="1"/>
    <col min="4151" max="4364" width="9.140625" style="407"/>
    <col min="4365" max="4365" width="2.7109375" style="407" customWidth="1"/>
    <col min="4366" max="4366" width="38.140625" style="407" customWidth="1"/>
    <col min="4367" max="4367" width="9.5703125" style="407" customWidth="1"/>
    <col min="4368" max="4368" width="9.7109375" style="407" customWidth="1"/>
    <col min="4369" max="4369" width="1.5703125" style="407" customWidth="1"/>
    <col min="4370" max="4372" width="0" style="407" hidden="1" customWidth="1"/>
    <col min="4373" max="4381" width="8.5703125" style="407" customWidth="1"/>
    <col min="4382" max="4396" width="0" style="407" hidden="1" customWidth="1"/>
    <col min="4397" max="4397" width="1.5703125" style="407" customWidth="1"/>
    <col min="4398" max="4398" width="9.7109375" style="407" customWidth="1"/>
    <col min="4399" max="4399" width="9.28515625" style="407" customWidth="1"/>
    <col min="4400" max="4402" width="9.7109375" style="407" customWidth="1"/>
    <col min="4403" max="4405" width="0" style="407" hidden="1" customWidth="1"/>
    <col min="4406" max="4406" width="1.5703125" style="407" customWidth="1"/>
    <col min="4407" max="4620" width="9.140625" style="407"/>
    <col min="4621" max="4621" width="2.7109375" style="407" customWidth="1"/>
    <col min="4622" max="4622" width="38.140625" style="407" customWidth="1"/>
    <col min="4623" max="4623" width="9.5703125" style="407" customWidth="1"/>
    <col min="4624" max="4624" width="9.7109375" style="407" customWidth="1"/>
    <col min="4625" max="4625" width="1.5703125" style="407" customWidth="1"/>
    <col min="4626" max="4628" width="0" style="407" hidden="1" customWidth="1"/>
    <col min="4629" max="4637" width="8.5703125" style="407" customWidth="1"/>
    <col min="4638" max="4652" width="0" style="407" hidden="1" customWidth="1"/>
    <col min="4653" max="4653" width="1.5703125" style="407" customWidth="1"/>
    <col min="4654" max="4654" width="9.7109375" style="407" customWidth="1"/>
    <col min="4655" max="4655" width="9.28515625" style="407" customWidth="1"/>
    <col min="4656" max="4658" width="9.7109375" style="407" customWidth="1"/>
    <col min="4659" max="4661" width="0" style="407" hidden="1" customWidth="1"/>
    <col min="4662" max="4662" width="1.5703125" style="407" customWidth="1"/>
    <col min="4663" max="4876" width="9.140625" style="407"/>
    <col min="4877" max="4877" width="2.7109375" style="407" customWidth="1"/>
    <col min="4878" max="4878" width="38.140625" style="407" customWidth="1"/>
    <col min="4879" max="4879" width="9.5703125" style="407" customWidth="1"/>
    <col min="4880" max="4880" width="9.7109375" style="407" customWidth="1"/>
    <col min="4881" max="4881" width="1.5703125" style="407" customWidth="1"/>
    <col min="4882" max="4884" width="0" style="407" hidden="1" customWidth="1"/>
    <col min="4885" max="4893" width="8.5703125" style="407" customWidth="1"/>
    <col min="4894" max="4908" width="0" style="407" hidden="1" customWidth="1"/>
    <col min="4909" max="4909" width="1.5703125" style="407" customWidth="1"/>
    <col min="4910" max="4910" width="9.7109375" style="407" customWidth="1"/>
    <col min="4911" max="4911" width="9.28515625" style="407" customWidth="1"/>
    <col min="4912" max="4914" width="9.7109375" style="407" customWidth="1"/>
    <col min="4915" max="4917" width="0" style="407" hidden="1" customWidth="1"/>
    <col min="4918" max="4918" width="1.5703125" style="407" customWidth="1"/>
    <col min="4919" max="5132" width="9.140625" style="407"/>
    <col min="5133" max="5133" width="2.7109375" style="407" customWidth="1"/>
    <col min="5134" max="5134" width="38.140625" style="407" customWidth="1"/>
    <col min="5135" max="5135" width="9.5703125" style="407" customWidth="1"/>
    <col min="5136" max="5136" width="9.7109375" style="407" customWidth="1"/>
    <col min="5137" max="5137" width="1.5703125" style="407" customWidth="1"/>
    <col min="5138" max="5140" width="0" style="407" hidden="1" customWidth="1"/>
    <col min="5141" max="5149" width="8.5703125" style="407" customWidth="1"/>
    <col min="5150" max="5164" width="0" style="407" hidden="1" customWidth="1"/>
    <col min="5165" max="5165" width="1.5703125" style="407" customWidth="1"/>
    <col min="5166" max="5166" width="9.7109375" style="407" customWidth="1"/>
    <col min="5167" max="5167" width="9.28515625" style="407" customWidth="1"/>
    <col min="5168" max="5170" width="9.7109375" style="407" customWidth="1"/>
    <col min="5171" max="5173" width="0" style="407" hidden="1" customWidth="1"/>
    <col min="5174" max="5174" width="1.5703125" style="407" customWidth="1"/>
    <col min="5175" max="5388" width="9.140625" style="407"/>
    <col min="5389" max="5389" width="2.7109375" style="407" customWidth="1"/>
    <col min="5390" max="5390" width="38.140625" style="407" customWidth="1"/>
    <col min="5391" max="5391" width="9.5703125" style="407" customWidth="1"/>
    <col min="5392" max="5392" width="9.7109375" style="407" customWidth="1"/>
    <col min="5393" max="5393" width="1.5703125" style="407" customWidth="1"/>
    <col min="5394" max="5396" width="0" style="407" hidden="1" customWidth="1"/>
    <col min="5397" max="5405" width="8.5703125" style="407" customWidth="1"/>
    <col min="5406" max="5420" width="0" style="407" hidden="1" customWidth="1"/>
    <col min="5421" max="5421" width="1.5703125" style="407" customWidth="1"/>
    <col min="5422" max="5422" width="9.7109375" style="407" customWidth="1"/>
    <col min="5423" max="5423" width="9.28515625" style="407" customWidth="1"/>
    <col min="5424" max="5426" width="9.7109375" style="407" customWidth="1"/>
    <col min="5427" max="5429" width="0" style="407" hidden="1" customWidth="1"/>
    <col min="5430" max="5430" width="1.5703125" style="407" customWidth="1"/>
    <col min="5431" max="5644" width="9.140625" style="407"/>
    <col min="5645" max="5645" width="2.7109375" style="407" customWidth="1"/>
    <col min="5646" max="5646" width="38.140625" style="407" customWidth="1"/>
    <col min="5647" max="5647" width="9.5703125" style="407" customWidth="1"/>
    <col min="5648" max="5648" width="9.7109375" style="407" customWidth="1"/>
    <col min="5649" max="5649" width="1.5703125" style="407" customWidth="1"/>
    <col min="5650" max="5652" width="0" style="407" hidden="1" customWidth="1"/>
    <col min="5653" max="5661" width="8.5703125" style="407" customWidth="1"/>
    <col min="5662" max="5676" width="0" style="407" hidden="1" customWidth="1"/>
    <col min="5677" max="5677" width="1.5703125" style="407" customWidth="1"/>
    <col min="5678" max="5678" width="9.7109375" style="407" customWidth="1"/>
    <col min="5679" max="5679" width="9.28515625" style="407" customWidth="1"/>
    <col min="5680" max="5682" width="9.7109375" style="407" customWidth="1"/>
    <col min="5683" max="5685" width="0" style="407" hidden="1" customWidth="1"/>
    <col min="5686" max="5686" width="1.5703125" style="407" customWidth="1"/>
    <col min="5687" max="5900" width="9.140625" style="407"/>
    <col min="5901" max="5901" width="2.7109375" style="407" customWidth="1"/>
    <col min="5902" max="5902" width="38.140625" style="407" customWidth="1"/>
    <col min="5903" max="5903" width="9.5703125" style="407" customWidth="1"/>
    <col min="5904" max="5904" width="9.7109375" style="407" customWidth="1"/>
    <col min="5905" max="5905" width="1.5703125" style="407" customWidth="1"/>
    <col min="5906" max="5908" width="0" style="407" hidden="1" customWidth="1"/>
    <col min="5909" max="5917" width="8.5703125" style="407" customWidth="1"/>
    <col min="5918" max="5932" width="0" style="407" hidden="1" customWidth="1"/>
    <col min="5933" max="5933" width="1.5703125" style="407" customWidth="1"/>
    <col min="5934" max="5934" width="9.7109375" style="407" customWidth="1"/>
    <col min="5935" max="5935" width="9.28515625" style="407" customWidth="1"/>
    <col min="5936" max="5938" width="9.7109375" style="407" customWidth="1"/>
    <col min="5939" max="5941" width="0" style="407" hidden="1" customWidth="1"/>
    <col min="5942" max="5942" width="1.5703125" style="407" customWidth="1"/>
    <col min="5943" max="6156" width="9.140625" style="407"/>
    <col min="6157" max="6157" width="2.7109375" style="407" customWidth="1"/>
    <col min="6158" max="6158" width="38.140625" style="407" customWidth="1"/>
    <col min="6159" max="6159" width="9.5703125" style="407" customWidth="1"/>
    <col min="6160" max="6160" width="9.7109375" style="407" customWidth="1"/>
    <col min="6161" max="6161" width="1.5703125" style="407" customWidth="1"/>
    <col min="6162" max="6164" width="0" style="407" hidden="1" customWidth="1"/>
    <col min="6165" max="6173" width="8.5703125" style="407" customWidth="1"/>
    <col min="6174" max="6188" width="0" style="407" hidden="1" customWidth="1"/>
    <col min="6189" max="6189" width="1.5703125" style="407" customWidth="1"/>
    <col min="6190" max="6190" width="9.7109375" style="407" customWidth="1"/>
    <col min="6191" max="6191" width="9.28515625" style="407" customWidth="1"/>
    <col min="6192" max="6194" width="9.7109375" style="407" customWidth="1"/>
    <col min="6195" max="6197" width="0" style="407" hidden="1" customWidth="1"/>
    <col min="6198" max="6198" width="1.5703125" style="407" customWidth="1"/>
    <col min="6199" max="6412" width="9.140625" style="407"/>
    <col min="6413" max="6413" width="2.7109375" style="407" customWidth="1"/>
    <col min="6414" max="6414" width="38.140625" style="407" customWidth="1"/>
    <col min="6415" max="6415" width="9.5703125" style="407" customWidth="1"/>
    <col min="6416" max="6416" width="9.7109375" style="407" customWidth="1"/>
    <col min="6417" max="6417" width="1.5703125" style="407" customWidth="1"/>
    <col min="6418" max="6420" width="0" style="407" hidden="1" customWidth="1"/>
    <col min="6421" max="6429" width="8.5703125" style="407" customWidth="1"/>
    <col min="6430" max="6444" width="0" style="407" hidden="1" customWidth="1"/>
    <col min="6445" max="6445" width="1.5703125" style="407" customWidth="1"/>
    <col min="6446" max="6446" width="9.7109375" style="407" customWidth="1"/>
    <col min="6447" max="6447" width="9.28515625" style="407" customWidth="1"/>
    <col min="6448" max="6450" width="9.7109375" style="407" customWidth="1"/>
    <col min="6451" max="6453" width="0" style="407" hidden="1" customWidth="1"/>
    <col min="6454" max="6454" width="1.5703125" style="407" customWidth="1"/>
    <col min="6455" max="6668" width="9.140625" style="407"/>
    <col min="6669" max="6669" width="2.7109375" style="407" customWidth="1"/>
    <col min="6670" max="6670" width="38.140625" style="407" customWidth="1"/>
    <col min="6671" max="6671" width="9.5703125" style="407" customWidth="1"/>
    <col min="6672" max="6672" width="9.7109375" style="407" customWidth="1"/>
    <col min="6673" max="6673" width="1.5703125" style="407" customWidth="1"/>
    <col min="6674" max="6676" width="0" style="407" hidden="1" customWidth="1"/>
    <col min="6677" max="6685" width="8.5703125" style="407" customWidth="1"/>
    <col min="6686" max="6700" width="0" style="407" hidden="1" customWidth="1"/>
    <col min="6701" max="6701" width="1.5703125" style="407" customWidth="1"/>
    <col min="6702" max="6702" width="9.7109375" style="407" customWidth="1"/>
    <col min="6703" max="6703" width="9.28515625" style="407" customWidth="1"/>
    <col min="6704" max="6706" width="9.7109375" style="407" customWidth="1"/>
    <col min="6707" max="6709" width="0" style="407" hidden="1" customWidth="1"/>
    <col min="6710" max="6710" width="1.5703125" style="407" customWidth="1"/>
    <col min="6711" max="6924" width="9.140625" style="407"/>
    <col min="6925" max="6925" width="2.7109375" style="407" customWidth="1"/>
    <col min="6926" max="6926" width="38.140625" style="407" customWidth="1"/>
    <col min="6927" max="6927" width="9.5703125" style="407" customWidth="1"/>
    <col min="6928" max="6928" width="9.7109375" style="407" customWidth="1"/>
    <col min="6929" max="6929" width="1.5703125" style="407" customWidth="1"/>
    <col min="6930" max="6932" width="0" style="407" hidden="1" customWidth="1"/>
    <col min="6933" max="6941" width="8.5703125" style="407" customWidth="1"/>
    <col min="6942" max="6956" width="0" style="407" hidden="1" customWidth="1"/>
    <col min="6957" max="6957" width="1.5703125" style="407" customWidth="1"/>
    <col min="6958" max="6958" width="9.7109375" style="407" customWidth="1"/>
    <col min="6959" max="6959" width="9.28515625" style="407" customWidth="1"/>
    <col min="6960" max="6962" width="9.7109375" style="407" customWidth="1"/>
    <col min="6963" max="6965" width="0" style="407" hidden="1" customWidth="1"/>
    <col min="6966" max="6966" width="1.5703125" style="407" customWidth="1"/>
    <col min="6967" max="7180" width="9.140625" style="407"/>
    <col min="7181" max="7181" width="2.7109375" style="407" customWidth="1"/>
    <col min="7182" max="7182" width="38.140625" style="407" customWidth="1"/>
    <col min="7183" max="7183" width="9.5703125" style="407" customWidth="1"/>
    <col min="7184" max="7184" width="9.7109375" style="407" customWidth="1"/>
    <col min="7185" max="7185" width="1.5703125" style="407" customWidth="1"/>
    <col min="7186" max="7188" width="0" style="407" hidden="1" customWidth="1"/>
    <col min="7189" max="7197" width="8.5703125" style="407" customWidth="1"/>
    <col min="7198" max="7212" width="0" style="407" hidden="1" customWidth="1"/>
    <col min="7213" max="7213" width="1.5703125" style="407" customWidth="1"/>
    <col min="7214" max="7214" width="9.7109375" style="407" customWidth="1"/>
    <col min="7215" max="7215" width="9.28515625" style="407" customWidth="1"/>
    <col min="7216" max="7218" width="9.7109375" style="407" customWidth="1"/>
    <col min="7219" max="7221" width="0" style="407" hidden="1" customWidth="1"/>
    <col min="7222" max="7222" width="1.5703125" style="407" customWidth="1"/>
    <col min="7223" max="7436" width="9.140625" style="407"/>
    <col min="7437" max="7437" width="2.7109375" style="407" customWidth="1"/>
    <col min="7438" max="7438" width="38.140625" style="407" customWidth="1"/>
    <col min="7439" max="7439" width="9.5703125" style="407" customWidth="1"/>
    <col min="7440" max="7440" width="9.7109375" style="407" customWidth="1"/>
    <col min="7441" max="7441" width="1.5703125" style="407" customWidth="1"/>
    <col min="7442" max="7444" width="0" style="407" hidden="1" customWidth="1"/>
    <col min="7445" max="7453" width="8.5703125" style="407" customWidth="1"/>
    <col min="7454" max="7468" width="0" style="407" hidden="1" customWidth="1"/>
    <col min="7469" max="7469" width="1.5703125" style="407" customWidth="1"/>
    <col min="7470" max="7470" width="9.7109375" style="407" customWidth="1"/>
    <col min="7471" max="7471" width="9.28515625" style="407" customWidth="1"/>
    <col min="7472" max="7474" width="9.7109375" style="407" customWidth="1"/>
    <col min="7475" max="7477" width="0" style="407" hidden="1" customWidth="1"/>
    <col min="7478" max="7478" width="1.5703125" style="407" customWidth="1"/>
    <col min="7479" max="7692" width="9.140625" style="407"/>
    <col min="7693" max="7693" width="2.7109375" style="407" customWidth="1"/>
    <col min="7694" max="7694" width="38.140625" style="407" customWidth="1"/>
    <col min="7695" max="7695" width="9.5703125" style="407" customWidth="1"/>
    <col min="7696" max="7696" width="9.7109375" style="407" customWidth="1"/>
    <col min="7697" max="7697" width="1.5703125" style="407" customWidth="1"/>
    <col min="7698" max="7700" width="0" style="407" hidden="1" customWidth="1"/>
    <col min="7701" max="7709" width="8.5703125" style="407" customWidth="1"/>
    <col min="7710" max="7724" width="0" style="407" hidden="1" customWidth="1"/>
    <col min="7725" max="7725" width="1.5703125" style="407" customWidth="1"/>
    <col min="7726" max="7726" width="9.7109375" style="407" customWidth="1"/>
    <col min="7727" max="7727" width="9.28515625" style="407" customWidth="1"/>
    <col min="7728" max="7730" width="9.7109375" style="407" customWidth="1"/>
    <col min="7731" max="7733" width="0" style="407" hidden="1" customWidth="1"/>
    <col min="7734" max="7734" width="1.5703125" style="407" customWidth="1"/>
    <col min="7735" max="7948" width="9.140625" style="407"/>
    <col min="7949" max="7949" width="2.7109375" style="407" customWidth="1"/>
    <col min="7950" max="7950" width="38.140625" style="407" customWidth="1"/>
    <col min="7951" max="7951" width="9.5703125" style="407" customWidth="1"/>
    <col min="7952" max="7952" width="9.7109375" style="407" customWidth="1"/>
    <col min="7953" max="7953" width="1.5703125" style="407" customWidth="1"/>
    <col min="7954" max="7956" width="0" style="407" hidden="1" customWidth="1"/>
    <col min="7957" max="7965" width="8.5703125" style="407" customWidth="1"/>
    <col min="7966" max="7980" width="0" style="407" hidden="1" customWidth="1"/>
    <col min="7981" max="7981" width="1.5703125" style="407" customWidth="1"/>
    <col min="7982" max="7982" width="9.7109375" style="407" customWidth="1"/>
    <col min="7983" max="7983" width="9.28515625" style="407" customWidth="1"/>
    <col min="7984" max="7986" width="9.7109375" style="407" customWidth="1"/>
    <col min="7987" max="7989" width="0" style="407" hidden="1" customWidth="1"/>
    <col min="7990" max="7990" width="1.5703125" style="407" customWidth="1"/>
    <col min="7991" max="8204" width="9.140625" style="407"/>
    <col min="8205" max="8205" width="2.7109375" style="407" customWidth="1"/>
    <col min="8206" max="8206" width="38.140625" style="407" customWidth="1"/>
    <col min="8207" max="8207" width="9.5703125" style="407" customWidth="1"/>
    <col min="8208" max="8208" width="9.7109375" style="407" customWidth="1"/>
    <col min="8209" max="8209" width="1.5703125" style="407" customWidth="1"/>
    <col min="8210" max="8212" width="0" style="407" hidden="1" customWidth="1"/>
    <col min="8213" max="8221" width="8.5703125" style="407" customWidth="1"/>
    <col min="8222" max="8236" width="0" style="407" hidden="1" customWidth="1"/>
    <col min="8237" max="8237" width="1.5703125" style="407" customWidth="1"/>
    <col min="8238" max="8238" width="9.7109375" style="407" customWidth="1"/>
    <col min="8239" max="8239" width="9.28515625" style="407" customWidth="1"/>
    <col min="8240" max="8242" width="9.7109375" style="407" customWidth="1"/>
    <col min="8243" max="8245" width="0" style="407" hidden="1" customWidth="1"/>
    <col min="8246" max="8246" width="1.5703125" style="407" customWidth="1"/>
    <col min="8247" max="8460" width="9.140625" style="407"/>
    <col min="8461" max="8461" width="2.7109375" style="407" customWidth="1"/>
    <col min="8462" max="8462" width="38.140625" style="407" customWidth="1"/>
    <col min="8463" max="8463" width="9.5703125" style="407" customWidth="1"/>
    <col min="8464" max="8464" width="9.7109375" style="407" customWidth="1"/>
    <col min="8465" max="8465" width="1.5703125" style="407" customWidth="1"/>
    <col min="8466" max="8468" width="0" style="407" hidden="1" customWidth="1"/>
    <col min="8469" max="8477" width="8.5703125" style="407" customWidth="1"/>
    <col min="8478" max="8492" width="0" style="407" hidden="1" customWidth="1"/>
    <col min="8493" max="8493" width="1.5703125" style="407" customWidth="1"/>
    <col min="8494" max="8494" width="9.7109375" style="407" customWidth="1"/>
    <col min="8495" max="8495" width="9.28515625" style="407" customWidth="1"/>
    <col min="8496" max="8498" width="9.7109375" style="407" customWidth="1"/>
    <col min="8499" max="8501" width="0" style="407" hidden="1" customWidth="1"/>
    <col min="8502" max="8502" width="1.5703125" style="407" customWidth="1"/>
    <col min="8503" max="8716" width="9.140625" style="407"/>
    <col min="8717" max="8717" width="2.7109375" style="407" customWidth="1"/>
    <col min="8718" max="8718" width="38.140625" style="407" customWidth="1"/>
    <col min="8719" max="8719" width="9.5703125" style="407" customWidth="1"/>
    <col min="8720" max="8720" width="9.7109375" style="407" customWidth="1"/>
    <col min="8721" max="8721" width="1.5703125" style="407" customWidth="1"/>
    <col min="8722" max="8724" width="0" style="407" hidden="1" customWidth="1"/>
    <col min="8725" max="8733" width="8.5703125" style="407" customWidth="1"/>
    <col min="8734" max="8748" width="0" style="407" hidden="1" customWidth="1"/>
    <col min="8749" max="8749" width="1.5703125" style="407" customWidth="1"/>
    <col min="8750" max="8750" width="9.7109375" style="407" customWidth="1"/>
    <col min="8751" max="8751" width="9.28515625" style="407" customWidth="1"/>
    <col min="8752" max="8754" width="9.7109375" style="407" customWidth="1"/>
    <col min="8755" max="8757" width="0" style="407" hidden="1" customWidth="1"/>
    <col min="8758" max="8758" width="1.5703125" style="407" customWidth="1"/>
    <col min="8759" max="8972" width="9.140625" style="407"/>
    <col min="8973" max="8973" width="2.7109375" style="407" customWidth="1"/>
    <col min="8974" max="8974" width="38.140625" style="407" customWidth="1"/>
    <col min="8975" max="8975" width="9.5703125" style="407" customWidth="1"/>
    <col min="8976" max="8976" width="9.7109375" style="407" customWidth="1"/>
    <col min="8977" max="8977" width="1.5703125" style="407" customWidth="1"/>
    <col min="8978" max="8980" width="0" style="407" hidden="1" customWidth="1"/>
    <col min="8981" max="8989" width="8.5703125" style="407" customWidth="1"/>
    <col min="8990" max="9004" width="0" style="407" hidden="1" customWidth="1"/>
    <col min="9005" max="9005" width="1.5703125" style="407" customWidth="1"/>
    <col min="9006" max="9006" width="9.7109375" style="407" customWidth="1"/>
    <col min="9007" max="9007" width="9.28515625" style="407" customWidth="1"/>
    <col min="9008" max="9010" width="9.7109375" style="407" customWidth="1"/>
    <col min="9011" max="9013" width="0" style="407" hidden="1" customWidth="1"/>
    <col min="9014" max="9014" width="1.5703125" style="407" customWidth="1"/>
    <col min="9015" max="9228" width="9.140625" style="407"/>
    <col min="9229" max="9229" width="2.7109375" style="407" customWidth="1"/>
    <col min="9230" max="9230" width="38.140625" style="407" customWidth="1"/>
    <col min="9231" max="9231" width="9.5703125" style="407" customWidth="1"/>
    <col min="9232" max="9232" width="9.7109375" style="407" customWidth="1"/>
    <col min="9233" max="9233" width="1.5703125" style="407" customWidth="1"/>
    <col min="9234" max="9236" width="0" style="407" hidden="1" customWidth="1"/>
    <col min="9237" max="9245" width="8.5703125" style="407" customWidth="1"/>
    <col min="9246" max="9260" width="0" style="407" hidden="1" customWidth="1"/>
    <col min="9261" max="9261" width="1.5703125" style="407" customWidth="1"/>
    <col min="9262" max="9262" width="9.7109375" style="407" customWidth="1"/>
    <col min="9263" max="9263" width="9.28515625" style="407" customWidth="1"/>
    <col min="9264" max="9266" width="9.7109375" style="407" customWidth="1"/>
    <col min="9267" max="9269" width="0" style="407" hidden="1" customWidth="1"/>
    <col min="9270" max="9270" width="1.5703125" style="407" customWidth="1"/>
    <col min="9271" max="9484" width="9.140625" style="407"/>
    <col min="9485" max="9485" width="2.7109375" style="407" customWidth="1"/>
    <col min="9486" max="9486" width="38.140625" style="407" customWidth="1"/>
    <col min="9487" max="9487" width="9.5703125" style="407" customWidth="1"/>
    <col min="9488" max="9488" width="9.7109375" style="407" customWidth="1"/>
    <col min="9489" max="9489" width="1.5703125" style="407" customWidth="1"/>
    <col min="9490" max="9492" width="0" style="407" hidden="1" customWidth="1"/>
    <col min="9493" max="9501" width="8.5703125" style="407" customWidth="1"/>
    <col min="9502" max="9516" width="0" style="407" hidden="1" customWidth="1"/>
    <col min="9517" max="9517" width="1.5703125" style="407" customWidth="1"/>
    <col min="9518" max="9518" width="9.7109375" style="407" customWidth="1"/>
    <col min="9519" max="9519" width="9.28515625" style="407" customWidth="1"/>
    <col min="9520" max="9522" width="9.7109375" style="407" customWidth="1"/>
    <col min="9523" max="9525" width="0" style="407" hidden="1" customWidth="1"/>
    <col min="9526" max="9526" width="1.5703125" style="407" customWidth="1"/>
    <col min="9527" max="9740" width="9.140625" style="407"/>
    <col min="9741" max="9741" width="2.7109375" style="407" customWidth="1"/>
    <col min="9742" max="9742" width="38.140625" style="407" customWidth="1"/>
    <col min="9743" max="9743" width="9.5703125" style="407" customWidth="1"/>
    <col min="9744" max="9744" width="9.7109375" style="407" customWidth="1"/>
    <col min="9745" max="9745" width="1.5703125" style="407" customWidth="1"/>
    <col min="9746" max="9748" width="0" style="407" hidden="1" customWidth="1"/>
    <col min="9749" max="9757" width="8.5703125" style="407" customWidth="1"/>
    <col min="9758" max="9772" width="0" style="407" hidden="1" customWidth="1"/>
    <col min="9773" max="9773" width="1.5703125" style="407" customWidth="1"/>
    <col min="9774" max="9774" width="9.7109375" style="407" customWidth="1"/>
    <col min="9775" max="9775" width="9.28515625" style="407" customWidth="1"/>
    <col min="9776" max="9778" width="9.7109375" style="407" customWidth="1"/>
    <col min="9779" max="9781" width="0" style="407" hidden="1" customWidth="1"/>
    <col min="9782" max="9782" width="1.5703125" style="407" customWidth="1"/>
    <col min="9783" max="9996" width="9.140625" style="407"/>
    <col min="9997" max="9997" width="2.7109375" style="407" customWidth="1"/>
    <col min="9998" max="9998" width="38.140625" style="407" customWidth="1"/>
    <col min="9999" max="9999" width="9.5703125" style="407" customWidth="1"/>
    <col min="10000" max="10000" width="9.7109375" style="407" customWidth="1"/>
    <col min="10001" max="10001" width="1.5703125" style="407" customWidth="1"/>
    <col min="10002" max="10004" width="0" style="407" hidden="1" customWidth="1"/>
    <col min="10005" max="10013" width="8.5703125" style="407" customWidth="1"/>
    <col min="10014" max="10028" width="0" style="407" hidden="1" customWidth="1"/>
    <col min="10029" max="10029" width="1.5703125" style="407" customWidth="1"/>
    <col min="10030" max="10030" width="9.7109375" style="407" customWidth="1"/>
    <col min="10031" max="10031" width="9.28515625" style="407" customWidth="1"/>
    <col min="10032" max="10034" width="9.7109375" style="407" customWidth="1"/>
    <col min="10035" max="10037" width="0" style="407" hidden="1" customWidth="1"/>
    <col min="10038" max="10038" width="1.5703125" style="407" customWidth="1"/>
    <col min="10039" max="10252" width="9.140625" style="407"/>
    <col min="10253" max="10253" width="2.7109375" style="407" customWidth="1"/>
    <col min="10254" max="10254" width="38.140625" style="407" customWidth="1"/>
    <col min="10255" max="10255" width="9.5703125" style="407" customWidth="1"/>
    <col min="10256" max="10256" width="9.7109375" style="407" customWidth="1"/>
    <col min="10257" max="10257" width="1.5703125" style="407" customWidth="1"/>
    <col min="10258" max="10260" width="0" style="407" hidden="1" customWidth="1"/>
    <col min="10261" max="10269" width="8.5703125" style="407" customWidth="1"/>
    <col min="10270" max="10284" width="0" style="407" hidden="1" customWidth="1"/>
    <col min="10285" max="10285" width="1.5703125" style="407" customWidth="1"/>
    <col min="10286" max="10286" width="9.7109375" style="407" customWidth="1"/>
    <col min="10287" max="10287" width="9.28515625" style="407" customWidth="1"/>
    <col min="10288" max="10290" width="9.7109375" style="407" customWidth="1"/>
    <col min="10291" max="10293" width="0" style="407" hidden="1" customWidth="1"/>
    <col min="10294" max="10294" width="1.5703125" style="407" customWidth="1"/>
    <col min="10295" max="10508" width="9.140625" style="407"/>
    <col min="10509" max="10509" width="2.7109375" style="407" customWidth="1"/>
    <col min="10510" max="10510" width="38.140625" style="407" customWidth="1"/>
    <col min="10511" max="10511" width="9.5703125" style="407" customWidth="1"/>
    <col min="10512" max="10512" width="9.7109375" style="407" customWidth="1"/>
    <col min="10513" max="10513" width="1.5703125" style="407" customWidth="1"/>
    <col min="10514" max="10516" width="0" style="407" hidden="1" customWidth="1"/>
    <col min="10517" max="10525" width="8.5703125" style="407" customWidth="1"/>
    <col min="10526" max="10540" width="0" style="407" hidden="1" customWidth="1"/>
    <col min="10541" max="10541" width="1.5703125" style="407" customWidth="1"/>
    <col min="10542" max="10542" width="9.7109375" style="407" customWidth="1"/>
    <col min="10543" max="10543" width="9.28515625" style="407" customWidth="1"/>
    <col min="10544" max="10546" width="9.7109375" style="407" customWidth="1"/>
    <col min="10547" max="10549" width="0" style="407" hidden="1" customWidth="1"/>
    <col min="10550" max="10550" width="1.5703125" style="407" customWidth="1"/>
    <col min="10551" max="10764" width="9.140625" style="407"/>
    <col min="10765" max="10765" width="2.7109375" style="407" customWidth="1"/>
    <col min="10766" max="10766" width="38.140625" style="407" customWidth="1"/>
    <col min="10767" max="10767" width="9.5703125" style="407" customWidth="1"/>
    <col min="10768" max="10768" width="9.7109375" style="407" customWidth="1"/>
    <col min="10769" max="10769" width="1.5703125" style="407" customWidth="1"/>
    <col min="10770" max="10772" width="0" style="407" hidden="1" customWidth="1"/>
    <col min="10773" max="10781" width="8.5703125" style="407" customWidth="1"/>
    <col min="10782" max="10796" width="0" style="407" hidden="1" customWidth="1"/>
    <col min="10797" max="10797" width="1.5703125" style="407" customWidth="1"/>
    <col min="10798" max="10798" width="9.7109375" style="407" customWidth="1"/>
    <col min="10799" max="10799" width="9.28515625" style="407" customWidth="1"/>
    <col min="10800" max="10802" width="9.7109375" style="407" customWidth="1"/>
    <col min="10803" max="10805" width="0" style="407" hidden="1" customWidth="1"/>
    <col min="10806" max="10806" width="1.5703125" style="407" customWidth="1"/>
    <col min="10807" max="11020" width="9.140625" style="407"/>
    <col min="11021" max="11021" width="2.7109375" style="407" customWidth="1"/>
    <col min="11022" max="11022" width="38.140625" style="407" customWidth="1"/>
    <col min="11023" max="11023" width="9.5703125" style="407" customWidth="1"/>
    <col min="11024" max="11024" width="9.7109375" style="407" customWidth="1"/>
    <col min="11025" max="11025" width="1.5703125" style="407" customWidth="1"/>
    <col min="11026" max="11028" width="0" style="407" hidden="1" customWidth="1"/>
    <col min="11029" max="11037" width="8.5703125" style="407" customWidth="1"/>
    <col min="11038" max="11052" width="0" style="407" hidden="1" customWidth="1"/>
    <col min="11053" max="11053" width="1.5703125" style="407" customWidth="1"/>
    <col min="11054" max="11054" width="9.7109375" style="407" customWidth="1"/>
    <col min="11055" max="11055" width="9.28515625" style="407" customWidth="1"/>
    <col min="11056" max="11058" width="9.7109375" style="407" customWidth="1"/>
    <col min="11059" max="11061" width="0" style="407" hidden="1" customWidth="1"/>
    <col min="11062" max="11062" width="1.5703125" style="407" customWidth="1"/>
    <col min="11063" max="11276" width="9.140625" style="407"/>
    <col min="11277" max="11277" width="2.7109375" style="407" customWidth="1"/>
    <col min="11278" max="11278" width="38.140625" style="407" customWidth="1"/>
    <col min="11279" max="11279" width="9.5703125" style="407" customWidth="1"/>
    <col min="11280" max="11280" width="9.7109375" style="407" customWidth="1"/>
    <col min="11281" max="11281" width="1.5703125" style="407" customWidth="1"/>
    <col min="11282" max="11284" width="0" style="407" hidden="1" customWidth="1"/>
    <col min="11285" max="11293" width="8.5703125" style="407" customWidth="1"/>
    <col min="11294" max="11308" width="0" style="407" hidden="1" customWidth="1"/>
    <col min="11309" max="11309" width="1.5703125" style="407" customWidth="1"/>
    <col min="11310" max="11310" width="9.7109375" style="407" customWidth="1"/>
    <col min="11311" max="11311" width="9.28515625" style="407" customWidth="1"/>
    <col min="11312" max="11314" width="9.7109375" style="407" customWidth="1"/>
    <col min="11315" max="11317" width="0" style="407" hidden="1" customWidth="1"/>
    <col min="11318" max="11318" width="1.5703125" style="407" customWidth="1"/>
    <col min="11319" max="11532" width="9.140625" style="407"/>
    <col min="11533" max="11533" width="2.7109375" style="407" customWidth="1"/>
    <col min="11534" max="11534" width="38.140625" style="407" customWidth="1"/>
    <col min="11535" max="11535" width="9.5703125" style="407" customWidth="1"/>
    <col min="11536" max="11536" width="9.7109375" style="407" customWidth="1"/>
    <col min="11537" max="11537" width="1.5703125" style="407" customWidth="1"/>
    <col min="11538" max="11540" width="0" style="407" hidden="1" customWidth="1"/>
    <col min="11541" max="11549" width="8.5703125" style="407" customWidth="1"/>
    <col min="11550" max="11564" width="0" style="407" hidden="1" customWidth="1"/>
    <col min="11565" max="11565" width="1.5703125" style="407" customWidth="1"/>
    <col min="11566" max="11566" width="9.7109375" style="407" customWidth="1"/>
    <col min="11567" max="11567" width="9.28515625" style="407" customWidth="1"/>
    <col min="11568" max="11570" width="9.7109375" style="407" customWidth="1"/>
    <col min="11571" max="11573" width="0" style="407" hidden="1" customWidth="1"/>
    <col min="11574" max="11574" width="1.5703125" style="407" customWidth="1"/>
    <col min="11575" max="11788" width="9.140625" style="407"/>
    <col min="11789" max="11789" width="2.7109375" style="407" customWidth="1"/>
    <col min="11790" max="11790" width="38.140625" style="407" customWidth="1"/>
    <col min="11791" max="11791" width="9.5703125" style="407" customWidth="1"/>
    <col min="11792" max="11792" width="9.7109375" style="407" customWidth="1"/>
    <col min="11793" max="11793" width="1.5703125" style="407" customWidth="1"/>
    <col min="11794" max="11796" width="0" style="407" hidden="1" customWidth="1"/>
    <col min="11797" max="11805" width="8.5703125" style="407" customWidth="1"/>
    <col min="11806" max="11820" width="0" style="407" hidden="1" customWidth="1"/>
    <col min="11821" max="11821" width="1.5703125" style="407" customWidth="1"/>
    <col min="11822" max="11822" width="9.7109375" style="407" customWidth="1"/>
    <col min="11823" max="11823" width="9.28515625" style="407" customWidth="1"/>
    <col min="11824" max="11826" width="9.7109375" style="407" customWidth="1"/>
    <col min="11827" max="11829" width="0" style="407" hidden="1" customWidth="1"/>
    <col min="11830" max="11830" width="1.5703125" style="407" customWidth="1"/>
    <col min="11831" max="12044" width="9.140625" style="407"/>
    <col min="12045" max="12045" width="2.7109375" style="407" customWidth="1"/>
    <col min="12046" max="12046" width="38.140625" style="407" customWidth="1"/>
    <col min="12047" max="12047" width="9.5703125" style="407" customWidth="1"/>
    <col min="12048" max="12048" width="9.7109375" style="407" customWidth="1"/>
    <col min="12049" max="12049" width="1.5703125" style="407" customWidth="1"/>
    <col min="12050" max="12052" width="0" style="407" hidden="1" customWidth="1"/>
    <col min="12053" max="12061" width="8.5703125" style="407" customWidth="1"/>
    <col min="12062" max="12076" width="0" style="407" hidden="1" customWidth="1"/>
    <col min="12077" max="12077" width="1.5703125" style="407" customWidth="1"/>
    <col min="12078" max="12078" width="9.7109375" style="407" customWidth="1"/>
    <col min="12079" max="12079" width="9.28515625" style="407" customWidth="1"/>
    <col min="12080" max="12082" width="9.7109375" style="407" customWidth="1"/>
    <col min="12083" max="12085" width="0" style="407" hidden="1" customWidth="1"/>
    <col min="12086" max="12086" width="1.5703125" style="407" customWidth="1"/>
    <col min="12087" max="12300" width="9.140625" style="407"/>
    <col min="12301" max="12301" width="2.7109375" style="407" customWidth="1"/>
    <col min="12302" max="12302" width="38.140625" style="407" customWidth="1"/>
    <col min="12303" max="12303" width="9.5703125" style="407" customWidth="1"/>
    <col min="12304" max="12304" width="9.7109375" style="407" customWidth="1"/>
    <col min="12305" max="12305" width="1.5703125" style="407" customWidth="1"/>
    <col min="12306" max="12308" width="0" style="407" hidden="1" customWidth="1"/>
    <col min="12309" max="12317" width="8.5703125" style="407" customWidth="1"/>
    <col min="12318" max="12332" width="0" style="407" hidden="1" customWidth="1"/>
    <col min="12333" max="12333" width="1.5703125" style="407" customWidth="1"/>
    <col min="12334" max="12334" width="9.7109375" style="407" customWidth="1"/>
    <col min="12335" max="12335" width="9.28515625" style="407" customWidth="1"/>
    <col min="12336" max="12338" width="9.7109375" style="407" customWidth="1"/>
    <col min="12339" max="12341" width="0" style="407" hidden="1" customWidth="1"/>
    <col min="12342" max="12342" width="1.5703125" style="407" customWidth="1"/>
    <col min="12343" max="12556" width="9.140625" style="407"/>
    <col min="12557" max="12557" width="2.7109375" style="407" customWidth="1"/>
    <col min="12558" max="12558" width="38.140625" style="407" customWidth="1"/>
    <col min="12559" max="12559" width="9.5703125" style="407" customWidth="1"/>
    <col min="12560" max="12560" width="9.7109375" style="407" customWidth="1"/>
    <col min="12561" max="12561" width="1.5703125" style="407" customWidth="1"/>
    <col min="12562" max="12564" width="0" style="407" hidden="1" customWidth="1"/>
    <col min="12565" max="12573" width="8.5703125" style="407" customWidth="1"/>
    <col min="12574" max="12588" width="0" style="407" hidden="1" customWidth="1"/>
    <col min="12589" max="12589" width="1.5703125" style="407" customWidth="1"/>
    <col min="12590" max="12590" width="9.7109375" style="407" customWidth="1"/>
    <col min="12591" max="12591" width="9.28515625" style="407" customWidth="1"/>
    <col min="12592" max="12594" width="9.7109375" style="407" customWidth="1"/>
    <col min="12595" max="12597" width="0" style="407" hidden="1" customWidth="1"/>
    <col min="12598" max="12598" width="1.5703125" style="407" customWidth="1"/>
    <col min="12599" max="12812" width="9.140625" style="407"/>
    <col min="12813" max="12813" width="2.7109375" style="407" customWidth="1"/>
    <col min="12814" max="12814" width="38.140625" style="407" customWidth="1"/>
    <col min="12815" max="12815" width="9.5703125" style="407" customWidth="1"/>
    <col min="12816" max="12816" width="9.7109375" style="407" customWidth="1"/>
    <col min="12817" max="12817" width="1.5703125" style="407" customWidth="1"/>
    <col min="12818" max="12820" width="0" style="407" hidden="1" customWidth="1"/>
    <col min="12821" max="12829" width="8.5703125" style="407" customWidth="1"/>
    <col min="12830" max="12844" width="0" style="407" hidden="1" customWidth="1"/>
    <col min="12845" max="12845" width="1.5703125" style="407" customWidth="1"/>
    <col min="12846" max="12846" width="9.7109375" style="407" customWidth="1"/>
    <col min="12847" max="12847" width="9.28515625" style="407" customWidth="1"/>
    <col min="12848" max="12850" width="9.7109375" style="407" customWidth="1"/>
    <col min="12851" max="12853" width="0" style="407" hidden="1" customWidth="1"/>
    <col min="12854" max="12854" width="1.5703125" style="407" customWidth="1"/>
    <col min="12855" max="13068" width="9.140625" style="407"/>
    <col min="13069" max="13069" width="2.7109375" style="407" customWidth="1"/>
    <col min="13070" max="13070" width="38.140625" style="407" customWidth="1"/>
    <col min="13071" max="13071" width="9.5703125" style="407" customWidth="1"/>
    <col min="13072" max="13072" width="9.7109375" style="407" customWidth="1"/>
    <col min="13073" max="13073" width="1.5703125" style="407" customWidth="1"/>
    <col min="13074" max="13076" width="0" style="407" hidden="1" customWidth="1"/>
    <col min="13077" max="13085" width="8.5703125" style="407" customWidth="1"/>
    <col min="13086" max="13100" width="0" style="407" hidden="1" customWidth="1"/>
    <col min="13101" max="13101" width="1.5703125" style="407" customWidth="1"/>
    <col min="13102" max="13102" width="9.7109375" style="407" customWidth="1"/>
    <col min="13103" max="13103" width="9.28515625" style="407" customWidth="1"/>
    <col min="13104" max="13106" width="9.7109375" style="407" customWidth="1"/>
    <col min="13107" max="13109" width="0" style="407" hidden="1" customWidth="1"/>
    <col min="13110" max="13110" width="1.5703125" style="407" customWidth="1"/>
    <col min="13111" max="13324" width="9.140625" style="407"/>
    <col min="13325" max="13325" width="2.7109375" style="407" customWidth="1"/>
    <col min="13326" max="13326" width="38.140625" style="407" customWidth="1"/>
    <col min="13327" max="13327" width="9.5703125" style="407" customWidth="1"/>
    <col min="13328" max="13328" width="9.7109375" style="407" customWidth="1"/>
    <col min="13329" max="13329" width="1.5703125" style="407" customWidth="1"/>
    <col min="13330" max="13332" width="0" style="407" hidden="1" customWidth="1"/>
    <col min="13333" max="13341" width="8.5703125" style="407" customWidth="1"/>
    <col min="13342" max="13356" width="0" style="407" hidden="1" customWidth="1"/>
    <col min="13357" max="13357" width="1.5703125" style="407" customWidth="1"/>
    <col min="13358" max="13358" width="9.7109375" style="407" customWidth="1"/>
    <col min="13359" max="13359" width="9.28515625" style="407" customWidth="1"/>
    <col min="13360" max="13362" width="9.7109375" style="407" customWidth="1"/>
    <col min="13363" max="13365" width="0" style="407" hidden="1" customWidth="1"/>
    <col min="13366" max="13366" width="1.5703125" style="407" customWidth="1"/>
    <col min="13367" max="13580" width="9.140625" style="407"/>
    <col min="13581" max="13581" width="2.7109375" style="407" customWidth="1"/>
    <col min="13582" max="13582" width="38.140625" style="407" customWidth="1"/>
    <col min="13583" max="13583" width="9.5703125" style="407" customWidth="1"/>
    <col min="13584" max="13584" width="9.7109375" style="407" customWidth="1"/>
    <col min="13585" max="13585" width="1.5703125" style="407" customWidth="1"/>
    <col min="13586" max="13588" width="0" style="407" hidden="1" customWidth="1"/>
    <col min="13589" max="13597" width="8.5703125" style="407" customWidth="1"/>
    <col min="13598" max="13612" width="0" style="407" hidden="1" customWidth="1"/>
    <col min="13613" max="13613" width="1.5703125" style="407" customWidth="1"/>
    <col min="13614" max="13614" width="9.7109375" style="407" customWidth="1"/>
    <col min="13615" max="13615" width="9.28515625" style="407" customWidth="1"/>
    <col min="13616" max="13618" width="9.7109375" style="407" customWidth="1"/>
    <col min="13619" max="13621" width="0" style="407" hidden="1" customWidth="1"/>
    <col min="13622" max="13622" width="1.5703125" style="407" customWidth="1"/>
    <col min="13623" max="13836" width="9.140625" style="407"/>
    <col min="13837" max="13837" width="2.7109375" style="407" customWidth="1"/>
    <col min="13838" max="13838" width="38.140625" style="407" customWidth="1"/>
    <col min="13839" max="13839" width="9.5703125" style="407" customWidth="1"/>
    <col min="13840" max="13840" width="9.7109375" style="407" customWidth="1"/>
    <col min="13841" max="13841" width="1.5703125" style="407" customWidth="1"/>
    <col min="13842" max="13844" width="0" style="407" hidden="1" customWidth="1"/>
    <col min="13845" max="13853" width="8.5703125" style="407" customWidth="1"/>
    <col min="13854" max="13868" width="0" style="407" hidden="1" customWidth="1"/>
    <col min="13869" max="13869" width="1.5703125" style="407" customWidth="1"/>
    <col min="13870" max="13870" width="9.7109375" style="407" customWidth="1"/>
    <col min="13871" max="13871" width="9.28515625" style="407" customWidth="1"/>
    <col min="13872" max="13874" width="9.7109375" style="407" customWidth="1"/>
    <col min="13875" max="13877" width="0" style="407" hidden="1" customWidth="1"/>
    <col min="13878" max="13878" width="1.5703125" style="407" customWidth="1"/>
    <col min="13879" max="14092" width="9.140625" style="407"/>
    <col min="14093" max="14093" width="2.7109375" style="407" customWidth="1"/>
    <col min="14094" max="14094" width="38.140625" style="407" customWidth="1"/>
    <col min="14095" max="14095" width="9.5703125" style="407" customWidth="1"/>
    <col min="14096" max="14096" width="9.7109375" style="407" customWidth="1"/>
    <col min="14097" max="14097" width="1.5703125" style="407" customWidth="1"/>
    <col min="14098" max="14100" width="0" style="407" hidden="1" customWidth="1"/>
    <col min="14101" max="14109" width="8.5703125" style="407" customWidth="1"/>
    <col min="14110" max="14124" width="0" style="407" hidden="1" customWidth="1"/>
    <col min="14125" max="14125" width="1.5703125" style="407" customWidth="1"/>
    <col min="14126" max="14126" width="9.7109375" style="407" customWidth="1"/>
    <col min="14127" max="14127" width="9.28515625" style="407" customWidth="1"/>
    <col min="14128" max="14130" width="9.7109375" style="407" customWidth="1"/>
    <col min="14131" max="14133" width="0" style="407" hidden="1" customWidth="1"/>
    <col min="14134" max="14134" width="1.5703125" style="407" customWidth="1"/>
    <col min="14135" max="14348" width="9.140625" style="407"/>
    <col min="14349" max="14349" width="2.7109375" style="407" customWidth="1"/>
    <col min="14350" max="14350" width="38.140625" style="407" customWidth="1"/>
    <col min="14351" max="14351" width="9.5703125" style="407" customWidth="1"/>
    <col min="14352" max="14352" width="9.7109375" style="407" customWidth="1"/>
    <col min="14353" max="14353" width="1.5703125" style="407" customWidth="1"/>
    <col min="14354" max="14356" width="0" style="407" hidden="1" customWidth="1"/>
    <col min="14357" max="14365" width="8.5703125" style="407" customWidth="1"/>
    <col min="14366" max="14380" width="0" style="407" hidden="1" customWidth="1"/>
    <col min="14381" max="14381" width="1.5703125" style="407" customWidth="1"/>
    <col min="14382" max="14382" width="9.7109375" style="407" customWidth="1"/>
    <col min="14383" max="14383" width="9.28515625" style="407" customWidth="1"/>
    <col min="14384" max="14386" width="9.7109375" style="407" customWidth="1"/>
    <col min="14387" max="14389" width="0" style="407" hidden="1" customWidth="1"/>
    <col min="14390" max="14390" width="1.5703125" style="407" customWidth="1"/>
    <col min="14391" max="14604" width="9.140625" style="407"/>
    <col min="14605" max="14605" width="2.7109375" style="407" customWidth="1"/>
    <col min="14606" max="14606" width="38.140625" style="407" customWidth="1"/>
    <col min="14607" max="14607" width="9.5703125" style="407" customWidth="1"/>
    <col min="14608" max="14608" width="9.7109375" style="407" customWidth="1"/>
    <col min="14609" max="14609" width="1.5703125" style="407" customWidth="1"/>
    <col min="14610" max="14612" width="0" style="407" hidden="1" customWidth="1"/>
    <col min="14613" max="14621" width="8.5703125" style="407" customWidth="1"/>
    <col min="14622" max="14636" width="0" style="407" hidden="1" customWidth="1"/>
    <col min="14637" max="14637" width="1.5703125" style="407" customWidth="1"/>
    <col min="14638" max="14638" width="9.7109375" style="407" customWidth="1"/>
    <col min="14639" max="14639" width="9.28515625" style="407" customWidth="1"/>
    <col min="14640" max="14642" width="9.7109375" style="407" customWidth="1"/>
    <col min="14643" max="14645" width="0" style="407" hidden="1" customWidth="1"/>
    <col min="14646" max="14646" width="1.5703125" style="407" customWidth="1"/>
    <col min="14647" max="14860" width="9.140625" style="407"/>
    <col min="14861" max="14861" width="2.7109375" style="407" customWidth="1"/>
    <col min="14862" max="14862" width="38.140625" style="407" customWidth="1"/>
    <col min="14863" max="14863" width="9.5703125" style="407" customWidth="1"/>
    <col min="14864" max="14864" width="9.7109375" style="407" customWidth="1"/>
    <col min="14865" max="14865" width="1.5703125" style="407" customWidth="1"/>
    <col min="14866" max="14868" width="0" style="407" hidden="1" customWidth="1"/>
    <col min="14869" max="14877" width="8.5703125" style="407" customWidth="1"/>
    <col min="14878" max="14892" width="0" style="407" hidden="1" customWidth="1"/>
    <col min="14893" max="14893" width="1.5703125" style="407" customWidth="1"/>
    <col min="14894" max="14894" width="9.7109375" style="407" customWidth="1"/>
    <col min="14895" max="14895" width="9.28515625" style="407" customWidth="1"/>
    <col min="14896" max="14898" width="9.7109375" style="407" customWidth="1"/>
    <col min="14899" max="14901" width="0" style="407" hidden="1" customWidth="1"/>
    <col min="14902" max="14902" width="1.5703125" style="407" customWidth="1"/>
    <col min="14903" max="15116" width="9.140625" style="407"/>
    <col min="15117" max="15117" width="2.7109375" style="407" customWidth="1"/>
    <col min="15118" max="15118" width="38.140625" style="407" customWidth="1"/>
    <col min="15119" max="15119" width="9.5703125" style="407" customWidth="1"/>
    <col min="15120" max="15120" width="9.7109375" style="407" customWidth="1"/>
    <col min="15121" max="15121" width="1.5703125" style="407" customWidth="1"/>
    <col min="15122" max="15124" width="0" style="407" hidden="1" customWidth="1"/>
    <col min="15125" max="15133" width="8.5703125" style="407" customWidth="1"/>
    <col min="15134" max="15148" width="0" style="407" hidden="1" customWidth="1"/>
    <col min="15149" max="15149" width="1.5703125" style="407" customWidth="1"/>
    <col min="15150" max="15150" width="9.7109375" style="407" customWidth="1"/>
    <col min="15151" max="15151" width="9.28515625" style="407" customWidth="1"/>
    <col min="15152" max="15154" width="9.7109375" style="407" customWidth="1"/>
    <col min="15155" max="15157" width="0" style="407" hidden="1" customWidth="1"/>
    <col min="15158" max="15158" width="1.5703125" style="407" customWidth="1"/>
    <col min="15159" max="15372" width="9.140625" style="407"/>
    <col min="15373" max="15373" width="2.7109375" style="407" customWidth="1"/>
    <col min="15374" max="15374" width="38.140625" style="407" customWidth="1"/>
    <col min="15375" max="15375" width="9.5703125" style="407" customWidth="1"/>
    <col min="15376" max="15376" width="9.7109375" style="407" customWidth="1"/>
    <col min="15377" max="15377" width="1.5703125" style="407" customWidth="1"/>
    <col min="15378" max="15380" width="0" style="407" hidden="1" customWidth="1"/>
    <col min="15381" max="15389" width="8.5703125" style="407" customWidth="1"/>
    <col min="15390" max="15404" width="0" style="407" hidden="1" customWidth="1"/>
    <col min="15405" max="15405" width="1.5703125" style="407" customWidth="1"/>
    <col min="15406" max="15406" width="9.7109375" style="407" customWidth="1"/>
    <col min="15407" max="15407" width="9.28515625" style="407" customWidth="1"/>
    <col min="15408" max="15410" width="9.7109375" style="407" customWidth="1"/>
    <col min="15411" max="15413" width="0" style="407" hidden="1" customWidth="1"/>
    <col min="15414" max="15414" width="1.5703125" style="407" customWidth="1"/>
    <col min="15415" max="15628" width="9.140625" style="407"/>
    <col min="15629" max="15629" width="2.7109375" style="407" customWidth="1"/>
    <col min="15630" max="15630" width="38.140625" style="407" customWidth="1"/>
    <col min="15631" max="15631" width="9.5703125" style="407" customWidth="1"/>
    <col min="15632" max="15632" width="9.7109375" style="407" customWidth="1"/>
    <col min="15633" max="15633" width="1.5703125" style="407" customWidth="1"/>
    <col min="15634" max="15636" width="0" style="407" hidden="1" customWidth="1"/>
    <col min="15637" max="15645" width="8.5703125" style="407" customWidth="1"/>
    <col min="15646" max="15660" width="0" style="407" hidden="1" customWidth="1"/>
    <col min="15661" max="15661" width="1.5703125" style="407" customWidth="1"/>
    <col min="15662" max="15662" width="9.7109375" style="407" customWidth="1"/>
    <col min="15663" max="15663" width="9.28515625" style="407" customWidth="1"/>
    <col min="15664" max="15666" width="9.7109375" style="407" customWidth="1"/>
    <col min="15667" max="15669" width="0" style="407" hidden="1" customWidth="1"/>
    <col min="15670" max="15670" width="1.5703125" style="407" customWidth="1"/>
    <col min="15671" max="15884" width="9.140625" style="407"/>
    <col min="15885" max="15885" width="2.7109375" style="407" customWidth="1"/>
    <col min="15886" max="15886" width="38.140625" style="407" customWidth="1"/>
    <col min="15887" max="15887" width="9.5703125" style="407" customWidth="1"/>
    <col min="15888" max="15888" width="9.7109375" style="407" customWidth="1"/>
    <col min="15889" max="15889" width="1.5703125" style="407" customWidth="1"/>
    <col min="15890" max="15892" width="0" style="407" hidden="1" customWidth="1"/>
    <col min="15893" max="15901" width="8.5703125" style="407" customWidth="1"/>
    <col min="15902" max="15916" width="0" style="407" hidden="1" customWidth="1"/>
    <col min="15917" max="15917" width="1.5703125" style="407" customWidth="1"/>
    <col min="15918" max="15918" width="9.7109375" style="407" customWidth="1"/>
    <col min="15919" max="15919" width="9.28515625" style="407" customWidth="1"/>
    <col min="15920" max="15922" width="9.7109375" style="407" customWidth="1"/>
    <col min="15923" max="15925" width="0" style="407" hidden="1" customWidth="1"/>
    <col min="15926" max="15926" width="1.5703125" style="407" customWidth="1"/>
    <col min="15927" max="16140" width="9.140625" style="407"/>
    <col min="16141" max="16141" width="2.7109375" style="407" customWidth="1"/>
    <col min="16142" max="16142" width="38.140625" style="407" customWidth="1"/>
    <col min="16143" max="16143" width="9.5703125" style="407" customWidth="1"/>
    <col min="16144" max="16144" width="9.7109375" style="407" customWidth="1"/>
    <col min="16145" max="16145" width="1.5703125" style="407" customWidth="1"/>
    <col min="16146" max="16148" width="0" style="407" hidden="1" customWidth="1"/>
    <col min="16149" max="16157" width="8.5703125" style="407" customWidth="1"/>
    <col min="16158" max="16172" width="0" style="407" hidden="1" customWidth="1"/>
    <col min="16173" max="16173" width="1.5703125" style="407" customWidth="1"/>
    <col min="16174" max="16174" width="9.7109375" style="407" customWidth="1"/>
    <col min="16175" max="16175" width="9.28515625" style="407" customWidth="1"/>
    <col min="16176" max="16178" width="9.7109375" style="407" customWidth="1"/>
    <col min="16179" max="16181" width="0" style="407" hidden="1" customWidth="1"/>
    <col min="16182" max="16182" width="1.5703125" style="407" customWidth="1"/>
    <col min="16183" max="16384" width="9.140625" style="407"/>
  </cols>
  <sheetData>
    <row r="5" spans="1:61" x14ac:dyDescent="0.2">
      <c r="A5" s="3"/>
      <c r="B5" s="3"/>
      <c r="C5" s="3"/>
      <c r="D5" s="3"/>
      <c r="AC5" s="3"/>
      <c r="AD5" s="3"/>
      <c r="AE5" s="3"/>
    </row>
    <row r="6" spans="1:61" ht="18" customHeight="1" x14ac:dyDescent="0.2">
      <c r="A6" s="81" t="s">
        <v>251</v>
      </c>
      <c r="B6" s="3"/>
      <c r="C6" s="3"/>
      <c r="D6" s="3"/>
      <c r="F6" s="352"/>
      <c r="G6" s="352"/>
      <c r="J6" s="352"/>
      <c r="K6" s="352"/>
      <c r="N6" s="352"/>
      <c r="O6" s="352"/>
      <c r="AC6" s="3"/>
      <c r="AD6" s="3"/>
      <c r="AE6" s="3"/>
      <c r="AM6" s="352"/>
      <c r="AN6" s="352"/>
    </row>
    <row r="7" spans="1:61" ht="18" customHeight="1" x14ac:dyDescent="0.2">
      <c r="A7" s="81" t="s">
        <v>216</v>
      </c>
      <c r="B7" s="3"/>
      <c r="C7" s="3"/>
      <c r="D7" s="3"/>
      <c r="AC7" s="3"/>
      <c r="AD7" s="3"/>
      <c r="AE7" s="3"/>
    </row>
    <row r="8" spans="1:61" s="480" customFormat="1" ht="14.25" x14ac:dyDescent="0.2">
      <c r="A8" s="510" t="s">
        <v>307</v>
      </c>
      <c r="B8" s="481"/>
      <c r="C8" s="481"/>
      <c r="D8" s="481"/>
      <c r="E8" s="481"/>
      <c r="F8" s="481"/>
      <c r="G8" s="481"/>
      <c r="H8" s="481"/>
      <c r="I8" s="481"/>
      <c r="J8" s="481"/>
      <c r="K8" s="481"/>
      <c r="L8" s="481"/>
      <c r="M8" s="481"/>
      <c r="N8" s="481"/>
      <c r="O8" s="481"/>
      <c r="P8" s="481"/>
      <c r="Q8" s="481"/>
      <c r="R8" s="481"/>
      <c r="S8" s="481"/>
      <c r="T8" s="481"/>
      <c r="U8" s="481"/>
      <c r="V8" s="481"/>
      <c r="W8" s="481"/>
      <c r="X8" s="481"/>
      <c r="Y8" s="481"/>
      <c r="Z8" s="481"/>
      <c r="AA8" s="481"/>
      <c r="AB8" s="481"/>
      <c r="AC8" s="481"/>
      <c r="AD8" s="481"/>
      <c r="AE8" s="481"/>
      <c r="AO8" s="64"/>
      <c r="AP8" s="64"/>
      <c r="AR8" s="64"/>
      <c r="AS8" s="64"/>
      <c r="AT8" s="64"/>
    </row>
    <row r="9" spans="1:61" ht="9.75" customHeight="1" x14ac:dyDescent="0.2">
      <c r="A9" s="2"/>
      <c r="B9" s="2"/>
      <c r="C9" s="2"/>
      <c r="D9" s="2"/>
      <c r="E9" s="2"/>
      <c r="F9" s="2"/>
      <c r="G9" s="2"/>
      <c r="H9" s="2"/>
      <c r="I9" s="2"/>
      <c r="J9" s="2"/>
      <c r="K9" s="2"/>
      <c r="L9" s="2"/>
      <c r="M9" s="2"/>
      <c r="N9" s="281"/>
      <c r="O9" s="2"/>
      <c r="P9" s="2"/>
      <c r="Q9" s="2"/>
      <c r="R9" s="281"/>
      <c r="S9" s="2"/>
      <c r="T9" s="281"/>
      <c r="U9" s="2"/>
      <c r="V9" s="281"/>
      <c r="W9" s="2"/>
      <c r="X9" s="281"/>
      <c r="Y9" s="2"/>
      <c r="Z9" s="281"/>
      <c r="AA9" s="2"/>
      <c r="AB9" s="2"/>
      <c r="AC9" s="3"/>
      <c r="AD9" s="3"/>
      <c r="AE9" s="3"/>
      <c r="AO9" s="366"/>
      <c r="AP9" s="366"/>
      <c r="AR9" s="366"/>
      <c r="AS9" s="366"/>
      <c r="AT9" s="366"/>
      <c r="AY9" s="3"/>
      <c r="AZ9" s="3"/>
      <c r="BA9" s="3"/>
    </row>
    <row r="10" spans="1:61" x14ac:dyDescent="0.2">
      <c r="A10" s="5" t="s">
        <v>1</v>
      </c>
      <c r="B10" s="6"/>
      <c r="C10" s="3204" t="s">
        <v>312</v>
      </c>
      <c r="D10" s="3205"/>
      <c r="E10" s="184"/>
      <c r="F10" s="273"/>
      <c r="G10" s="273"/>
      <c r="H10" s="273"/>
      <c r="I10" s="17"/>
      <c r="J10" s="273"/>
      <c r="K10" s="273"/>
      <c r="L10" s="273"/>
      <c r="M10" s="17"/>
      <c r="N10" s="15"/>
      <c r="O10" s="16"/>
      <c r="P10" s="273"/>
      <c r="Q10" s="17"/>
      <c r="R10" s="15"/>
      <c r="S10" s="16"/>
      <c r="T10" s="273"/>
      <c r="U10" s="17"/>
      <c r="V10" s="481"/>
      <c r="W10" s="16"/>
      <c r="X10" s="2"/>
      <c r="Y10" s="17"/>
      <c r="Z10" s="16"/>
      <c r="AA10" s="481"/>
      <c r="AB10" s="273"/>
      <c r="AC10" s="17"/>
      <c r="AD10" s="16"/>
      <c r="AE10" s="16"/>
      <c r="AF10" s="16"/>
      <c r="AG10" s="16"/>
      <c r="AH10" s="20"/>
      <c r="AI10" s="17"/>
      <c r="AJ10" s="17"/>
      <c r="AK10" s="17"/>
      <c r="AL10" s="22"/>
      <c r="AM10" s="445" t="s">
        <v>299</v>
      </c>
      <c r="AN10" s="433"/>
      <c r="AO10" s="433" t="s">
        <v>284</v>
      </c>
      <c r="AP10" s="434"/>
      <c r="AQ10" s="13"/>
      <c r="AR10" s="530"/>
      <c r="AS10" s="464"/>
      <c r="AT10" s="448"/>
      <c r="AU10" s="46"/>
      <c r="AV10" s="46"/>
      <c r="AW10" s="15"/>
      <c r="AX10" s="20"/>
      <c r="AY10" s="46"/>
      <c r="AZ10" s="46"/>
      <c r="BA10" s="464"/>
      <c r="BB10" s="23"/>
    </row>
    <row r="11" spans="1:61" ht="13.5" x14ac:dyDescent="0.2">
      <c r="A11" s="5" t="s">
        <v>2</v>
      </c>
      <c r="B11" s="6"/>
      <c r="C11" s="3201" t="s">
        <v>38</v>
      </c>
      <c r="D11" s="3202"/>
      <c r="E11" s="355"/>
      <c r="F11" s="19" t="s">
        <v>315</v>
      </c>
      <c r="G11" s="19" t="s">
        <v>314</v>
      </c>
      <c r="H11" s="19" t="s">
        <v>313</v>
      </c>
      <c r="I11" s="12" t="s">
        <v>311</v>
      </c>
      <c r="J11" s="19" t="s">
        <v>270</v>
      </c>
      <c r="K11" s="19" t="s">
        <v>271</v>
      </c>
      <c r="L11" s="19" t="s">
        <v>272</v>
      </c>
      <c r="M11" s="12" t="s">
        <v>273</v>
      </c>
      <c r="N11" s="18" t="s">
        <v>223</v>
      </c>
      <c r="O11" s="19" t="s">
        <v>224</v>
      </c>
      <c r="P11" s="19" t="s">
        <v>225</v>
      </c>
      <c r="Q11" s="12" t="s">
        <v>222</v>
      </c>
      <c r="R11" s="18" t="s">
        <v>189</v>
      </c>
      <c r="S11" s="19" t="s">
        <v>190</v>
      </c>
      <c r="T11" s="19" t="s">
        <v>191</v>
      </c>
      <c r="U11" s="12" t="s">
        <v>192</v>
      </c>
      <c r="V11" s="19" t="s">
        <v>121</v>
      </c>
      <c r="W11" s="19" t="s">
        <v>120</v>
      </c>
      <c r="X11" s="19" t="s">
        <v>119</v>
      </c>
      <c r="Y11" s="12" t="s">
        <v>118</v>
      </c>
      <c r="Z11" s="19" t="s">
        <v>81</v>
      </c>
      <c r="AA11" s="19" t="s">
        <v>82</v>
      </c>
      <c r="AB11" s="19" t="s">
        <v>83</v>
      </c>
      <c r="AC11" s="12" t="s">
        <v>29</v>
      </c>
      <c r="AD11" s="19" t="s">
        <v>30</v>
      </c>
      <c r="AE11" s="19" t="s">
        <v>31</v>
      </c>
      <c r="AF11" s="19" t="s">
        <v>32</v>
      </c>
      <c r="AG11" s="19" t="s">
        <v>33</v>
      </c>
      <c r="AH11" s="21" t="s">
        <v>34</v>
      </c>
      <c r="AI11" s="12" t="s">
        <v>35</v>
      </c>
      <c r="AJ11" s="12" t="s">
        <v>36</v>
      </c>
      <c r="AK11" s="12" t="s">
        <v>37</v>
      </c>
      <c r="AL11" s="184"/>
      <c r="AM11" s="19" t="s">
        <v>271</v>
      </c>
      <c r="AN11" s="19" t="s">
        <v>224</v>
      </c>
      <c r="AO11" s="3206" t="s">
        <v>38</v>
      </c>
      <c r="AP11" s="3207"/>
      <c r="AQ11" s="450"/>
      <c r="AR11" s="18" t="s">
        <v>275</v>
      </c>
      <c r="AS11" s="18" t="s">
        <v>227</v>
      </c>
      <c r="AT11" s="18" t="s">
        <v>123</v>
      </c>
      <c r="AU11" s="18" t="s">
        <v>122</v>
      </c>
      <c r="AV11" s="18" t="s">
        <v>42</v>
      </c>
      <c r="AW11" s="18" t="s">
        <v>39</v>
      </c>
      <c r="AX11" s="21" t="s">
        <v>40</v>
      </c>
      <c r="AY11" s="21" t="s">
        <v>142</v>
      </c>
      <c r="AZ11" s="21" t="s">
        <v>143</v>
      </c>
      <c r="BA11" s="18" t="s">
        <v>144</v>
      </c>
      <c r="BB11" s="23"/>
      <c r="BC11" s="3"/>
      <c r="BD11" s="3"/>
      <c r="BG11" s="3"/>
      <c r="BH11" s="3"/>
      <c r="BI11" s="3"/>
    </row>
    <row r="12" spans="1:61" x14ac:dyDescent="0.2">
      <c r="A12" s="5"/>
      <c r="B12" s="6"/>
      <c r="C12" s="418"/>
      <c r="D12" s="451"/>
      <c r="E12" s="449"/>
      <c r="F12" s="421" t="s">
        <v>240</v>
      </c>
      <c r="G12" s="421" t="s">
        <v>240</v>
      </c>
      <c r="H12" s="421" t="s">
        <v>240</v>
      </c>
      <c r="I12" s="422" t="s">
        <v>240</v>
      </c>
      <c r="J12" s="421" t="s">
        <v>240</v>
      </c>
      <c r="K12" s="421" t="s">
        <v>240</v>
      </c>
      <c r="L12" s="421" t="s">
        <v>240</v>
      </c>
      <c r="M12" s="422" t="s">
        <v>240</v>
      </c>
      <c r="N12" s="420" t="s">
        <v>240</v>
      </c>
      <c r="O12" s="421" t="s">
        <v>240</v>
      </c>
      <c r="P12" s="421" t="s">
        <v>240</v>
      </c>
      <c r="Q12" s="422" t="s">
        <v>240</v>
      </c>
      <c r="R12" s="420" t="s">
        <v>240</v>
      </c>
      <c r="S12" s="421" t="s">
        <v>240</v>
      </c>
      <c r="T12" s="421" t="s">
        <v>240</v>
      </c>
      <c r="U12" s="422" t="s">
        <v>240</v>
      </c>
      <c r="V12" s="420" t="s">
        <v>241</v>
      </c>
      <c r="W12" s="421" t="s">
        <v>241</v>
      </c>
      <c r="X12" s="421" t="s">
        <v>241</v>
      </c>
      <c r="Y12" s="422" t="s">
        <v>241</v>
      </c>
      <c r="Z12" s="13"/>
      <c r="AA12" s="13"/>
      <c r="AB12" s="13"/>
      <c r="AC12" s="159"/>
      <c r="AD12" s="13"/>
      <c r="AE12" s="13"/>
      <c r="AF12" s="13"/>
      <c r="AG12" s="13"/>
      <c r="AH12" s="184"/>
      <c r="AI12" s="159"/>
      <c r="AJ12" s="159"/>
      <c r="AK12" s="159"/>
      <c r="AL12" s="184"/>
      <c r="AM12" s="421" t="s">
        <v>240</v>
      </c>
      <c r="AN12" s="421" t="s">
        <v>240</v>
      </c>
      <c r="AO12" s="435"/>
      <c r="AP12" s="436"/>
      <c r="AQ12" s="450"/>
      <c r="AR12" s="420" t="s">
        <v>240</v>
      </c>
      <c r="AS12" s="420" t="s">
        <v>240</v>
      </c>
      <c r="AT12" s="420" t="s">
        <v>240</v>
      </c>
      <c r="AU12" s="420" t="s">
        <v>241</v>
      </c>
      <c r="AV12" s="420" t="s">
        <v>241</v>
      </c>
      <c r="AW12" s="420" t="s">
        <v>241</v>
      </c>
      <c r="AX12" s="423" t="s">
        <v>241</v>
      </c>
      <c r="AY12" s="184"/>
      <c r="AZ12" s="184"/>
      <c r="BA12" s="158"/>
      <c r="BB12" s="23"/>
      <c r="BC12" s="3"/>
      <c r="BD12" s="3"/>
      <c r="BG12" s="3"/>
      <c r="BH12" s="3"/>
      <c r="BI12" s="3"/>
    </row>
    <row r="13" spans="1:61" ht="12.75" customHeight="1" x14ac:dyDescent="0.2">
      <c r="A13" s="408" t="s">
        <v>59</v>
      </c>
      <c r="B13" s="7"/>
      <c r="C13" s="105"/>
      <c r="D13" s="107"/>
      <c r="E13" s="47"/>
      <c r="F13" s="6"/>
      <c r="G13" s="6"/>
      <c r="H13" s="6"/>
      <c r="I13" s="275"/>
      <c r="J13" s="6"/>
      <c r="K13" s="6"/>
      <c r="L13" s="6"/>
      <c r="M13" s="275"/>
      <c r="N13" s="91"/>
      <c r="O13" s="6"/>
      <c r="P13" s="6"/>
      <c r="Q13" s="275"/>
      <c r="R13" s="91"/>
      <c r="S13" s="6"/>
      <c r="T13" s="6"/>
      <c r="U13" s="275"/>
      <c r="V13" s="91"/>
      <c r="W13" s="6"/>
      <c r="X13" s="6"/>
      <c r="Y13" s="275"/>
      <c r="Z13" s="91"/>
      <c r="AA13" s="6"/>
      <c r="AB13" s="6"/>
      <c r="AC13" s="275"/>
      <c r="AD13" s="125"/>
      <c r="AE13" s="91"/>
      <c r="AF13" s="91"/>
      <c r="AG13" s="107"/>
      <c r="AH13" s="124"/>
      <c r="AI13" s="107"/>
      <c r="AJ13" s="107"/>
      <c r="AK13" s="106"/>
      <c r="AL13" s="47"/>
      <c r="AM13" s="452"/>
      <c r="AN13" s="442"/>
      <c r="AO13" s="442"/>
      <c r="AP13" s="395"/>
      <c r="AQ13" s="44"/>
      <c r="AR13" s="383"/>
      <c r="AS13" s="383"/>
      <c r="AT13" s="383"/>
      <c r="AU13" s="47"/>
      <c r="AV13" s="47"/>
      <c r="AW13" s="105"/>
      <c r="AX13" s="47"/>
      <c r="AY13" s="224"/>
      <c r="AZ13" s="224"/>
      <c r="BA13" s="312"/>
      <c r="BB13" s="23"/>
      <c r="BC13" s="3"/>
      <c r="BD13" s="3"/>
      <c r="BG13" s="3"/>
    </row>
    <row r="14" spans="1:61" ht="12.75" customHeight="1" x14ac:dyDescent="0.2">
      <c r="A14" s="6"/>
      <c r="B14" s="44" t="s">
        <v>186</v>
      </c>
      <c r="C14" s="168" t="e">
        <f>I14-M14</f>
        <v>#REF!</v>
      </c>
      <c r="D14" s="498" t="e">
        <f>IF(OR((C14/M14)&gt;3,(C14/M14)&lt;-3),"n.m.",(C14/M14))</f>
        <v>#REF!</v>
      </c>
      <c r="E14" s="350"/>
      <c r="F14" s="500" t="e">
        <f>+#REF!</f>
        <v>#REF!</v>
      </c>
      <c r="G14" s="500" t="e">
        <f>+#REF!</f>
        <v>#REF!</v>
      </c>
      <c r="H14" s="500" t="e">
        <f>+#REF!</f>
        <v>#REF!</v>
      </c>
      <c r="I14" s="500" t="e">
        <f>+#REF!</f>
        <v>#REF!</v>
      </c>
      <c r="J14" s="490" t="e">
        <f>+#REF!</f>
        <v>#REF!</v>
      </c>
      <c r="K14" s="500" t="e">
        <f>+#REF!</f>
        <v>#REF!</v>
      </c>
      <c r="L14" s="500" t="e">
        <f>+#REF!</f>
        <v>#REF!</v>
      </c>
      <c r="M14" s="501" t="e">
        <f>+#REF!</f>
        <v>#REF!</v>
      </c>
      <c r="N14" s="460" t="e">
        <f>#REF!</f>
        <v>#REF!</v>
      </c>
      <c r="O14" s="460">
        <v>12748</v>
      </c>
      <c r="P14" s="160">
        <v>9338</v>
      </c>
      <c r="Q14" s="164">
        <v>9246</v>
      </c>
      <c r="R14" s="160">
        <v>34555</v>
      </c>
      <c r="S14" s="160">
        <v>23339</v>
      </c>
      <c r="T14" s="160">
        <v>18338</v>
      </c>
      <c r="U14" s="164">
        <v>16445</v>
      </c>
      <c r="V14" s="160">
        <v>21333</v>
      </c>
      <c r="W14" s="160">
        <v>26421</v>
      </c>
      <c r="X14" s="160">
        <v>13775</v>
      </c>
      <c r="Y14" s="164">
        <v>20925</v>
      </c>
      <c r="Z14" s="160"/>
      <c r="AA14" s="160"/>
      <c r="AB14" s="160"/>
      <c r="AC14" s="164"/>
      <c r="AD14" s="160"/>
      <c r="AE14" s="160"/>
      <c r="AF14" s="160"/>
      <c r="AG14" s="164"/>
      <c r="AH14" s="129"/>
      <c r="AI14" s="167"/>
      <c r="AJ14" s="164"/>
      <c r="AK14" s="160"/>
      <c r="AL14" s="131"/>
      <c r="AM14" s="168" t="e">
        <f>SUM(K14:M14)</f>
        <v>#REF!</v>
      </c>
      <c r="AN14" s="180">
        <f>SUM(O14:Q14)</f>
        <v>31332</v>
      </c>
      <c r="AO14" s="180" t="e">
        <f>AR14-AS14</f>
        <v>#REF!</v>
      </c>
      <c r="AP14" s="498" t="e">
        <f>IF(OR((AO14/AS14)&gt;3,(AO14/AS14)&lt;-3),"n.m.",(AO14/AS14))</f>
        <v>#REF!</v>
      </c>
      <c r="AQ14" s="171"/>
      <c r="AR14" s="493" t="e">
        <f>SUM(J14:M14)</f>
        <v>#REF!</v>
      </c>
      <c r="AS14" s="234" t="e">
        <f>SUM(N14:Q14)</f>
        <v>#REF!</v>
      </c>
      <c r="AT14" s="234">
        <f>SUM(R14:U14)</f>
        <v>92677</v>
      </c>
      <c r="AU14" s="129">
        <f>SUM(V14:Y14)</f>
        <v>82454</v>
      </c>
      <c r="AV14" s="129">
        <v>72926</v>
      </c>
      <c r="AW14" s="129">
        <v>118332</v>
      </c>
      <c r="AX14" s="134">
        <v>129852</v>
      </c>
      <c r="AY14" s="37">
        <v>125900</v>
      </c>
      <c r="AZ14" s="37">
        <v>116090</v>
      </c>
      <c r="BA14" s="459">
        <v>84489</v>
      </c>
      <c r="BB14" s="23"/>
      <c r="BC14" s="3"/>
      <c r="BD14" s="3"/>
      <c r="BG14" s="3"/>
    </row>
    <row r="15" spans="1:61" ht="12.75" customHeight="1" x14ac:dyDescent="0.2">
      <c r="A15" s="6"/>
      <c r="B15" s="482" t="s">
        <v>304</v>
      </c>
      <c r="C15" s="168">
        <f>I15-M15</f>
        <v>7391</v>
      </c>
      <c r="D15" s="498" t="s">
        <v>41</v>
      </c>
      <c r="E15" s="350"/>
      <c r="F15" s="504">
        <f>+'12 CWM UK and Europe'!AA15</f>
        <v>33220</v>
      </c>
      <c r="G15" s="504">
        <f>+'12 CWM UK and Europe'!AB15</f>
        <v>27018</v>
      </c>
      <c r="H15" s="504">
        <f>+'12 CWM UK and Europe'!AC15</f>
        <v>25830</v>
      </c>
      <c r="I15" s="504">
        <f>+'12 CWM UK and Europe'!AD15</f>
        <v>26978</v>
      </c>
      <c r="J15" s="346">
        <f>+'12 CWM UK and Europe'!AE15</f>
        <v>26706</v>
      </c>
      <c r="K15" s="504">
        <f>+'12 CWM UK and Europe'!AF15</f>
        <v>24792</v>
      </c>
      <c r="L15" s="504">
        <f>+'12 CWM UK and Europe'!AG15</f>
        <v>20672</v>
      </c>
      <c r="M15" s="503">
        <f>+'12 CWM UK and Europe'!AH14</f>
        <v>19587</v>
      </c>
      <c r="N15" s="460">
        <f>+'12 CWM UK and Europe'!AI14</f>
        <v>1987</v>
      </c>
      <c r="O15" s="363">
        <v>0</v>
      </c>
      <c r="P15" s="363">
        <v>0</v>
      </c>
      <c r="Q15" s="469">
        <v>0</v>
      </c>
      <c r="R15" s="363">
        <v>0</v>
      </c>
      <c r="S15" s="363">
        <v>0</v>
      </c>
      <c r="T15" s="363">
        <v>0</v>
      </c>
      <c r="U15" s="469">
        <v>0</v>
      </c>
      <c r="V15" s="363">
        <v>0</v>
      </c>
      <c r="W15" s="460"/>
      <c r="X15" s="460"/>
      <c r="Y15" s="164"/>
      <c r="Z15" s="460"/>
      <c r="AA15" s="460"/>
      <c r="AB15" s="460"/>
      <c r="AC15" s="164"/>
      <c r="AD15" s="460"/>
      <c r="AE15" s="460"/>
      <c r="AF15" s="460"/>
      <c r="AG15" s="164"/>
      <c r="AH15" s="129"/>
      <c r="AI15" s="167"/>
      <c r="AJ15" s="164"/>
      <c r="AK15" s="460"/>
      <c r="AL15" s="131"/>
      <c r="AM15" s="168">
        <f>SUM(K15:M15)</f>
        <v>65051</v>
      </c>
      <c r="AN15" s="180">
        <f>+'12 CWM UK and Europe'!BI14</f>
        <v>201383</v>
      </c>
      <c r="AO15" s="180">
        <f>AR15-AS15</f>
        <v>89770</v>
      </c>
      <c r="AP15" s="92" t="s">
        <v>41</v>
      </c>
      <c r="AQ15" s="171"/>
      <c r="AR15" s="493">
        <f>SUM(J15:M15)</f>
        <v>91757</v>
      </c>
      <c r="AS15" s="234">
        <f>SUM(N15:Q15)</f>
        <v>1987</v>
      </c>
      <c r="AT15" s="326">
        <v>0</v>
      </c>
      <c r="AU15" s="470">
        <v>0</v>
      </c>
      <c r="AV15" s="470">
        <v>0</v>
      </c>
      <c r="AW15" s="471">
        <v>0</v>
      </c>
      <c r="AX15" s="134"/>
      <c r="AY15" s="37"/>
      <c r="AZ15" s="37"/>
      <c r="BA15" s="459"/>
      <c r="BB15" s="23"/>
      <c r="BC15" s="3"/>
      <c r="BD15" s="3"/>
      <c r="BG15" s="3"/>
    </row>
    <row r="16" spans="1:61" ht="12.75" customHeight="1" x14ac:dyDescent="0.2">
      <c r="A16" s="7"/>
      <c r="B16" s="6"/>
      <c r="C16" s="172" t="e">
        <f>I16-M16</f>
        <v>#REF!</v>
      </c>
      <c r="D16" s="111" t="e">
        <f>IF(OR((C16/M16)&gt;3,(C16/M16)&lt;-3),"n.m.",(C16/M16))</f>
        <v>#REF!</v>
      </c>
      <c r="E16" s="350"/>
      <c r="F16" s="174" t="e">
        <f t="shared" ref="F16:N16" si="0">SUM(F14:F15)</f>
        <v>#REF!</v>
      </c>
      <c r="G16" s="174" t="e">
        <f t="shared" si="0"/>
        <v>#REF!</v>
      </c>
      <c r="H16" s="174" t="e">
        <f t="shared" si="0"/>
        <v>#REF!</v>
      </c>
      <c r="I16" s="174" t="e">
        <f t="shared" si="0"/>
        <v>#REF!</v>
      </c>
      <c r="J16" s="173" t="e">
        <f t="shared" si="0"/>
        <v>#REF!</v>
      </c>
      <c r="K16" s="174" t="e">
        <f t="shared" si="0"/>
        <v>#REF!</v>
      </c>
      <c r="L16" s="174" t="e">
        <f t="shared" si="0"/>
        <v>#REF!</v>
      </c>
      <c r="M16" s="175" t="e">
        <f t="shared" si="0"/>
        <v>#REF!</v>
      </c>
      <c r="N16" s="174" t="e">
        <f t="shared" si="0"/>
        <v>#REF!</v>
      </c>
      <c r="O16" s="174">
        <f>O14</f>
        <v>12748</v>
      </c>
      <c r="P16" s="174">
        <f>SUM(P14)</f>
        <v>9338</v>
      </c>
      <c r="Q16" s="175">
        <f>SUM(Q14)</f>
        <v>9246</v>
      </c>
      <c r="R16" s="174">
        <f t="shared" ref="R16:AX16" si="1">SUM(R14)</f>
        <v>34555</v>
      </c>
      <c r="S16" s="174">
        <f t="shared" si="1"/>
        <v>23339</v>
      </c>
      <c r="T16" s="174">
        <f t="shared" si="1"/>
        <v>18338</v>
      </c>
      <c r="U16" s="175">
        <f t="shared" si="1"/>
        <v>16445</v>
      </c>
      <c r="V16" s="174">
        <f t="shared" si="1"/>
        <v>21333</v>
      </c>
      <c r="W16" s="174">
        <f t="shared" si="1"/>
        <v>26421</v>
      </c>
      <c r="X16" s="174">
        <f t="shared" si="1"/>
        <v>13775</v>
      </c>
      <c r="Y16" s="175">
        <f t="shared" si="1"/>
        <v>20925</v>
      </c>
      <c r="Z16" s="174">
        <f t="shared" si="1"/>
        <v>0</v>
      </c>
      <c r="AA16" s="174">
        <f t="shared" si="1"/>
        <v>0</v>
      </c>
      <c r="AB16" s="174">
        <f t="shared" si="1"/>
        <v>0</v>
      </c>
      <c r="AC16" s="175">
        <f t="shared" si="1"/>
        <v>0</v>
      </c>
      <c r="AD16" s="174">
        <f t="shared" si="1"/>
        <v>0</v>
      </c>
      <c r="AE16" s="174">
        <f t="shared" si="1"/>
        <v>0</v>
      </c>
      <c r="AF16" s="174">
        <f t="shared" si="1"/>
        <v>0</v>
      </c>
      <c r="AG16" s="175">
        <f t="shared" si="1"/>
        <v>0</v>
      </c>
      <c r="AH16" s="130">
        <f t="shared" si="1"/>
        <v>0</v>
      </c>
      <c r="AI16" s="175">
        <f t="shared" si="1"/>
        <v>0</v>
      </c>
      <c r="AJ16" s="175">
        <f t="shared" si="1"/>
        <v>0</v>
      </c>
      <c r="AK16" s="174">
        <f t="shared" si="1"/>
        <v>0</v>
      </c>
      <c r="AL16" s="131"/>
      <c r="AM16" s="172" t="e">
        <f>SUM(AM14:AM15)</f>
        <v>#REF!</v>
      </c>
      <c r="AN16" s="236">
        <f>SUM(AN14)</f>
        <v>31332</v>
      </c>
      <c r="AO16" s="236" t="e">
        <f>+AR16-AS16</f>
        <v>#REF!</v>
      </c>
      <c r="AP16" s="92" t="e">
        <f>IF(OR((AO16/AS16)&gt;3,(AO16/AS16)&lt;-3),"n.m.",(AO16/AS16))</f>
        <v>#REF!</v>
      </c>
      <c r="AQ16" s="171"/>
      <c r="AR16" s="241" t="e">
        <f>SUM(AR14:AR15)</f>
        <v>#REF!</v>
      </c>
      <c r="AS16" s="241" t="e">
        <f>SUM(AS14:AS15)</f>
        <v>#REF!</v>
      </c>
      <c r="AT16" s="241">
        <f t="shared" si="1"/>
        <v>92677</v>
      </c>
      <c r="AU16" s="130">
        <f t="shared" si="1"/>
        <v>82454</v>
      </c>
      <c r="AV16" s="130">
        <f t="shared" si="1"/>
        <v>72926</v>
      </c>
      <c r="AW16" s="130">
        <f t="shared" si="1"/>
        <v>118332</v>
      </c>
      <c r="AX16" s="130">
        <f t="shared" si="1"/>
        <v>129852</v>
      </c>
      <c r="AY16" s="219">
        <v>125900</v>
      </c>
      <c r="AZ16" s="219">
        <v>116090</v>
      </c>
      <c r="BA16" s="110">
        <v>84489</v>
      </c>
      <c r="BB16" s="23"/>
      <c r="BC16" s="3"/>
      <c r="BD16" s="3"/>
      <c r="BG16" s="3"/>
    </row>
    <row r="17" spans="1:59" ht="12.75" customHeight="1" x14ac:dyDescent="0.2">
      <c r="A17" s="408" t="s">
        <v>5</v>
      </c>
      <c r="B17" s="6"/>
      <c r="C17" s="168"/>
      <c r="D17" s="444"/>
      <c r="E17" s="350"/>
      <c r="F17" s="500"/>
      <c r="G17" s="500"/>
      <c r="H17" s="500"/>
      <c r="I17" s="500"/>
      <c r="J17" s="490"/>
      <c r="K17" s="500"/>
      <c r="L17" s="500"/>
      <c r="M17" s="501"/>
      <c r="N17" s="460"/>
      <c r="O17" s="460"/>
      <c r="P17" s="160"/>
      <c r="Q17" s="164"/>
      <c r="R17" s="160"/>
      <c r="S17" s="160"/>
      <c r="T17" s="160"/>
      <c r="U17" s="164"/>
      <c r="V17" s="160"/>
      <c r="W17" s="160"/>
      <c r="X17" s="160"/>
      <c r="Y17" s="164"/>
      <c r="Z17" s="160"/>
      <c r="AA17" s="160"/>
      <c r="AB17" s="160"/>
      <c r="AC17" s="164"/>
      <c r="AD17" s="160"/>
      <c r="AE17" s="160"/>
      <c r="AF17" s="160"/>
      <c r="AG17" s="164"/>
      <c r="AH17" s="129"/>
      <c r="AI17" s="164"/>
      <c r="AJ17" s="164"/>
      <c r="AK17" s="164"/>
      <c r="AL17" s="131"/>
      <c r="AM17" s="168"/>
      <c r="AN17" s="180"/>
      <c r="AO17" s="180"/>
      <c r="AP17" s="444"/>
      <c r="AQ17" s="171"/>
      <c r="AR17" s="493"/>
      <c r="AS17" s="234"/>
      <c r="AT17" s="234"/>
      <c r="AU17" s="131"/>
      <c r="AV17" s="131"/>
      <c r="AW17" s="129"/>
      <c r="AX17" s="129"/>
      <c r="AY17" s="37"/>
      <c r="AZ17" s="37"/>
      <c r="BA17" s="459"/>
      <c r="BB17" s="23"/>
      <c r="BC17" s="3"/>
      <c r="BD17" s="3"/>
      <c r="BG17" s="3"/>
    </row>
    <row r="18" spans="1:59" s="480" customFormat="1" ht="12.75" customHeight="1" x14ac:dyDescent="0.2">
      <c r="A18" s="408"/>
      <c r="B18" s="6" t="s">
        <v>296</v>
      </c>
      <c r="C18" s="168">
        <f t="shared" ref="C18:C33" si="2">I18-M18</f>
        <v>5562.6535697325889</v>
      </c>
      <c r="D18" s="498">
        <f t="shared" ref="D18:D30" si="3">IF(OR((C18/M18)&gt;3,(C18/M18)&lt;-3),"n.m.",(C18/M18))</f>
        <v>0.3050202099979486</v>
      </c>
      <c r="E18" s="497"/>
      <c r="F18" s="500"/>
      <c r="G18" s="500"/>
      <c r="H18" s="500"/>
      <c r="I18" s="501">
        <f>25210*(1-(I21/I22))</f>
        <v>23799.653569732589</v>
      </c>
      <c r="J18" s="500">
        <f>32761*(1-(J21/J22))</f>
        <v>31708.918900372981</v>
      </c>
      <c r="K18" s="500">
        <f>29932*(1-(K21/K22))-0.5</f>
        <v>28999.683255866861</v>
      </c>
      <c r="L18" s="500">
        <v>27586</v>
      </c>
      <c r="M18" s="501">
        <v>18237</v>
      </c>
      <c r="N18" s="500">
        <v>15530</v>
      </c>
      <c r="O18" s="500">
        <v>4940</v>
      </c>
      <c r="P18" s="500">
        <v>5136</v>
      </c>
      <c r="Q18" s="501">
        <v>4653</v>
      </c>
      <c r="R18" s="500">
        <v>17347</v>
      </c>
      <c r="S18" s="500">
        <v>10930</v>
      </c>
      <c r="T18" s="500">
        <v>8777</v>
      </c>
      <c r="U18" s="501"/>
      <c r="V18" s="500"/>
      <c r="W18" s="500"/>
      <c r="X18" s="500"/>
      <c r="Y18" s="501"/>
      <c r="Z18" s="500"/>
      <c r="AA18" s="500"/>
      <c r="AB18" s="500"/>
      <c r="AC18" s="501"/>
      <c r="AD18" s="500"/>
      <c r="AE18" s="500"/>
      <c r="AF18" s="500"/>
      <c r="AG18" s="501"/>
      <c r="AH18" s="499"/>
      <c r="AI18" s="501"/>
      <c r="AJ18" s="501"/>
      <c r="AK18" s="501"/>
      <c r="AL18" s="131"/>
      <c r="AM18" s="168">
        <f>SUM(K18:M18)</f>
        <v>74822.683255866868</v>
      </c>
      <c r="AN18" s="180">
        <f t="shared" ref="AN18:AN30" si="4">SUM(O18:Q18)</f>
        <v>14729</v>
      </c>
      <c r="AO18" s="180">
        <f t="shared" ref="AO18:AO33" si="5">AR18-AS18</f>
        <v>76282.602156239838</v>
      </c>
      <c r="AP18" s="498">
        <f t="shared" ref="AP18:AP33" si="6">IF(OR((AO18/AS18)&gt;3,(AO18/AS18)&lt;-3),"n.m.",(AO18/AS18))</f>
        <v>2.5218222802816568</v>
      </c>
      <c r="AQ18" s="171"/>
      <c r="AR18" s="456">
        <f>SUM(J18:M18)</f>
        <v>106531.60215623984</v>
      </c>
      <c r="AS18" s="456">
        <v>30249</v>
      </c>
      <c r="AT18" s="456">
        <v>43961</v>
      </c>
      <c r="AU18" s="526">
        <v>41083</v>
      </c>
      <c r="AV18" s="526">
        <v>32542</v>
      </c>
      <c r="AW18" s="499">
        <v>55744</v>
      </c>
      <c r="AX18" s="499"/>
      <c r="AY18" s="37"/>
      <c r="AZ18" s="37"/>
      <c r="BA18" s="459"/>
      <c r="BB18" s="23"/>
      <c r="BC18" s="481"/>
      <c r="BD18" s="481"/>
      <c r="BG18" s="481"/>
    </row>
    <row r="19" spans="1:59" s="480" customFormat="1" ht="12.75" customHeight="1" x14ac:dyDescent="0.2">
      <c r="A19" s="408"/>
      <c r="B19" s="6" t="s">
        <v>297</v>
      </c>
      <c r="C19" s="176">
        <f t="shared" si="2"/>
        <v>-3864.4611675325887</v>
      </c>
      <c r="D19" s="92">
        <f t="shared" si="3"/>
        <v>-0.58499260786142726</v>
      </c>
      <c r="E19" s="497"/>
      <c r="F19" s="166"/>
      <c r="G19" s="166"/>
      <c r="H19" s="166"/>
      <c r="I19" s="167">
        <f>2904*(1-(I21/I22))</f>
        <v>2741.5388324674113</v>
      </c>
      <c r="J19" s="166">
        <f>3429*(1-(J21/J22))</f>
        <v>3318.8816858270184</v>
      </c>
      <c r="K19" s="166">
        <f>3687*(1-(K21/K22))</f>
        <v>3572.219553133139</v>
      </c>
      <c r="L19" s="166">
        <v>3358</v>
      </c>
      <c r="M19" s="167">
        <v>6606</v>
      </c>
      <c r="N19" s="166">
        <v>-1363</v>
      </c>
      <c r="O19" s="166">
        <v>990</v>
      </c>
      <c r="P19" s="166">
        <v>783</v>
      </c>
      <c r="Q19" s="167">
        <v>1028</v>
      </c>
      <c r="R19" s="166">
        <v>-508</v>
      </c>
      <c r="S19" s="166">
        <v>1616</v>
      </c>
      <c r="T19" s="166">
        <v>445</v>
      </c>
      <c r="U19" s="501"/>
      <c r="V19" s="500"/>
      <c r="W19" s="500"/>
      <c r="X19" s="500"/>
      <c r="Y19" s="501"/>
      <c r="Z19" s="500"/>
      <c r="AA19" s="500"/>
      <c r="AB19" s="500"/>
      <c r="AC19" s="501"/>
      <c r="AD19" s="500"/>
      <c r="AE19" s="500"/>
      <c r="AF19" s="500"/>
      <c r="AG19" s="501"/>
      <c r="AH19" s="499"/>
      <c r="AI19" s="501"/>
      <c r="AJ19" s="501"/>
      <c r="AK19" s="501"/>
      <c r="AL19" s="131"/>
      <c r="AM19" s="176">
        <f t="shared" ref="AM19:AM30" si="7">SUM(K19:M19)</f>
        <v>13536.219553133138</v>
      </c>
      <c r="AN19" s="240">
        <f t="shared" si="4"/>
        <v>2801</v>
      </c>
      <c r="AO19" s="240">
        <f t="shared" si="5"/>
        <v>15406.101238960156</v>
      </c>
      <c r="AP19" s="92" t="str">
        <f t="shared" si="6"/>
        <v>n.m.</v>
      </c>
      <c r="AQ19" s="171"/>
      <c r="AR19" s="437">
        <f>SUM(J19:M19)</f>
        <v>16855.101238960156</v>
      </c>
      <c r="AS19" s="437">
        <v>1449</v>
      </c>
      <c r="AT19" s="437">
        <v>2297</v>
      </c>
      <c r="AU19" s="528">
        <v>3323</v>
      </c>
      <c r="AV19" s="528">
        <v>1879</v>
      </c>
      <c r="AW19" s="134">
        <v>3963</v>
      </c>
      <c r="AX19" s="499"/>
      <c r="AY19" s="37"/>
      <c r="AZ19" s="37"/>
      <c r="BA19" s="459"/>
      <c r="BB19" s="23"/>
      <c r="BC19" s="481"/>
      <c r="BD19" s="481"/>
      <c r="BG19" s="481"/>
    </row>
    <row r="20" spans="1:59" ht="12.75" customHeight="1" x14ac:dyDescent="0.2">
      <c r="A20" s="7"/>
      <c r="B20" s="44" t="s">
        <v>331</v>
      </c>
      <c r="C20" s="168">
        <f t="shared" si="2"/>
        <v>1697.833051200003</v>
      </c>
      <c r="D20" s="498">
        <f t="shared" si="3"/>
        <v>6.8341524477914917E-2</v>
      </c>
      <c r="E20" s="350"/>
      <c r="F20" s="500"/>
      <c r="G20" s="500"/>
      <c r="H20" s="500"/>
      <c r="I20" s="501">
        <f>+I18+I19</f>
        <v>26541.192402200002</v>
      </c>
      <c r="J20" s="500">
        <f>+J18+J19</f>
        <v>35027.800586199999</v>
      </c>
      <c r="K20" s="500">
        <f>+K18+K19</f>
        <v>32571.902808999999</v>
      </c>
      <c r="L20" s="500">
        <f>+L22-L21</f>
        <v>30944.119799600001</v>
      </c>
      <c r="M20" s="501">
        <f>+M22-M21</f>
        <v>24843.359350999999</v>
      </c>
      <c r="N20" s="460">
        <f>N22-N21</f>
        <v>14167.216553833334</v>
      </c>
      <c r="O20" s="460">
        <f>O22-O21</f>
        <v>5930.257002166667</v>
      </c>
      <c r="P20" s="160">
        <f>P22-P21</f>
        <v>5918.9033505666666</v>
      </c>
      <c r="Q20" s="164">
        <f>Q22-Q21</f>
        <v>5681.4430129000002</v>
      </c>
      <c r="R20" s="160">
        <f t="shared" ref="R20:AX20" si="8">R22-R21</f>
        <v>16839.491104000001</v>
      </c>
      <c r="S20" s="160">
        <f t="shared" si="8"/>
        <v>12546.475937666666</v>
      </c>
      <c r="T20" s="160">
        <f t="shared" si="8"/>
        <v>9221.5742077333325</v>
      </c>
      <c r="U20" s="164">
        <f t="shared" si="8"/>
        <v>7649.9590927999998</v>
      </c>
      <c r="V20" s="160">
        <f t="shared" si="8"/>
        <v>10824</v>
      </c>
      <c r="W20" s="160">
        <f t="shared" si="8"/>
        <v>15065</v>
      </c>
      <c r="X20" s="160">
        <f t="shared" si="8"/>
        <v>7942</v>
      </c>
      <c r="Y20" s="164">
        <f t="shared" si="8"/>
        <v>10575</v>
      </c>
      <c r="Z20" s="160">
        <f t="shared" si="8"/>
        <v>-349</v>
      </c>
      <c r="AA20" s="160">
        <f t="shared" si="8"/>
        <v>-422</v>
      </c>
      <c r="AB20" s="160">
        <f t="shared" si="8"/>
        <v>-405</v>
      </c>
      <c r="AC20" s="164">
        <f t="shared" si="8"/>
        <v>-383</v>
      </c>
      <c r="AD20" s="160">
        <f t="shared" si="8"/>
        <v>-422</v>
      </c>
      <c r="AE20" s="160">
        <f t="shared" si="8"/>
        <v>-392</v>
      </c>
      <c r="AF20" s="160">
        <f t="shared" si="8"/>
        <v>-369</v>
      </c>
      <c r="AG20" s="164">
        <f t="shared" si="8"/>
        <v>-388</v>
      </c>
      <c r="AH20" s="129">
        <f t="shared" si="8"/>
        <v>-933</v>
      </c>
      <c r="AI20" s="164">
        <f t="shared" si="8"/>
        <v>-548</v>
      </c>
      <c r="AJ20" s="164">
        <f t="shared" si="8"/>
        <v>-629</v>
      </c>
      <c r="AK20" s="164">
        <f t="shared" si="8"/>
        <v>-1404</v>
      </c>
      <c r="AL20" s="131"/>
      <c r="AM20" s="168">
        <f t="shared" si="7"/>
        <v>88359.381959599996</v>
      </c>
      <c r="AN20" s="180">
        <f t="shared" si="4"/>
        <v>17530.603365633335</v>
      </c>
      <c r="AO20" s="180">
        <f t="shared" si="5"/>
        <v>91688.883475733324</v>
      </c>
      <c r="AP20" s="498">
        <f t="shared" si="6"/>
        <v>2.8925927306257484</v>
      </c>
      <c r="AQ20" s="171"/>
      <c r="AR20" s="493">
        <f>AR18+AR19</f>
        <v>123386.70339519999</v>
      </c>
      <c r="AS20" s="234">
        <f>AS22-AS21</f>
        <v>31697.819919466667</v>
      </c>
      <c r="AT20" s="234">
        <f t="shared" si="8"/>
        <v>46257.500342200001</v>
      </c>
      <c r="AU20" s="129">
        <f t="shared" si="8"/>
        <v>44406</v>
      </c>
      <c r="AV20" s="129">
        <f t="shared" si="8"/>
        <v>34421</v>
      </c>
      <c r="AW20" s="129">
        <f t="shared" si="8"/>
        <v>59707</v>
      </c>
      <c r="AX20" s="129">
        <f t="shared" si="8"/>
        <v>68799</v>
      </c>
      <c r="AY20" s="37">
        <v>65303</v>
      </c>
      <c r="AZ20" s="37">
        <v>62316</v>
      </c>
      <c r="BA20" s="459">
        <v>51311</v>
      </c>
      <c r="BB20" s="23"/>
      <c r="BC20" s="3"/>
      <c r="BD20" s="3"/>
      <c r="BG20" s="3"/>
    </row>
    <row r="21" spans="1:59" ht="12.75" customHeight="1" x14ac:dyDescent="0.2">
      <c r="A21" s="7"/>
      <c r="B21" s="482" t="s">
        <v>290</v>
      </c>
      <c r="C21" s="176">
        <f t="shared" si="2"/>
        <v>234.16694879999977</v>
      </c>
      <c r="D21" s="92">
        <f t="shared" si="3"/>
        <v>0.17492890939396519</v>
      </c>
      <c r="E21" s="350"/>
      <c r="F21" s="166"/>
      <c r="G21" s="166"/>
      <c r="H21" s="166"/>
      <c r="I21" s="167">
        <f>+NHI!B112/1000</f>
        <v>1572.8075977999999</v>
      </c>
      <c r="J21" s="166">
        <f>+NHI!E97/1000</f>
        <v>1162.1994138</v>
      </c>
      <c r="K21" s="166">
        <f>+NHI!D95/1000</f>
        <v>1046.5971910000001</v>
      </c>
      <c r="L21" s="166">
        <f>+NHI!C97/1000</f>
        <v>1346.8802003999999</v>
      </c>
      <c r="M21" s="167">
        <f>+NHI!B97/1000</f>
        <v>1338.6406490000002</v>
      </c>
      <c r="N21" s="166">
        <f>NHI!E83/1000</f>
        <v>1181.7834461666666</v>
      </c>
      <c r="O21" s="166">
        <f>NHI!D83/1000</f>
        <v>498.74299783333333</v>
      </c>
      <c r="P21" s="166">
        <v>542.09664943333325</v>
      </c>
      <c r="Q21" s="167">
        <v>527.55698710000001</v>
      </c>
      <c r="R21" s="166">
        <v>418.50889599999999</v>
      </c>
      <c r="S21" s="166">
        <v>422.52406233333329</v>
      </c>
      <c r="T21" s="166">
        <v>430.42579226666663</v>
      </c>
      <c r="U21" s="167">
        <v>388.04090719999999</v>
      </c>
      <c r="V21" s="166">
        <v>380</v>
      </c>
      <c r="W21" s="166">
        <v>456</v>
      </c>
      <c r="X21" s="166">
        <v>371</v>
      </c>
      <c r="Y21" s="167">
        <v>362</v>
      </c>
      <c r="Z21" s="166">
        <v>349</v>
      </c>
      <c r="AA21" s="166">
        <v>422</v>
      </c>
      <c r="AB21" s="166">
        <v>405</v>
      </c>
      <c r="AC21" s="167">
        <v>383</v>
      </c>
      <c r="AD21" s="166">
        <v>422</v>
      </c>
      <c r="AE21" s="166">
        <v>392</v>
      </c>
      <c r="AF21" s="166">
        <v>369</v>
      </c>
      <c r="AG21" s="167">
        <v>388</v>
      </c>
      <c r="AH21" s="129">
        <v>933</v>
      </c>
      <c r="AI21" s="164">
        <v>548</v>
      </c>
      <c r="AJ21" s="167">
        <v>629</v>
      </c>
      <c r="AK21" s="167">
        <v>1404</v>
      </c>
      <c r="AL21" s="131"/>
      <c r="AM21" s="176">
        <f t="shared" si="7"/>
        <v>3732.1180403999997</v>
      </c>
      <c r="AN21" s="240">
        <f t="shared" si="4"/>
        <v>1568.3966343666666</v>
      </c>
      <c r="AO21" s="240">
        <f t="shared" si="5"/>
        <v>2144.1373736666665</v>
      </c>
      <c r="AP21" s="92">
        <f t="shared" si="6"/>
        <v>0.77963526419363094</v>
      </c>
      <c r="AQ21" s="171"/>
      <c r="AR21" s="176">
        <f>SUM(J21:M21)</f>
        <v>4894.3174541999997</v>
      </c>
      <c r="AS21" s="176">
        <f>SUM(N21:Q21)</f>
        <v>2750.1800805333332</v>
      </c>
      <c r="AT21" s="176">
        <v>1659.4996577999998</v>
      </c>
      <c r="AU21" s="134">
        <v>1569</v>
      </c>
      <c r="AV21" s="134">
        <v>1559</v>
      </c>
      <c r="AW21" s="134">
        <v>1571</v>
      </c>
      <c r="AX21" s="134">
        <v>3514</v>
      </c>
      <c r="AY21" s="37">
        <v>3586</v>
      </c>
      <c r="AZ21" s="102">
        <v>3711</v>
      </c>
      <c r="BA21" s="267">
        <v>2665</v>
      </c>
      <c r="BB21" s="23"/>
      <c r="BC21" s="3"/>
      <c r="BD21" s="3"/>
      <c r="BG21" s="3"/>
    </row>
    <row r="22" spans="1:59" ht="12.75" customHeight="1" x14ac:dyDescent="0.2">
      <c r="A22" s="7"/>
      <c r="B22" s="44" t="s">
        <v>94</v>
      </c>
      <c r="C22" s="168">
        <f t="shared" si="2"/>
        <v>1932</v>
      </c>
      <c r="D22" s="498">
        <f t="shared" si="3"/>
        <v>7.3791154228095637E-2</v>
      </c>
      <c r="E22" s="350"/>
      <c r="F22" s="500"/>
      <c r="G22" s="500"/>
      <c r="H22" s="500"/>
      <c r="I22" s="501">
        <v>28114</v>
      </c>
      <c r="J22" s="500">
        <v>36190</v>
      </c>
      <c r="K22" s="500">
        <v>33619</v>
      </c>
      <c r="L22" s="500">
        <v>32291</v>
      </c>
      <c r="M22" s="501">
        <v>26182</v>
      </c>
      <c r="N22" s="460">
        <v>15349</v>
      </c>
      <c r="O22" s="460">
        <v>6429</v>
      </c>
      <c r="P22" s="160">
        <v>6461</v>
      </c>
      <c r="Q22" s="164">
        <v>6209</v>
      </c>
      <c r="R22" s="160">
        <v>17258</v>
      </c>
      <c r="S22" s="160">
        <v>12969</v>
      </c>
      <c r="T22" s="160">
        <v>9652</v>
      </c>
      <c r="U22" s="164">
        <v>8038</v>
      </c>
      <c r="V22" s="160">
        <v>11204</v>
      </c>
      <c r="W22" s="160">
        <v>15521</v>
      </c>
      <c r="X22" s="160">
        <v>8313</v>
      </c>
      <c r="Y22" s="164">
        <v>10937</v>
      </c>
      <c r="Z22" s="160"/>
      <c r="AA22" s="160"/>
      <c r="AB22" s="160"/>
      <c r="AC22" s="164"/>
      <c r="AD22" s="160"/>
      <c r="AE22" s="160"/>
      <c r="AF22" s="160"/>
      <c r="AG22" s="164"/>
      <c r="AH22" s="183"/>
      <c r="AI22" s="162"/>
      <c r="AJ22" s="164"/>
      <c r="AK22" s="164"/>
      <c r="AL22" s="131"/>
      <c r="AM22" s="168">
        <f t="shared" si="7"/>
        <v>92092</v>
      </c>
      <c r="AN22" s="180">
        <f t="shared" si="4"/>
        <v>19099</v>
      </c>
      <c r="AO22" s="180">
        <f t="shared" si="5"/>
        <v>93834</v>
      </c>
      <c r="AP22" s="498">
        <f t="shared" si="6"/>
        <v>2.7239317231769622</v>
      </c>
      <c r="AQ22" s="171"/>
      <c r="AR22" s="493">
        <f>SUM(J22:M22)</f>
        <v>128282</v>
      </c>
      <c r="AS22" s="234">
        <f>SUM(N22:Q22)</f>
        <v>34448</v>
      </c>
      <c r="AT22" s="234">
        <v>47917</v>
      </c>
      <c r="AU22" s="129">
        <v>45975</v>
      </c>
      <c r="AV22" s="129">
        <v>35980</v>
      </c>
      <c r="AW22" s="129">
        <v>61278</v>
      </c>
      <c r="AX22" s="129">
        <v>72313</v>
      </c>
      <c r="AY22" s="224">
        <v>68889</v>
      </c>
      <c r="AZ22" s="224">
        <v>66027</v>
      </c>
      <c r="BA22" s="312">
        <v>53976</v>
      </c>
      <c r="BB22" s="23"/>
      <c r="BC22" s="3"/>
      <c r="BD22" s="3"/>
      <c r="BG22" s="3"/>
    </row>
    <row r="23" spans="1:59" ht="12.75" customHeight="1" x14ac:dyDescent="0.2">
      <c r="A23" s="7"/>
      <c r="B23" s="44" t="s">
        <v>64</v>
      </c>
      <c r="C23" s="168">
        <f t="shared" si="2"/>
        <v>495</v>
      </c>
      <c r="D23" s="498">
        <f t="shared" si="3"/>
        <v>7.4212893553223386E-2</v>
      </c>
      <c r="E23" s="350"/>
      <c r="F23" s="500"/>
      <c r="G23" s="500"/>
      <c r="H23" s="500"/>
      <c r="I23" s="501">
        <v>7165</v>
      </c>
      <c r="J23" s="500">
        <v>6332</v>
      </c>
      <c r="K23" s="500">
        <v>6565</v>
      </c>
      <c r="L23" s="500">
        <v>5761</v>
      </c>
      <c r="M23" s="501">
        <v>6670</v>
      </c>
      <c r="N23" s="460">
        <v>1917</v>
      </c>
      <c r="O23" s="460">
        <f>1663-410</f>
        <v>1253</v>
      </c>
      <c r="P23" s="160">
        <v>1213</v>
      </c>
      <c r="Q23" s="164">
        <v>1267</v>
      </c>
      <c r="R23" s="160">
        <v>1248</v>
      </c>
      <c r="S23" s="160">
        <v>1303</v>
      </c>
      <c r="T23" s="160">
        <v>1255</v>
      </c>
      <c r="U23" s="164">
        <v>1242</v>
      </c>
      <c r="V23" s="160">
        <v>1904</v>
      </c>
      <c r="W23" s="160">
        <v>1672</v>
      </c>
      <c r="X23" s="160">
        <v>1396</v>
      </c>
      <c r="Y23" s="164">
        <v>1473</v>
      </c>
      <c r="Z23" s="160"/>
      <c r="AA23" s="160"/>
      <c r="AB23" s="160"/>
      <c r="AC23" s="164"/>
      <c r="AD23" s="160"/>
      <c r="AE23" s="160"/>
      <c r="AF23" s="160"/>
      <c r="AG23" s="164"/>
      <c r="AH23" s="129"/>
      <c r="AI23" s="164"/>
      <c r="AJ23" s="164"/>
      <c r="AK23" s="164"/>
      <c r="AL23" s="131"/>
      <c r="AM23" s="168">
        <f t="shared" si="7"/>
        <v>18996</v>
      </c>
      <c r="AN23" s="180">
        <f t="shared" si="4"/>
        <v>3733</v>
      </c>
      <c r="AO23" s="180">
        <f t="shared" si="5"/>
        <v>19678</v>
      </c>
      <c r="AP23" s="498" t="str">
        <f t="shared" si="6"/>
        <v>n.m.</v>
      </c>
      <c r="AQ23" s="171"/>
      <c r="AR23" s="37">
        <f>SUM(J23:M23)</f>
        <v>25328</v>
      </c>
      <c r="AS23" s="37">
        <f t="shared" ref="AS23:AS30" si="9">SUM(N23:Q23)</f>
        <v>5650</v>
      </c>
      <c r="AT23" s="37">
        <f>SUM(R23:U23)</f>
        <v>5048</v>
      </c>
      <c r="AU23" s="37">
        <f>SUM(V23:Y23)</f>
        <v>6445</v>
      </c>
      <c r="AV23" s="129">
        <v>5563</v>
      </c>
      <c r="AW23" s="129">
        <v>4547</v>
      </c>
      <c r="AX23" s="129">
        <v>3100</v>
      </c>
      <c r="AY23" s="37">
        <v>3210</v>
      </c>
      <c r="AZ23" s="37">
        <v>8795</v>
      </c>
      <c r="BA23" s="459">
        <v>5858</v>
      </c>
      <c r="BB23" s="23"/>
      <c r="BC23" s="3"/>
      <c r="BD23" s="3"/>
      <c r="BG23" s="3"/>
    </row>
    <row r="24" spans="1:59" ht="12.75" hidden="1" customHeight="1" x14ac:dyDescent="0.2">
      <c r="A24" s="7"/>
      <c r="B24" s="6" t="s">
        <v>195</v>
      </c>
      <c r="C24" s="168">
        <f t="shared" si="2"/>
        <v>0</v>
      </c>
      <c r="D24" s="444" t="e">
        <f t="shared" si="3"/>
        <v>#DIV/0!</v>
      </c>
      <c r="E24" s="350"/>
      <c r="F24" s="507"/>
      <c r="G24" s="507"/>
      <c r="H24" s="507"/>
      <c r="I24" s="26"/>
      <c r="J24" s="507"/>
      <c r="K24" s="507"/>
      <c r="L24" s="507"/>
      <c r="M24" s="26"/>
      <c r="N24" s="28"/>
      <c r="O24" s="28"/>
      <c r="P24" s="28"/>
      <c r="Q24" s="26"/>
      <c r="R24" s="28"/>
      <c r="S24" s="28"/>
      <c r="T24" s="28"/>
      <c r="U24" s="26"/>
      <c r="V24" s="28"/>
      <c r="W24" s="28"/>
      <c r="X24" s="28"/>
      <c r="Y24" s="26"/>
      <c r="Z24" s="28"/>
      <c r="AA24" s="28"/>
      <c r="AB24" s="28"/>
      <c r="AC24" s="26"/>
      <c r="AD24" s="160"/>
      <c r="AE24" s="160"/>
      <c r="AF24" s="160"/>
      <c r="AG24" s="164"/>
      <c r="AH24" s="129"/>
      <c r="AI24" s="164"/>
      <c r="AJ24" s="164"/>
      <c r="AK24" s="164"/>
      <c r="AL24" s="131"/>
      <c r="AM24" s="168">
        <f t="shared" si="7"/>
        <v>0</v>
      </c>
      <c r="AN24" s="180">
        <f t="shared" si="4"/>
        <v>0</v>
      </c>
      <c r="AO24" s="180">
        <f t="shared" si="5"/>
        <v>0</v>
      </c>
      <c r="AP24" s="498" t="e">
        <f t="shared" si="6"/>
        <v>#DIV/0!</v>
      </c>
      <c r="AQ24" s="169"/>
      <c r="AR24" s="37">
        <f t="shared" ref="AR24:AR33" si="10">SUM(J24:M24)</f>
        <v>0</v>
      </c>
      <c r="AS24" s="37">
        <f t="shared" si="9"/>
        <v>0</v>
      </c>
      <c r="AT24" s="37">
        <f t="shared" ref="AT24:AT30" si="11">SUM(R24:U24)</f>
        <v>0</v>
      </c>
      <c r="AU24" s="37">
        <f t="shared" ref="AU24:AU30" si="12">SUM(V24:Y24)</f>
        <v>0</v>
      </c>
      <c r="AV24" s="37"/>
      <c r="AW24" s="37"/>
      <c r="AX24" s="37"/>
      <c r="AY24" s="37">
        <v>0</v>
      </c>
      <c r="AZ24" s="37"/>
      <c r="BA24" s="459"/>
      <c r="BB24" s="23"/>
      <c r="BC24" s="3"/>
      <c r="BD24" s="3"/>
      <c r="BG24" s="3"/>
    </row>
    <row r="25" spans="1:59" ht="12.75" customHeight="1" x14ac:dyDescent="0.2">
      <c r="A25" s="7"/>
      <c r="B25" s="44" t="s">
        <v>93</v>
      </c>
      <c r="C25" s="168">
        <f t="shared" si="2"/>
        <v>353</v>
      </c>
      <c r="D25" s="444">
        <f t="shared" si="3"/>
        <v>0.20825958702064898</v>
      </c>
      <c r="E25" s="350"/>
      <c r="F25" s="500"/>
      <c r="G25" s="500"/>
      <c r="H25" s="500"/>
      <c r="I25" s="501">
        <v>2048</v>
      </c>
      <c r="J25" s="500">
        <v>1918</v>
      </c>
      <c r="K25" s="500">
        <v>1819</v>
      </c>
      <c r="L25" s="500">
        <v>1582</v>
      </c>
      <c r="M25" s="501">
        <v>1695</v>
      </c>
      <c r="N25" s="460">
        <v>742</v>
      </c>
      <c r="O25" s="460">
        <v>809</v>
      </c>
      <c r="P25" s="160">
        <v>940</v>
      </c>
      <c r="Q25" s="164">
        <v>1024</v>
      </c>
      <c r="R25" s="160">
        <v>983</v>
      </c>
      <c r="S25" s="160">
        <v>870</v>
      </c>
      <c r="T25" s="160">
        <v>841</v>
      </c>
      <c r="U25" s="164">
        <v>820</v>
      </c>
      <c r="V25" s="160">
        <v>781</v>
      </c>
      <c r="W25" s="160">
        <v>808</v>
      </c>
      <c r="X25" s="160">
        <v>968</v>
      </c>
      <c r="Y25" s="164">
        <v>995</v>
      </c>
      <c r="Z25" s="160"/>
      <c r="AA25" s="160"/>
      <c r="AB25" s="160"/>
      <c r="AC25" s="164"/>
      <c r="AD25" s="160"/>
      <c r="AE25" s="160"/>
      <c r="AF25" s="160"/>
      <c r="AG25" s="164"/>
      <c r="AH25" s="129"/>
      <c r="AI25" s="164"/>
      <c r="AJ25" s="164"/>
      <c r="AK25" s="164"/>
      <c r="AL25" s="131"/>
      <c r="AM25" s="168">
        <f t="shared" si="7"/>
        <v>5096</v>
      </c>
      <c r="AN25" s="180">
        <f t="shared" si="4"/>
        <v>2773</v>
      </c>
      <c r="AO25" s="180">
        <f t="shared" si="5"/>
        <v>3499</v>
      </c>
      <c r="AP25" s="498">
        <f t="shared" si="6"/>
        <v>0.99544807965860593</v>
      </c>
      <c r="AQ25" s="171"/>
      <c r="AR25" s="37">
        <f t="shared" si="10"/>
        <v>7014</v>
      </c>
      <c r="AS25" s="37">
        <f t="shared" si="9"/>
        <v>3515</v>
      </c>
      <c r="AT25" s="37">
        <f t="shared" si="11"/>
        <v>3514</v>
      </c>
      <c r="AU25" s="37">
        <f t="shared" si="12"/>
        <v>3552</v>
      </c>
      <c r="AV25" s="129">
        <v>2941</v>
      </c>
      <c r="AW25" s="129">
        <v>2179</v>
      </c>
      <c r="AX25" s="129">
        <v>1477</v>
      </c>
      <c r="AY25" s="37">
        <v>1190</v>
      </c>
      <c r="AZ25" s="37">
        <v>1163</v>
      </c>
      <c r="BA25" s="459">
        <v>1117</v>
      </c>
      <c r="BB25" s="23"/>
      <c r="BC25" s="3"/>
      <c r="BD25" s="3"/>
      <c r="BG25" s="3"/>
    </row>
    <row r="26" spans="1:59" ht="12.75" customHeight="1" x14ac:dyDescent="0.2">
      <c r="A26" s="7"/>
      <c r="B26" s="44" t="s">
        <v>66</v>
      </c>
      <c r="C26" s="168">
        <f t="shared" si="2"/>
        <v>-743</v>
      </c>
      <c r="D26" s="498">
        <f t="shared" si="3"/>
        <v>-0.18547179231153271</v>
      </c>
      <c r="E26" s="350"/>
      <c r="F26" s="500"/>
      <c r="G26" s="500"/>
      <c r="H26" s="500"/>
      <c r="I26" s="501">
        <v>3263</v>
      </c>
      <c r="J26" s="500">
        <v>3612</v>
      </c>
      <c r="K26" s="500">
        <v>3366</v>
      </c>
      <c r="L26" s="500">
        <v>3777</v>
      </c>
      <c r="M26" s="501">
        <v>4006</v>
      </c>
      <c r="N26" s="460">
        <v>1276</v>
      </c>
      <c r="O26" s="460">
        <v>861</v>
      </c>
      <c r="P26" s="160">
        <v>875</v>
      </c>
      <c r="Q26" s="164">
        <v>960</v>
      </c>
      <c r="R26" s="160">
        <v>855</v>
      </c>
      <c r="S26" s="160">
        <v>870</v>
      </c>
      <c r="T26" s="160">
        <v>875</v>
      </c>
      <c r="U26" s="164">
        <v>874</v>
      </c>
      <c r="V26" s="160">
        <v>944</v>
      </c>
      <c r="W26" s="160">
        <v>1054</v>
      </c>
      <c r="X26" s="160">
        <v>906</v>
      </c>
      <c r="Y26" s="164">
        <v>938</v>
      </c>
      <c r="Z26" s="160"/>
      <c r="AA26" s="160"/>
      <c r="AB26" s="160"/>
      <c r="AC26" s="164"/>
      <c r="AD26" s="160"/>
      <c r="AE26" s="160"/>
      <c r="AF26" s="160"/>
      <c r="AG26" s="164"/>
      <c r="AH26" s="129"/>
      <c r="AI26" s="164"/>
      <c r="AJ26" s="164"/>
      <c r="AK26" s="164"/>
      <c r="AL26" s="131"/>
      <c r="AM26" s="168">
        <f t="shared" si="7"/>
        <v>11149</v>
      </c>
      <c r="AN26" s="180">
        <f t="shared" si="4"/>
        <v>2696</v>
      </c>
      <c r="AO26" s="180">
        <f t="shared" si="5"/>
        <v>10789</v>
      </c>
      <c r="AP26" s="498">
        <f t="shared" si="6"/>
        <v>2.7162638469284994</v>
      </c>
      <c r="AQ26" s="171"/>
      <c r="AR26" s="37">
        <f t="shared" si="10"/>
        <v>14761</v>
      </c>
      <c r="AS26" s="37">
        <f t="shared" si="9"/>
        <v>3972</v>
      </c>
      <c r="AT26" s="37">
        <f t="shared" si="11"/>
        <v>3474</v>
      </c>
      <c r="AU26" s="37">
        <f t="shared" si="12"/>
        <v>3842</v>
      </c>
      <c r="AV26" s="129">
        <v>4046</v>
      </c>
      <c r="AW26" s="129">
        <v>3227</v>
      </c>
      <c r="AX26" s="129">
        <v>6343</v>
      </c>
      <c r="AY26" s="37">
        <v>2139</v>
      </c>
      <c r="AZ26" s="37">
        <v>2143</v>
      </c>
      <c r="BA26" s="459">
        <v>2573</v>
      </c>
      <c r="BB26" s="23"/>
      <c r="BC26" s="3"/>
      <c r="BD26" s="3"/>
      <c r="BG26" s="3"/>
    </row>
    <row r="27" spans="1:59" ht="12.75" customHeight="1" x14ac:dyDescent="0.2">
      <c r="A27" s="7"/>
      <c r="B27" s="44" t="s">
        <v>67</v>
      </c>
      <c r="C27" s="168">
        <f t="shared" si="2"/>
        <v>-2730</v>
      </c>
      <c r="D27" s="498">
        <f t="shared" si="3"/>
        <v>-0.4140127388535032</v>
      </c>
      <c r="E27" s="350"/>
      <c r="F27" s="500"/>
      <c r="G27" s="500"/>
      <c r="H27" s="500"/>
      <c r="I27" s="501">
        <v>3864</v>
      </c>
      <c r="J27" s="500">
        <v>4560</v>
      </c>
      <c r="K27" s="500">
        <v>4555</v>
      </c>
      <c r="L27" s="500">
        <v>4099</v>
      </c>
      <c r="M27" s="501">
        <v>6594</v>
      </c>
      <c r="N27" s="460">
        <v>1778</v>
      </c>
      <c r="O27" s="460">
        <v>1399</v>
      </c>
      <c r="P27" s="160">
        <v>1479</v>
      </c>
      <c r="Q27" s="164">
        <v>1345</v>
      </c>
      <c r="R27" s="160">
        <v>1313</v>
      </c>
      <c r="S27" s="160">
        <v>1310</v>
      </c>
      <c r="T27" s="160">
        <v>1340</v>
      </c>
      <c r="U27" s="164">
        <v>1180</v>
      </c>
      <c r="V27" s="160">
        <v>680</v>
      </c>
      <c r="W27" s="160">
        <v>754</v>
      </c>
      <c r="X27" s="160">
        <v>523</v>
      </c>
      <c r="Y27" s="164">
        <v>476</v>
      </c>
      <c r="Z27" s="160"/>
      <c r="AA27" s="160"/>
      <c r="AB27" s="160"/>
      <c r="AC27" s="164"/>
      <c r="AD27" s="160"/>
      <c r="AE27" s="160"/>
      <c r="AF27" s="160"/>
      <c r="AG27" s="164"/>
      <c r="AH27" s="129"/>
      <c r="AI27" s="164"/>
      <c r="AJ27" s="164"/>
      <c r="AK27" s="164"/>
      <c r="AL27" s="131"/>
      <c r="AM27" s="168">
        <f t="shared" si="7"/>
        <v>15248</v>
      </c>
      <c r="AN27" s="180">
        <f t="shared" si="4"/>
        <v>4223</v>
      </c>
      <c r="AO27" s="180">
        <f t="shared" si="5"/>
        <v>13807</v>
      </c>
      <c r="AP27" s="498">
        <f t="shared" si="6"/>
        <v>2.3007832027995332</v>
      </c>
      <c r="AQ27" s="171"/>
      <c r="AR27" s="37">
        <f t="shared" si="10"/>
        <v>19808</v>
      </c>
      <c r="AS27" s="37">
        <f t="shared" si="9"/>
        <v>6001</v>
      </c>
      <c r="AT27" s="37">
        <f t="shared" si="11"/>
        <v>5143</v>
      </c>
      <c r="AU27" s="37">
        <f t="shared" si="12"/>
        <v>2433</v>
      </c>
      <c r="AV27" s="129">
        <v>2049</v>
      </c>
      <c r="AW27" s="129">
        <v>2816</v>
      </c>
      <c r="AX27" s="129">
        <v>2227</v>
      </c>
      <c r="AY27" s="37">
        <v>1440</v>
      </c>
      <c r="AZ27" s="37">
        <v>1036</v>
      </c>
      <c r="BA27" s="459">
        <v>837</v>
      </c>
      <c r="BB27" s="23"/>
      <c r="BC27" s="3"/>
      <c r="BD27" s="3"/>
      <c r="BG27" s="3"/>
    </row>
    <row r="28" spans="1:59" ht="12.75" customHeight="1" x14ac:dyDescent="0.2">
      <c r="A28" s="7"/>
      <c r="B28" s="44" t="s">
        <v>62</v>
      </c>
      <c r="C28" s="168">
        <f t="shared" si="2"/>
        <v>196</v>
      </c>
      <c r="D28" s="498">
        <f t="shared" si="3"/>
        <v>0.23642943305186973</v>
      </c>
      <c r="E28" s="350"/>
      <c r="F28" s="500"/>
      <c r="G28" s="500"/>
      <c r="H28" s="500"/>
      <c r="I28" s="501">
        <v>1025</v>
      </c>
      <c r="J28" s="500">
        <v>843</v>
      </c>
      <c r="K28" s="500">
        <v>824</v>
      </c>
      <c r="L28" s="500">
        <v>925</v>
      </c>
      <c r="M28" s="501">
        <v>829</v>
      </c>
      <c r="N28" s="460">
        <v>154</v>
      </c>
      <c r="O28" s="460">
        <v>8</v>
      </c>
      <c r="P28" s="160">
        <v>17</v>
      </c>
      <c r="Q28" s="164">
        <v>-9</v>
      </c>
      <c r="R28" s="160">
        <v>60</v>
      </c>
      <c r="S28" s="160">
        <v>12</v>
      </c>
      <c r="T28" s="160">
        <v>13</v>
      </c>
      <c r="U28" s="164">
        <v>17</v>
      </c>
      <c r="V28" s="160">
        <v>12</v>
      </c>
      <c r="W28" s="160">
        <v>23</v>
      </c>
      <c r="X28" s="160">
        <v>15</v>
      </c>
      <c r="Y28" s="164">
        <v>24</v>
      </c>
      <c r="Z28" s="160"/>
      <c r="AA28" s="160"/>
      <c r="AB28" s="160"/>
      <c r="AC28" s="164"/>
      <c r="AD28" s="160"/>
      <c r="AE28" s="180"/>
      <c r="AF28" s="180"/>
      <c r="AG28" s="217"/>
      <c r="AH28" s="189"/>
      <c r="AI28" s="164"/>
      <c r="AJ28" s="164"/>
      <c r="AK28" s="217"/>
      <c r="AL28" s="131"/>
      <c r="AM28" s="168">
        <f t="shared" si="7"/>
        <v>2578</v>
      </c>
      <c r="AN28" s="180">
        <f t="shared" si="4"/>
        <v>16</v>
      </c>
      <c r="AO28" s="180">
        <f t="shared" si="5"/>
        <v>3251</v>
      </c>
      <c r="AP28" s="498" t="str">
        <f t="shared" si="6"/>
        <v>n.m.</v>
      </c>
      <c r="AQ28" s="171"/>
      <c r="AR28" s="37">
        <f t="shared" si="10"/>
        <v>3421</v>
      </c>
      <c r="AS28" s="37">
        <f t="shared" si="9"/>
        <v>170</v>
      </c>
      <c r="AT28" s="37">
        <f t="shared" si="11"/>
        <v>102</v>
      </c>
      <c r="AU28" s="37">
        <f t="shared" si="12"/>
        <v>74</v>
      </c>
      <c r="AV28" s="129">
        <v>253</v>
      </c>
      <c r="AW28" s="129">
        <v>-4</v>
      </c>
      <c r="AX28" s="129">
        <v>0</v>
      </c>
      <c r="AY28" s="37">
        <v>5</v>
      </c>
      <c r="AZ28" s="37">
        <v>1</v>
      </c>
      <c r="BA28" s="459">
        <v>35</v>
      </c>
      <c r="BB28" s="23"/>
      <c r="BC28" s="3"/>
      <c r="BD28" s="3"/>
      <c r="BG28" s="3"/>
    </row>
    <row r="29" spans="1:59" ht="12.75" customHeight="1" x14ac:dyDescent="0.2">
      <c r="A29" s="7"/>
      <c r="B29" s="44" t="s">
        <v>90</v>
      </c>
      <c r="C29" s="168">
        <f t="shared" si="2"/>
        <v>-1269</v>
      </c>
      <c r="D29" s="498">
        <f t="shared" si="3"/>
        <v>-0.14067176587961425</v>
      </c>
      <c r="E29" s="350"/>
      <c r="F29" s="500"/>
      <c r="G29" s="500"/>
      <c r="H29" s="500"/>
      <c r="I29" s="501">
        <v>7752</v>
      </c>
      <c r="J29" s="500">
        <v>6822</v>
      </c>
      <c r="K29" s="500">
        <v>9556</v>
      </c>
      <c r="L29" s="500">
        <v>5965</v>
      </c>
      <c r="M29" s="501">
        <v>9021</v>
      </c>
      <c r="N29" s="460">
        <v>3693</v>
      </c>
      <c r="O29" s="460">
        <v>1763</v>
      </c>
      <c r="P29" s="160">
        <v>1485</v>
      </c>
      <c r="Q29" s="164">
        <v>2212</v>
      </c>
      <c r="R29" s="160">
        <v>1710</v>
      </c>
      <c r="S29" s="160">
        <v>1633</v>
      </c>
      <c r="T29" s="160">
        <v>1593</v>
      </c>
      <c r="U29" s="164">
        <v>2463</v>
      </c>
      <c r="V29" s="160">
        <v>1365</v>
      </c>
      <c r="W29" s="160">
        <v>1398</v>
      </c>
      <c r="X29" s="160">
        <v>1575</v>
      </c>
      <c r="Y29" s="164">
        <v>1647</v>
      </c>
      <c r="Z29" s="160"/>
      <c r="AA29" s="160"/>
      <c r="AB29" s="160"/>
      <c r="AC29" s="164"/>
      <c r="AD29" s="160"/>
      <c r="AE29" s="160"/>
      <c r="AF29" s="160"/>
      <c r="AG29" s="164"/>
      <c r="AH29" s="129"/>
      <c r="AI29" s="164"/>
      <c r="AJ29" s="164"/>
      <c r="AK29" s="164"/>
      <c r="AL29" s="131"/>
      <c r="AM29" s="168">
        <f t="shared" si="7"/>
        <v>24542</v>
      </c>
      <c r="AN29" s="180">
        <f t="shared" si="4"/>
        <v>5460</v>
      </c>
      <c r="AO29" s="180">
        <f t="shared" si="5"/>
        <v>22211</v>
      </c>
      <c r="AP29" s="498">
        <f t="shared" si="6"/>
        <v>2.4266360756036272</v>
      </c>
      <c r="AQ29" s="171"/>
      <c r="AR29" s="37">
        <f t="shared" si="10"/>
        <v>31364</v>
      </c>
      <c r="AS29" s="37">
        <f t="shared" si="9"/>
        <v>9153</v>
      </c>
      <c r="AT29" s="37">
        <f t="shared" si="11"/>
        <v>7399</v>
      </c>
      <c r="AU29" s="37">
        <f t="shared" si="12"/>
        <v>5985</v>
      </c>
      <c r="AV29" s="129">
        <v>15606</v>
      </c>
      <c r="AW29" s="129">
        <v>11718</v>
      </c>
      <c r="AX29" s="129">
        <v>10403</v>
      </c>
      <c r="AY29" s="37">
        <v>6374</v>
      </c>
      <c r="AZ29" s="37">
        <v>5879</v>
      </c>
      <c r="BA29" s="459">
        <v>3463</v>
      </c>
      <c r="BB29" s="23"/>
      <c r="BC29" s="3"/>
      <c r="BD29" s="3"/>
      <c r="BG29" s="3"/>
    </row>
    <row r="30" spans="1:59" ht="12.75" customHeight="1" x14ac:dyDescent="0.2">
      <c r="A30" s="7"/>
      <c r="B30" s="44" t="s">
        <v>69</v>
      </c>
      <c r="C30" s="168">
        <f t="shared" si="2"/>
        <v>-695</v>
      </c>
      <c r="D30" s="498">
        <f t="shared" si="3"/>
        <v>-0.19649420412779192</v>
      </c>
      <c r="E30" s="350"/>
      <c r="F30" s="500"/>
      <c r="G30" s="500"/>
      <c r="H30" s="500"/>
      <c r="I30" s="501">
        <v>2842</v>
      </c>
      <c r="J30" s="500">
        <v>3524</v>
      </c>
      <c r="K30" s="500">
        <v>3580</v>
      </c>
      <c r="L30" s="500">
        <v>3478</v>
      </c>
      <c r="M30" s="501">
        <v>3537</v>
      </c>
      <c r="N30" s="460">
        <v>334</v>
      </c>
      <c r="O30" s="460">
        <v>307</v>
      </c>
      <c r="P30" s="160">
        <v>291</v>
      </c>
      <c r="Q30" s="164">
        <v>312</v>
      </c>
      <c r="R30" s="160">
        <v>314</v>
      </c>
      <c r="S30" s="160">
        <v>314</v>
      </c>
      <c r="T30" s="160">
        <v>314</v>
      </c>
      <c r="U30" s="164">
        <v>312</v>
      </c>
      <c r="V30" s="160">
        <v>339</v>
      </c>
      <c r="W30" s="160">
        <v>391</v>
      </c>
      <c r="X30" s="160">
        <v>425</v>
      </c>
      <c r="Y30" s="164">
        <v>448</v>
      </c>
      <c r="Z30" s="160"/>
      <c r="AA30" s="160"/>
      <c r="AB30" s="160"/>
      <c r="AC30" s="164"/>
      <c r="AD30" s="160"/>
      <c r="AE30" s="160"/>
      <c r="AF30" s="160"/>
      <c r="AG30" s="164"/>
      <c r="AH30" s="129"/>
      <c r="AI30" s="164"/>
      <c r="AJ30" s="164"/>
      <c r="AK30" s="164"/>
      <c r="AL30" s="131"/>
      <c r="AM30" s="168">
        <f t="shared" si="7"/>
        <v>10595</v>
      </c>
      <c r="AN30" s="180">
        <f t="shared" si="4"/>
        <v>910</v>
      </c>
      <c r="AO30" s="180">
        <f t="shared" si="5"/>
        <v>12875</v>
      </c>
      <c r="AP30" s="498" t="str">
        <f t="shared" si="6"/>
        <v>n.m.</v>
      </c>
      <c r="AQ30" s="171"/>
      <c r="AR30" s="37">
        <f t="shared" si="10"/>
        <v>14119</v>
      </c>
      <c r="AS30" s="37">
        <f t="shared" si="9"/>
        <v>1244</v>
      </c>
      <c r="AT30" s="37">
        <f t="shared" si="11"/>
        <v>1254</v>
      </c>
      <c r="AU30" s="37">
        <f t="shared" si="12"/>
        <v>1603</v>
      </c>
      <c r="AV30" s="129">
        <v>1843</v>
      </c>
      <c r="AW30" s="129">
        <v>1825</v>
      </c>
      <c r="AX30" s="129">
        <v>2016</v>
      </c>
      <c r="AY30" s="37">
        <v>716</v>
      </c>
      <c r="AZ30" s="37">
        <v>620</v>
      </c>
      <c r="BA30" s="459">
        <v>716</v>
      </c>
      <c r="BB30" s="23"/>
      <c r="BC30" s="3"/>
      <c r="BD30" s="3"/>
      <c r="BG30" s="3"/>
    </row>
    <row r="31" spans="1:59" s="480" customFormat="1" ht="12.75" customHeight="1" x14ac:dyDescent="0.2">
      <c r="A31" s="6"/>
      <c r="B31" s="482" t="s">
        <v>70</v>
      </c>
      <c r="C31" s="168">
        <f t="shared" si="2"/>
        <v>1551</v>
      </c>
      <c r="D31" s="498" t="s">
        <v>41</v>
      </c>
      <c r="E31" s="497"/>
      <c r="F31" s="500"/>
      <c r="G31" s="500"/>
      <c r="H31" s="521"/>
      <c r="I31" s="217">
        <v>1551</v>
      </c>
      <c r="J31" s="500">
        <v>1658</v>
      </c>
      <c r="K31" s="500">
        <v>2664</v>
      </c>
      <c r="L31" s="521">
        <v>0</v>
      </c>
      <c r="M31" s="522">
        <v>0</v>
      </c>
      <c r="N31" s="500">
        <v>1</v>
      </c>
      <c r="O31" s="500">
        <v>512</v>
      </c>
      <c r="P31" s="500">
        <v>533</v>
      </c>
      <c r="Q31" s="501">
        <v>760</v>
      </c>
      <c r="R31" s="500">
        <v>1474</v>
      </c>
      <c r="S31" s="500">
        <v>1103</v>
      </c>
      <c r="T31" s="500">
        <v>1012</v>
      </c>
      <c r="U31" s="501">
        <v>1108</v>
      </c>
      <c r="V31" s="500">
        <v>1972</v>
      </c>
      <c r="W31" s="500">
        <v>345</v>
      </c>
      <c r="X31" s="500">
        <v>343</v>
      </c>
      <c r="Y31" s="501">
        <v>352</v>
      </c>
      <c r="Z31" s="500"/>
      <c r="AA31" s="500"/>
      <c r="AB31" s="500"/>
      <c r="AC31" s="501"/>
      <c r="AD31" s="500"/>
      <c r="AE31" s="500"/>
      <c r="AF31" s="500"/>
      <c r="AG31" s="501"/>
      <c r="AH31" s="499"/>
      <c r="AI31" s="167"/>
      <c r="AJ31" s="501"/>
      <c r="AK31" s="501"/>
      <c r="AL31" s="131"/>
      <c r="AM31" s="168">
        <f>SUM(K31:M31)</f>
        <v>2664</v>
      </c>
      <c r="AN31" s="180">
        <f>SUM(O31:Q31)</f>
        <v>1805</v>
      </c>
      <c r="AO31" s="180">
        <f t="shared" si="5"/>
        <v>2516</v>
      </c>
      <c r="AP31" s="498">
        <f t="shared" si="6"/>
        <v>1.3931339977851607</v>
      </c>
      <c r="AQ31" s="171"/>
      <c r="AR31" s="37">
        <f t="shared" si="10"/>
        <v>4322</v>
      </c>
      <c r="AS31" s="37">
        <f>SUM(N31:Q31)</f>
        <v>1806</v>
      </c>
      <c r="AT31" s="37">
        <f>SUM(R31:U31)</f>
        <v>4697</v>
      </c>
      <c r="AU31" s="37">
        <f>SUM(V31:Y31)</f>
        <v>3012</v>
      </c>
      <c r="AV31" s="499">
        <v>1340</v>
      </c>
      <c r="AW31" s="499">
        <v>1133</v>
      </c>
      <c r="AX31" s="499">
        <v>269</v>
      </c>
      <c r="AY31" s="37">
        <v>0</v>
      </c>
      <c r="AZ31" s="37">
        <v>0</v>
      </c>
      <c r="BA31" s="459">
        <v>0</v>
      </c>
      <c r="BB31" s="23"/>
      <c r="BC31" s="481"/>
      <c r="BD31" s="481"/>
      <c r="BG31" s="481"/>
    </row>
    <row r="32" spans="1:59" s="480" customFormat="1" ht="12.75" customHeight="1" x14ac:dyDescent="0.2">
      <c r="A32" s="7"/>
      <c r="B32" s="482" t="s">
        <v>164</v>
      </c>
      <c r="C32" s="168">
        <f t="shared" si="2"/>
        <v>0</v>
      </c>
      <c r="D32" s="498">
        <v>0</v>
      </c>
      <c r="E32" s="497"/>
      <c r="F32" s="500"/>
      <c r="G32" s="500"/>
      <c r="H32" s="521"/>
      <c r="I32" s="522">
        <v>0</v>
      </c>
      <c r="J32" s="500">
        <v>6445</v>
      </c>
      <c r="K32" s="500">
        <v>3325</v>
      </c>
      <c r="L32" s="521">
        <v>0</v>
      </c>
      <c r="M32" s="522">
        <v>0</v>
      </c>
      <c r="N32" s="500">
        <v>18050</v>
      </c>
      <c r="O32" s="500">
        <v>410</v>
      </c>
      <c r="P32" s="521">
        <v>0</v>
      </c>
      <c r="Q32" s="522">
        <v>0</v>
      </c>
      <c r="R32" s="521">
        <v>0</v>
      </c>
      <c r="S32" s="521">
        <v>0</v>
      </c>
      <c r="T32" s="521">
        <v>0</v>
      </c>
      <c r="U32" s="522">
        <v>0</v>
      </c>
      <c r="V32" s="363">
        <v>0</v>
      </c>
      <c r="W32" s="500">
        <v>0</v>
      </c>
      <c r="X32" s="500">
        <v>0</v>
      </c>
      <c r="Y32" s="501">
        <v>0</v>
      </c>
      <c r="Z32" s="500"/>
      <c r="AA32" s="500"/>
      <c r="AB32" s="500"/>
      <c r="AC32" s="501"/>
      <c r="AD32" s="500"/>
      <c r="AE32" s="500"/>
      <c r="AF32" s="500"/>
      <c r="AG32" s="501"/>
      <c r="AH32" s="499"/>
      <c r="AI32" s="501"/>
      <c r="AJ32" s="501"/>
      <c r="AK32" s="501"/>
      <c r="AL32" s="131"/>
      <c r="AM32" s="168">
        <f>SUM(K32:M32)</f>
        <v>3325</v>
      </c>
      <c r="AN32" s="180">
        <f>SUM(O32:Q32)</f>
        <v>410</v>
      </c>
      <c r="AO32" s="180">
        <f t="shared" si="5"/>
        <v>-8690</v>
      </c>
      <c r="AP32" s="498">
        <f t="shared" si="6"/>
        <v>-0.47074756229685805</v>
      </c>
      <c r="AQ32" s="171"/>
      <c r="AR32" s="37">
        <f t="shared" si="10"/>
        <v>9770</v>
      </c>
      <c r="AS32" s="37">
        <f>SUM(N32:Q32)</f>
        <v>18460</v>
      </c>
      <c r="AT32" s="37">
        <f>SUM(R32:U32)</f>
        <v>0</v>
      </c>
      <c r="AU32" s="37">
        <f>SUM(V32:Y32)</f>
        <v>0</v>
      </c>
      <c r="AV32" s="506">
        <v>1274</v>
      </c>
      <c r="AW32" s="506">
        <v>0</v>
      </c>
      <c r="AX32" s="499">
        <v>0</v>
      </c>
      <c r="AY32" s="37">
        <v>0</v>
      </c>
      <c r="AZ32" s="37">
        <v>0</v>
      </c>
      <c r="BA32" s="459">
        <v>0</v>
      </c>
      <c r="BB32" s="23"/>
      <c r="BC32" s="481"/>
      <c r="BD32" s="481"/>
      <c r="BG32" s="481"/>
    </row>
    <row r="33" spans="1:59" s="480" customFormat="1" ht="12.75" customHeight="1" x14ac:dyDescent="0.2">
      <c r="A33" s="7"/>
      <c r="B33" s="482" t="s">
        <v>185</v>
      </c>
      <c r="C33" s="168">
        <f t="shared" si="2"/>
        <v>0</v>
      </c>
      <c r="D33" s="498">
        <v>0</v>
      </c>
      <c r="E33" s="497"/>
      <c r="F33" s="180"/>
      <c r="G33" s="180"/>
      <c r="H33" s="500"/>
      <c r="I33" s="217">
        <v>0</v>
      </c>
      <c r="J33" s="180">
        <v>0</v>
      </c>
      <c r="K33" s="180">
        <v>431</v>
      </c>
      <c r="L33" s="500">
        <v>900</v>
      </c>
      <c r="M33" s="217">
        <v>0</v>
      </c>
      <c r="N33" s="180">
        <v>9963</v>
      </c>
      <c r="O33" s="180">
        <v>0</v>
      </c>
      <c r="P33" s="180">
        <v>0</v>
      </c>
      <c r="Q33" s="217">
        <v>0</v>
      </c>
      <c r="R33" s="180">
        <v>0</v>
      </c>
      <c r="S33" s="180">
        <v>0</v>
      </c>
      <c r="T33" s="180">
        <v>0</v>
      </c>
      <c r="U33" s="217">
        <v>0</v>
      </c>
      <c r="V33" s="500">
        <v>0</v>
      </c>
      <c r="W33" s="500"/>
      <c r="X33" s="500"/>
      <c r="Y33" s="501"/>
      <c r="Z33" s="500"/>
      <c r="AA33" s="500"/>
      <c r="AB33" s="500"/>
      <c r="AC33" s="501"/>
      <c r="AD33" s="500"/>
      <c r="AE33" s="500"/>
      <c r="AF33" s="500"/>
      <c r="AG33" s="501"/>
      <c r="AH33" s="499"/>
      <c r="AI33" s="501"/>
      <c r="AJ33" s="501"/>
      <c r="AK33" s="501"/>
      <c r="AL33" s="131"/>
      <c r="AM33" s="168">
        <f>SUM(K33:M33)</f>
        <v>1331</v>
      </c>
      <c r="AN33" s="180">
        <f>SUM(O33:Q33)</f>
        <v>0</v>
      </c>
      <c r="AO33" s="180">
        <f t="shared" si="5"/>
        <v>-8632</v>
      </c>
      <c r="AP33" s="498">
        <f t="shared" si="6"/>
        <v>-0.86640570109404802</v>
      </c>
      <c r="AQ33" s="171"/>
      <c r="AR33" s="37">
        <f t="shared" si="10"/>
        <v>1331</v>
      </c>
      <c r="AS33" s="37">
        <f>SUM(N33:Q33)</f>
        <v>9963</v>
      </c>
      <c r="AT33" s="37">
        <f>SUM(R33:U33)</f>
        <v>0</v>
      </c>
      <c r="AU33" s="37">
        <v>0</v>
      </c>
      <c r="AV33" s="499">
        <v>0</v>
      </c>
      <c r="AW33" s="499">
        <v>0</v>
      </c>
      <c r="AX33" s="499"/>
      <c r="AY33" s="37"/>
      <c r="AZ33" s="37"/>
      <c r="BA33" s="459"/>
      <c r="BB33" s="23"/>
      <c r="BC33" s="481"/>
      <c r="BD33" s="481"/>
      <c r="BG33" s="481"/>
    </row>
    <row r="34" spans="1:59" s="480" customFormat="1" ht="12.75" hidden="1" customHeight="1" x14ac:dyDescent="0.2">
      <c r="A34" s="7"/>
      <c r="B34" s="482" t="s">
        <v>255</v>
      </c>
      <c r="C34" s="168"/>
      <c r="D34" s="498"/>
      <c r="E34" s="497"/>
      <c r="F34" s="500"/>
      <c r="G34" s="500"/>
      <c r="H34" s="500"/>
      <c r="I34" s="217"/>
      <c r="J34" s="500"/>
      <c r="K34" s="500"/>
      <c r="L34" s="500"/>
      <c r="M34" s="217"/>
      <c r="N34" s="180"/>
      <c r="O34" s="180"/>
      <c r="P34" s="180"/>
      <c r="Q34" s="217"/>
      <c r="R34" s="180"/>
      <c r="S34" s="180"/>
      <c r="T34" s="180"/>
      <c r="U34" s="217"/>
      <c r="V34" s="500"/>
      <c r="W34" s="500"/>
      <c r="X34" s="500"/>
      <c r="Y34" s="501"/>
      <c r="Z34" s="500"/>
      <c r="AA34" s="500"/>
      <c r="AB34" s="500"/>
      <c r="AC34" s="501"/>
      <c r="AD34" s="500"/>
      <c r="AE34" s="500"/>
      <c r="AF34" s="500"/>
      <c r="AG34" s="501"/>
      <c r="AH34" s="499"/>
      <c r="AI34" s="501"/>
      <c r="AJ34" s="501"/>
      <c r="AK34" s="501"/>
      <c r="AL34" s="131"/>
      <c r="AM34" s="168"/>
      <c r="AN34" s="180"/>
      <c r="AO34" s="180"/>
      <c r="AP34" s="498"/>
      <c r="AQ34" s="171"/>
      <c r="AR34" s="37"/>
      <c r="AS34" s="37"/>
      <c r="AT34" s="37"/>
      <c r="AU34" s="37"/>
      <c r="AV34" s="499"/>
      <c r="AW34" s="499"/>
      <c r="AX34" s="499"/>
      <c r="AY34" s="37"/>
      <c r="AZ34" s="37"/>
      <c r="BA34" s="459"/>
      <c r="BB34" s="23"/>
      <c r="BC34" s="481"/>
      <c r="BD34" s="481"/>
      <c r="BG34" s="481"/>
    </row>
    <row r="35" spans="1:59" ht="12.75" customHeight="1" x14ac:dyDescent="0.2">
      <c r="A35" s="7"/>
      <c r="B35" s="6"/>
      <c r="C35" s="173">
        <f>I35-M35</f>
        <v>-910</v>
      </c>
      <c r="D35" s="111">
        <f>IF(OR((C35/M35)&gt;3,(C35/M35)&lt;-3),"n.m.",(C35/M35))</f>
        <v>-1.5546519971298732E-2</v>
      </c>
      <c r="E35" s="350"/>
      <c r="F35" s="174"/>
      <c r="G35" s="174"/>
      <c r="H35" s="174"/>
      <c r="I35" s="175">
        <f t="shared" ref="I35:N35" si="13">SUM(I22:I34)</f>
        <v>57624</v>
      </c>
      <c r="J35" s="174">
        <f t="shared" si="13"/>
        <v>71904</v>
      </c>
      <c r="K35" s="174">
        <f t="shared" si="13"/>
        <v>70304</v>
      </c>
      <c r="L35" s="174">
        <f t="shared" si="13"/>
        <v>58778</v>
      </c>
      <c r="M35" s="175">
        <f t="shared" si="13"/>
        <v>58534</v>
      </c>
      <c r="N35" s="174">
        <f t="shared" si="13"/>
        <v>53257</v>
      </c>
      <c r="O35" s="174">
        <f>SUM(O20:O21,O23:O33)</f>
        <v>13751</v>
      </c>
      <c r="P35" s="174">
        <f>SUM(P22:P34)</f>
        <v>13294</v>
      </c>
      <c r="Q35" s="175">
        <f>SUM(Q22:Q34)</f>
        <v>14080</v>
      </c>
      <c r="R35" s="174">
        <f t="shared" ref="R35:AX35" si="14">SUM(R22:R33)</f>
        <v>25215</v>
      </c>
      <c r="S35" s="174">
        <f t="shared" si="14"/>
        <v>20384</v>
      </c>
      <c r="T35" s="174">
        <f t="shared" si="14"/>
        <v>16895</v>
      </c>
      <c r="U35" s="175">
        <f t="shared" si="14"/>
        <v>16054</v>
      </c>
      <c r="V35" s="174">
        <f t="shared" si="14"/>
        <v>19201</v>
      </c>
      <c r="W35" s="174">
        <f t="shared" si="14"/>
        <v>21966</v>
      </c>
      <c r="X35" s="174">
        <f t="shared" si="14"/>
        <v>14464</v>
      </c>
      <c r="Y35" s="175">
        <f t="shared" si="14"/>
        <v>17290</v>
      </c>
      <c r="Z35" s="174">
        <f t="shared" si="14"/>
        <v>0</v>
      </c>
      <c r="AA35" s="174">
        <f t="shared" si="14"/>
        <v>0</v>
      </c>
      <c r="AB35" s="174">
        <f t="shared" si="14"/>
        <v>0</v>
      </c>
      <c r="AC35" s="175">
        <f t="shared" si="14"/>
        <v>0</v>
      </c>
      <c r="AD35" s="174">
        <f t="shared" si="14"/>
        <v>0</v>
      </c>
      <c r="AE35" s="174">
        <f t="shared" si="14"/>
        <v>0</v>
      </c>
      <c r="AF35" s="174">
        <f t="shared" si="14"/>
        <v>0</v>
      </c>
      <c r="AG35" s="175">
        <f t="shared" si="14"/>
        <v>0</v>
      </c>
      <c r="AH35" s="134">
        <f t="shared" si="14"/>
        <v>0</v>
      </c>
      <c r="AI35" s="175">
        <f t="shared" si="14"/>
        <v>0</v>
      </c>
      <c r="AJ35" s="175">
        <f t="shared" si="14"/>
        <v>0</v>
      </c>
      <c r="AK35" s="175">
        <f t="shared" si="14"/>
        <v>0</v>
      </c>
      <c r="AL35" s="131"/>
      <c r="AM35" s="172">
        <f>SUM(AM22:AM33)</f>
        <v>187616</v>
      </c>
      <c r="AN35" s="236">
        <f>SUM(AN22:AN33)</f>
        <v>41125</v>
      </c>
      <c r="AO35" s="236">
        <f>AR35-AS35</f>
        <v>165138</v>
      </c>
      <c r="AP35" s="111">
        <f>IF(OR((AO35/AS35)&gt;3,(AO35/AS35)&lt;-3),"n.m.",(AO35/AS35))</f>
        <v>1.7496768451611535</v>
      </c>
      <c r="AQ35" s="171"/>
      <c r="AR35" s="241">
        <f>SUM(AR22:AR34)</f>
        <v>259520</v>
      </c>
      <c r="AS35" s="241">
        <f>SUM(AS22:AS34)</f>
        <v>94382</v>
      </c>
      <c r="AT35" s="241">
        <f>SUM(AT22:AT34)</f>
        <v>78548</v>
      </c>
      <c r="AU35" s="130">
        <f t="shared" si="14"/>
        <v>72921</v>
      </c>
      <c r="AV35" s="130">
        <f t="shared" si="14"/>
        <v>70895</v>
      </c>
      <c r="AW35" s="130">
        <f t="shared" si="14"/>
        <v>88719</v>
      </c>
      <c r="AX35" s="130">
        <f t="shared" si="14"/>
        <v>98148</v>
      </c>
      <c r="AY35" s="219">
        <v>83963</v>
      </c>
      <c r="AZ35" s="219">
        <v>85664</v>
      </c>
      <c r="BA35" s="110">
        <v>68575</v>
      </c>
      <c r="BB35" s="23"/>
      <c r="BC35" s="3"/>
      <c r="BD35" s="3"/>
      <c r="BG35" s="3"/>
    </row>
    <row r="36" spans="1:59" s="480" customFormat="1" ht="12.75" customHeight="1" thickBot="1" x14ac:dyDescent="0.25">
      <c r="A36" s="3208" t="s">
        <v>326</v>
      </c>
      <c r="B36" s="3209"/>
      <c r="C36" s="268" t="e">
        <f>I36-M36</f>
        <v>#REF!</v>
      </c>
      <c r="D36" s="120" t="e">
        <f>IF(OR((C36/M36)&gt;3,(C36/M36)&lt;-3),"n.m.",(C36/M36))</f>
        <v>#REF!</v>
      </c>
      <c r="E36" s="497"/>
      <c r="F36" s="149"/>
      <c r="G36" s="149"/>
      <c r="H36" s="149"/>
      <c r="I36" s="150" t="e">
        <f>+I16-I35</f>
        <v>#REF!</v>
      </c>
      <c r="J36" s="149" t="e">
        <f>+J16-J35</f>
        <v>#REF!</v>
      </c>
      <c r="K36" s="149" t="e">
        <f>+K16-K35</f>
        <v>#REF!</v>
      </c>
      <c r="L36" s="149" t="e">
        <f>+L16-L35</f>
        <v>#REF!</v>
      </c>
      <c r="M36" s="150" t="e">
        <f t="shared" ref="M36:AK36" si="15">M16-M35</f>
        <v>#REF!</v>
      </c>
      <c r="N36" s="149" t="e">
        <f t="shared" si="15"/>
        <v>#REF!</v>
      </c>
      <c r="O36" s="149">
        <f t="shared" si="15"/>
        <v>-1003</v>
      </c>
      <c r="P36" s="149">
        <f t="shared" si="15"/>
        <v>-3956</v>
      </c>
      <c r="Q36" s="150">
        <f t="shared" si="15"/>
        <v>-4834</v>
      </c>
      <c r="R36" s="149">
        <f t="shared" si="15"/>
        <v>9340</v>
      </c>
      <c r="S36" s="149">
        <f t="shared" si="15"/>
        <v>2955</v>
      </c>
      <c r="T36" s="149">
        <f t="shared" si="15"/>
        <v>1443</v>
      </c>
      <c r="U36" s="150">
        <f t="shared" si="15"/>
        <v>391</v>
      </c>
      <c r="V36" s="149">
        <f t="shared" si="15"/>
        <v>2132</v>
      </c>
      <c r="W36" s="149">
        <f t="shared" si="15"/>
        <v>4455</v>
      </c>
      <c r="X36" s="149">
        <f t="shared" si="15"/>
        <v>-689</v>
      </c>
      <c r="Y36" s="150">
        <f t="shared" si="15"/>
        <v>3635</v>
      </c>
      <c r="Z36" s="149">
        <f t="shared" si="15"/>
        <v>0</v>
      </c>
      <c r="AA36" s="149">
        <f t="shared" si="15"/>
        <v>0</v>
      </c>
      <c r="AB36" s="149">
        <f t="shared" si="15"/>
        <v>0</v>
      </c>
      <c r="AC36" s="150">
        <f t="shared" si="15"/>
        <v>0</v>
      </c>
      <c r="AD36" s="150">
        <f t="shared" si="15"/>
        <v>0</v>
      </c>
      <c r="AE36" s="249">
        <f t="shared" si="15"/>
        <v>0</v>
      </c>
      <c r="AF36" s="249">
        <f t="shared" si="15"/>
        <v>0</v>
      </c>
      <c r="AG36" s="147">
        <f t="shared" si="15"/>
        <v>0</v>
      </c>
      <c r="AH36" s="147">
        <f t="shared" si="15"/>
        <v>0</v>
      </c>
      <c r="AI36" s="147">
        <f t="shared" si="15"/>
        <v>0</v>
      </c>
      <c r="AJ36" s="147">
        <f t="shared" si="15"/>
        <v>0</v>
      </c>
      <c r="AK36" s="147">
        <f t="shared" si="15"/>
        <v>0</v>
      </c>
      <c r="AL36" s="47"/>
      <c r="AM36" s="149" t="e">
        <f>AM16-AM35</f>
        <v>#REF!</v>
      </c>
      <c r="AN36" s="149">
        <f>AN16-AN35</f>
        <v>-9793</v>
      </c>
      <c r="AO36" s="320" t="e">
        <f>AR36-AS36</f>
        <v>#REF!</v>
      </c>
      <c r="AP36" s="120" t="e">
        <f>-IF(OR((AO36/AS36)&gt;3,(AO36/AS36)&lt;-3),"n.m.",(AO36/AS36))</f>
        <v>#REF!</v>
      </c>
      <c r="AQ36" s="47"/>
      <c r="AR36" s="150" t="e">
        <f>AR16-AR35</f>
        <v>#REF!</v>
      </c>
      <c r="AS36" s="150" t="e">
        <f t="shared" ref="AS36:AZ36" si="16">AS16-AS35</f>
        <v>#REF!</v>
      </c>
      <c r="AT36" s="150">
        <f t="shared" si="16"/>
        <v>14129</v>
      </c>
      <c r="AU36" s="136">
        <f t="shared" si="16"/>
        <v>9533</v>
      </c>
      <c r="AV36" s="136">
        <f t="shared" si="16"/>
        <v>2031</v>
      </c>
      <c r="AW36" s="136">
        <f t="shared" si="16"/>
        <v>29613</v>
      </c>
      <c r="AX36" s="179">
        <f t="shared" si="16"/>
        <v>31704</v>
      </c>
      <c r="AY36" s="220">
        <f t="shared" si="16"/>
        <v>41937</v>
      </c>
      <c r="AZ36" s="220">
        <f t="shared" si="16"/>
        <v>30426</v>
      </c>
      <c r="BA36" s="224"/>
      <c r="BB36" s="483"/>
      <c r="BC36" s="483"/>
      <c r="BG36" s="481"/>
    </row>
    <row r="37" spans="1:59" s="480" customFormat="1" ht="12.75" customHeight="1" thickTop="1" x14ac:dyDescent="0.2">
      <c r="A37" s="7"/>
      <c r="B37" s="275"/>
      <c r="C37" s="507"/>
      <c r="D37" s="498"/>
      <c r="E37" s="498"/>
      <c r="F37" s="139"/>
      <c r="G37" s="139"/>
      <c r="H37" s="139"/>
      <c r="I37" s="143"/>
      <c r="J37" s="139"/>
      <c r="K37" s="139"/>
      <c r="L37" s="139"/>
      <c r="M37" s="143"/>
      <c r="N37" s="139"/>
      <c r="O37" s="139"/>
      <c r="P37" s="139"/>
      <c r="Q37" s="143"/>
      <c r="R37" s="139"/>
      <c r="S37" s="139"/>
      <c r="T37" s="139"/>
      <c r="U37" s="143"/>
      <c r="V37" s="139"/>
      <c r="W37" s="139"/>
      <c r="X37" s="139"/>
      <c r="Y37" s="143"/>
      <c r="Z37" s="139"/>
      <c r="AA37" s="139"/>
      <c r="AB37" s="139"/>
      <c r="AC37" s="143"/>
      <c r="AD37" s="143"/>
      <c r="AE37" s="249"/>
      <c r="AF37" s="249"/>
      <c r="AG37" s="147"/>
      <c r="AH37" s="147"/>
      <c r="AI37" s="147"/>
      <c r="AJ37" s="147"/>
      <c r="AK37" s="147"/>
      <c r="AL37" s="107"/>
      <c r="AM37" s="483"/>
      <c r="AN37" s="483"/>
      <c r="AO37" s="507"/>
      <c r="AP37" s="498"/>
      <c r="AQ37" s="107"/>
      <c r="AR37" s="552"/>
      <c r="AS37" s="552"/>
      <c r="AT37" s="552"/>
      <c r="AU37" s="552"/>
      <c r="AV37" s="552"/>
      <c r="AW37" s="501"/>
      <c r="AX37" s="501"/>
      <c r="AY37" s="26"/>
      <c r="AZ37" s="26"/>
      <c r="BA37" s="99"/>
      <c r="BB37" s="483"/>
      <c r="BC37" s="483"/>
      <c r="BG37" s="481"/>
    </row>
    <row r="38" spans="1:59" s="480" customFormat="1" ht="12.75" hidden="1" customHeight="1" outlineLevel="1" x14ac:dyDescent="0.2">
      <c r="A38" s="7"/>
      <c r="B38" s="275" t="s">
        <v>329</v>
      </c>
      <c r="C38" s="168">
        <f>I38-M38</f>
        <v>825</v>
      </c>
      <c r="D38" s="498" t="s">
        <v>41</v>
      </c>
      <c r="E38" s="498"/>
      <c r="F38" s="139"/>
      <c r="G38" s="139"/>
      <c r="H38" s="139"/>
      <c r="I38" s="143">
        <f>275*3</f>
        <v>825</v>
      </c>
      <c r="J38" s="525">
        <v>0</v>
      </c>
      <c r="K38" s="525">
        <v>0</v>
      </c>
      <c r="L38" s="525">
        <v>0</v>
      </c>
      <c r="M38" s="542">
        <v>0</v>
      </c>
      <c r="N38" s="525">
        <v>0</v>
      </c>
      <c r="O38" s="525">
        <v>0</v>
      </c>
      <c r="P38" s="525">
        <v>0</v>
      </c>
      <c r="Q38" s="542">
        <v>0</v>
      </c>
      <c r="R38" s="139"/>
      <c r="S38" s="139"/>
      <c r="T38" s="139"/>
      <c r="U38" s="143"/>
      <c r="V38" s="139"/>
      <c r="W38" s="139"/>
      <c r="X38" s="139"/>
      <c r="Y38" s="143"/>
      <c r="Z38" s="139"/>
      <c r="AA38" s="139"/>
      <c r="AB38" s="139"/>
      <c r="AC38" s="143"/>
      <c r="AD38" s="143"/>
      <c r="AE38" s="249"/>
      <c r="AF38" s="249"/>
      <c r="AG38" s="147"/>
      <c r="AH38" s="147"/>
      <c r="AI38" s="147"/>
      <c r="AJ38" s="147"/>
      <c r="AK38" s="147"/>
      <c r="AL38" s="107"/>
      <c r="AM38" s="483"/>
      <c r="AN38" s="483"/>
      <c r="AO38" s="507"/>
      <c r="AP38" s="498"/>
      <c r="AQ38" s="107"/>
      <c r="AR38" s="549">
        <v>0</v>
      </c>
      <c r="AS38" s="549">
        <v>0</v>
      </c>
      <c r="AT38" s="549">
        <v>0</v>
      </c>
      <c r="AU38" s="549">
        <v>0</v>
      </c>
      <c r="AV38" s="549">
        <v>0</v>
      </c>
      <c r="AW38" s="501"/>
      <c r="AX38" s="501"/>
      <c r="AY38" s="26">
        <v>11945</v>
      </c>
      <c r="AZ38" s="26">
        <v>10058</v>
      </c>
      <c r="BA38" s="99"/>
      <c r="BB38" s="483"/>
      <c r="BC38" s="483"/>
      <c r="BG38" s="481"/>
    </row>
    <row r="39" spans="1:59" s="480" customFormat="1" ht="12.75" hidden="1" customHeight="1" outlineLevel="1" x14ac:dyDescent="0.2">
      <c r="A39" s="7"/>
      <c r="B39" s="6" t="s">
        <v>330</v>
      </c>
      <c r="C39" s="176">
        <f>I39-M39</f>
        <v>98</v>
      </c>
      <c r="D39" s="92" t="s">
        <v>41</v>
      </c>
      <c r="E39" s="498"/>
      <c r="F39" s="139"/>
      <c r="G39" s="139"/>
      <c r="H39" s="139"/>
      <c r="I39" s="146">
        <v>98</v>
      </c>
      <c r="J39" s="564">
        <v>0</v>
      </c>
      <c r="K39" s="564">
        <v>0</v>
      </c>
      <c r="L39" s="564">
        <v>0</v>
      </c>
      <c r="M39" s="565">
        <v>0</v>
      </c>
      <c r="N39" s="564">
        <v>0</v>
      </c>
      <c r="O39" s="564">
        <v>0</v>
      </c>
      <c r="P39" s="564">
        <v>0</v>
      </c>
      <c r="Q39" s="565">
        <v>0</v>
      </c>
      <c r="R39" s="139"/>
      <c r="S39" s="139"/>
      <c r="T39" s="139"/>
      <c r="U39" s="143"/>
      <c r="V39" s="139"/>
      <c r="W39" s="139"/>
      <c r="X39" s="139"/>
      <c r="Y39" s="143"/>
      <c r="Z39" s="139"/>
      <c r="AA39" s="139"/>
      <c r="AB39" s="139"/>
      <c r="AC39" s="143"/>
      <c r="AD39" s="143"/>
      <c r="AE39" s="249"/>
      <c r="AF39" s="249"/>
      <c r="AG39" s="147"/>
      <c r="AH39" s="147"/>
      <c r="AI39" s="147"/>
      <c r="AJ39" s="147"/>
      <c r="AK39" s="147"/>
      <c r="AL39" s="107"/>
      <c r="AM39" s="483"/>
      <c r="AN39" s="483"/>
      <c r="AO39" s="507"/>
      <c r="AP39" s="498"/>
      <c r="AQ39" s="107"/>
      <c r="AR39" s="566">
        <v>0</v>
      </c>
      <c r="AS39" s="566">
        <v>0</v>
      </c>
      <c r="AT39" s="566">
        <v>0</v>
      </c>
      <c r="AU39" s="566">
        <v>0</v>
      </c>
      <c r="AV39" s="566">
        <v>0</v>
      </c>
      <c r="AW39" s="501"/>
      <c r="AX39" s="501"/>
      <c r="AY39" s="507"/>
      <c r="AZ39" s="26"/>
      <c r="BA39" s="99"/>
      <c r="BB39" s="483"/>
      <c r="BC39" s="483"/>
      <c r="BG39" s="481"/>
    </row>
    <row r="40" spans="1:59" s="480" customFormat="1" ht="12.75" customHeight="1" collapsed="1" x14ac:dyDescent="0.2">
      <c r="A40" s="7"/>
      <c r="B40" s="6" t="s">
        <v>332</v>
      </c>
      <c r="C40" s="168">
        <f>I40-M40</f>
        <v>923</v>
      </c>
      <c r="D40" s="498" t="s">
        <v>41</v>
      </c>
      <c r="E40" s="498"/>
      <c r="F40" s="139"/>
      <c r="G40" s="139"/>
      <c r="H40" s="139"/>
      <c r="I40" s="143">
        <f>+I38+I39</f>
        <v>923</v>
      </c>
      <c r="J40" s="525">
        <v>0</v>
      </c>
      <c r="K40" s="525">
        <v>0</v>
      </c>
      <c r="L40" s="525">
        <v>0</v>
      </c>
      <c r="M40" s="542">
        <v>0</v>
      </c>
      <c r="N40" s="525">
        <v>0</v>
      </c>
      <c r="O40" s="525">
        <v>0</v>
      </c>
      <c r="P40" s="525">
        <v>0</v>
      </c>
      <c r="Q40" s="542">
        <v>0</v>
      </c>
      <c r="R40" s="139"/>
      <c r="S40" s="139"/>
      <c r="T40" s="139"/>
      <c r="U40" s="143"/>
      <c r="V40" s="139"/>
      <c r="W40" s="139"/>
      <c r="X40" s="139"/>
      <c r="Y40" s="143"/>
      <c r="Z40" s="139"/>
      <c r="AA40" s="139"/>
      <c r="AB40" s="139"/>
      <c r="AC40" s="143"/>
      <c r="AD40" s="143"/>
      <c r="AE40" s="249"/>
      <c r="AF40" s="249"/>
      <c r="AG40" s="147"/>
      <c r="AH40" s="147"/>
      <c r="AI40" s="147"/>
      <c r="AJ40" s="147"/>
      <c r="AK40" s="147"/>
      <c r="AL40" s="107"/>
      <c r="AM40" s="483"/>
      <c r="AN40" s="483"/>
      <c r="AO40" s="507"/>
      <c r="AP40" s="498"/>
      <c r="AQ40" s="107"/>
      <c r="AR40" s="549">
        <v>0</v>
      </c>
      <c r="AS40" s="549">
        <v>0</v>
      </c>
      <c r="AT40" s="549">
        <v>0</v>
      </c>
      <c r="AU40" s="549">
        <v>0</v>
      </c>
      <c r="AV40" s="549">
        <v>0</v>
      </c>
      <c r="AW40" s="501"/>
      <c r="AX40" s="501"/>
      <c r="AY40" s="507"/>
      <c r="AZ40" s="26"/>
      <c r="BA40" s="99"/>
      <c r="BB40" s="483"/>
      <c r="BC40" s="483"/>
      <c r="BG40" s="481"/>
    </row>
    <row r="41" spans="1:59" s="480" customFormat="1" ht="12.75" customHeight="1" x14ac:dyDescent="0.2">
      <c r="A41" s="7"/>
      <c r="B41" s="6"/>
      <c r="C41" s="459"/>
      <c r="D41" s="498"/>
      <c r="E41" s="497"/>
      <c r="F41" s="139"/>
      <c r="G41" s="139"/>
      <c r="H41" s="139"/>
      <c r="I41" s="143"/>
      <c r="J41" s="139"/>
      <c r="K41" s="139"/>
      <c r="L41" s="139"/>
      <c r="M41" s="143"/>
      <c r="N41" s="139"/>
      <c r="O41" s="139"/>
      <c r="P41" s="139"/>
      <c r="Q41" s="143"/>
      <c r="R41" s="139"/>
      <c r="S41" s="139"/>
      <c r="T41" s="139"/>
      <c r="U41" s="143"/>
      <c r="V41" s="139"/>
      <c r="W41" s="139"/>
      <c r="X41" s="139"/>
      <c r="Y41" s="143"/>
      <c r="Z41" s="139"/>
      <c r="AA41" s="139"/>
      <c r="AB41" s="139"/>
      <c r="AC41" s="143"/>
      <c r="AD41" s="143"/>
      <c r="AE41" s="249"/>
      <c r="AF41" s="249"/>
      <c r="AG41" s="147"/>
      <c r="AH41" s="147"/>
      <c r="AI41" s="147"/>
      <c r="AJ41" s="147"/>
      <c r="AK41" s="147"/>
      <c r="AL41" s="483"/>
      <c r="AM41" s="483"/>
      <c r="AN41" s="483"/>
      <c r="AO41" s="507"/>
      <c r="AP41" s="508"/>
      <c r="AQ41" s="47"/>
      <c r="AR41" s="134"/>
      <c r="AS41" s="134"/>
      <c r="AT41" s="134"/>
      <c r="AU41" s="134"/>
      <c r="AV41" s="134"/>
      <c r="AW41" s="501"/>
      <c r="AX41" s="501"/>
      <c r="AY41" s="507"/>
      <c r="AZ41" s="37"/>
      <c r="BA41" s="224"/>
      <c r="BB41" s="483"/>
      <c r="BC41" s="483"/>
      <c r="BG41" s="481"/>
    </row>
    <row r="42" spans="1:59" s="53" customFormat="1" ht="12.75" customHeight="1" thickBot="1" x14ac:dyDescent="0.25">
      <c r="A42" s="3208" t="s">
        <v>72</v>
      </c>
      <c r="B42" s="3209"/>
      <c r="C42" s="268" t="e">
        <f>I42-M42</f>
        <v>#REF!</v>
      </c>
      <c r="D42" s="120" t="e">
        <f>-IF(OR((C42/M42)&gt;3,(C42/M42)&lt;-3),"n.m.",(C42/M42))</f>
        <v>#REF!</v>
      </c>
      <c r="E42" s="497"/>
      <c r="F42" s="149"/>
      <c r="G42" s="149"/>
      <c r="H42" s="149"/>
      <c r="I42" s="150" t="e">
        <f>+I36-I38-I39</f>
        <v>#REF!</v>
      </c>
      <c r="J42" s="149" t="e">
        <f t="shared" ref="J42:Q42" si="17">+J36-J38-J39</f>
        <v>#REF!</v>
      </c>
      <c r="K42" s="149" t="e">
        <f t="shared" si="17"/>
        <v>#REF!</v>
      </c>
      <c r="L42" s="149" t="e">
        <f t="shared" si="17"/>
        <v>#REF!</v>
      </c>
      <c r="M42" s="150" t="e">
        <f t="shared" si="17"/>
        <v>#REF!</v>
      </c>
      <c r="N42" s="149" t="e">
        <f t="shared" si="17"/>
        <v>#REF!</v>
      </c>
      <c r="O42" s="149">
        <f t="shared" si="17"/>
        <v>-1003</v>
      </c>
      <c r="P42" s="149">
        <f t="shared" si="17"/>
        <v>-3956</v>
      </c>
      <c r="Q42" s="150">
        <f t="shared" si="17"/>
        <v>-4834</v>
      </c>
      <c r="R42" s="149"/>
      <c r="S42" s="149"/>
      <c r="T42" s="149"/>
      <c r="U42" s="150"/>
      <c r="V42" s="149"/>
      <c r="W42" s="149"/>
      <c r="X42" s="149"/>
      <c r="Y42" s="150"/>
      <c r="Z42" s="149"/>
      <c r="AA42" s="149"/>
      <c r="AB42" s="149"/>
      <c r="AC42" s="150"/>
      <c r="AD42" s="149"/>
      <c r="AE42" s="150"/>
      <c r="AF42" s="150"/>
      <c r="AG42" s="147"/>
      <c r="AH42" s="147"/>
      <c r="AI42" s="147"/>
      <c r="AJ42" s="147"/>
      <c r="AK42" s="147"/>
      <c r="AL42" s="483"/>
      <c r="AM42" s="483"/>
      <c r="AN42" s="483"/>
      <c r="AO42" s="320"/>
      <c r="AP42" s="120"/>
      <c r="AQ42" s="47"/>
      <c r="AR42" s="136" t="e">
        <f>+AR36-AR38-AR39</f>
        <v>#REF!</v>
      </c>
      <c r="AS42" s="136" t="e">
        <f>+AS36-AS38-AS39</f>
        <v>#REF!</v>
      </c>
      <c r="AT42" s="136">
        <f>+AT36-AT38-AT39</f>
        <v>14129</v>
      </c>
      <c r="AU42" s="136">
        <f>+AU36-AU38-AU39</f>
        <v>9533</v>
      </c>
      <c r="AV42" s="136">
        <f>+AV36-AV38-AV39</f>
        <v>2031</v>
      </c>
      <c r="AW42" s="179"/>
      <c r="AX42" s="179"/>
      <c r="AY42" s="320">
        <f>AY36-AY38</f>
        <v>29992</v>
      </c>
      <c r="AZ42" s="220">
        <f>AZ36-AZ38</f>
        <v>20368</v>
      </c>
      <c r="BA42" s="231">
        <v>15914</v>
      </c>
      <c r="BB42" s="483"/>
      <c r="BC42" s="251"/>
      <c r="BG42" s="137"/>
    </row>
    <row r="43" spans="1:59" s="53" customFormat="1" ht="12.75" customHeight="1" thickTop="1" x14ac:dyDescent="0.2">
      <c r="A43" s="86"/>
      <c r="B43" s="408"/>
      <c r="C43" s="160"/>
      <c r="D43" s="35"/>
      <c r="E43" s="35"/>
      <c r="F43" s="508"/>
      <c r="G43" s="508"/>
      <c r="H43" s="508"/>
      <c r="I43" s="500"/>
      <c r="J43" s="508"/>
      <c r="K43" s="508"/>
      <c r="L43" s="508"/>
      <c r="M43" s="500"/>
      <c r="N43" s="35"/>
      <c r="O43" s="35"/>
      <c r="P43" s="35"/>
      <c r="Q43" s="160"/>
      <c r="R43" s="35"/>
      <c r="S43" s="35"/>
      <c r="T43" s="35"/>
      <c r="U43" s="160"/>
      <c r="V43" s="35"/>
      <c r="W43" s="35"/>
      <c r="X43" s="35"/>
      <c r="Y43" s="160"/>
      <c r="Z43" s="35"/>
      <c r="AA43" s="35"/>
      <c r="AB43" s="35"/>
      <c r="AC43" s="160"/>
      <c r="AD43" s="160"/>
      <c r="AE43" s="160"/>
      <c r="AF43" s="160"/>
      <c r="AG43" s="160"/>
      <c r="AH43" s="160"/>
      <c r="AI43" s="160"/>
      <c r="AJ43" s="160"/>
      <c r="AK43" s="160"/>
      <c r="AL43" s="171"/>
      <c r="AM43" s="171"/>
      <c r="AN43" s="171"/>
      <c r="AO43" s="180"/>
      <c r="AP43" s="35"/>
      <c r="AQ43" s="171"/>
      <c r="AR43" s="491"/>
      <c r="AS43" s="187"/>
      <c r="AT43" s="187"/>
      <c r="AU43" s="160"/>
      <c r="AV43" s="160"/>
      <c r="AW43" s="44"/>
      <c r="AX43" s="160"/>
      <c r="AY43" s="28"/>
      <c r="AZ43" s="28"/>
      <c r="BA43" s="28"/>
      <c r="BB43" s="3"/>
      <c r="BC43" s="137"/>
      <c r="BD43" s="137"/>
      <c r="BG43" s="137"/>
    </row>
    <row r="44" spans="1:59" s="53" customFormat="1" ht="12.75" customHeight="1" x14ac:dyDescent="0.2">
      <c r="A44" s="6" t="s">
        <v>294</v>
      </c>
      <c r="B44" s="408"/>
      <c r="C44" s="154" t="e">
        <f t="shared" ref="C44:C50" si="18">(I44-M44)*100</f>
        <v>#REF!</v>
      </c>
      <c r="D44" s="508"/>
      <c r="E44" s="508"/>
      <c r="F44" s="508"/>
      <c r="G44" s="508"/>
      <c r="H44" s="508"/>
      <c r="I44" s="508" t="e">
        <f>+I18/I$16</f>
        <v>#REF!</v>
      </c>
      <c r="J44" s="508" t="e">
        <f t="shared" ref="J44:L45" si="19">+J18/J$16</f>
        <v>#REF!</v>
      </c>
      <c r="K44" s="508" t="e">
        <f t="shared" si="19"/>
        <v>#REF!</v>
      </c>
      <c r="L44" s="508" t="e">
        <f t="shared" si="19"/>
        <v>#REF!</v>
      </c>
      <c r="M44" s="508" t="e">
        <f t="shared" ref="M44:AK44" si="20">+M18/M$16</f>
        <v>#REF!</v>
      </c>
      <c r="N44" s="508" t="e">
        <f t="shared" si="20"/>
        <v>#REF!</v>
      </c>
      <c r="O44" s="508">
        <f t="shared" si="20"/>
        <v>0.38751176655161595</v>
      </c>
      <c r="P44" s="508">
        <f t="shared" si="20"/>
        <v>0.5500107089312487</v>
      </c>
      <c r="Q44" s="508">
        <f t="shared" si="20"/>
        <v>0.50324464633354959</v>
      </c>
      <c r="R44" s="508">
        <f t="shared" si="20"/>
        <v>0.50201128635508607</v>
      </c>
      <c r="S44" s="508">
        <f t="shared" si="20"/>
        <v>0.46831483782509964</v>
      </c>
      <c r="T44" s="508">
        <f t="shared" si="20"/>
        <v>0.47862362307776202</v>
      </c>
      <c r="U44" s="508">
        <f t="shared" si="20"/>
        <v>0</v>
      </c>
      <c r="V44" s="508">
        <f t="shared" si="20"/>
        <v>0</v>
      </c>
      <c r="W44" s="508">
        <f t="shared" si="20"/>
        <v>0</v>
      </c>
      <c r="X44" s="508">
        <f t="shared" si="20"/>
        <v>0</v>
      </c>
      <c r="Y44" s="508">
        <f t="shared" si="20"/>
        <v>0</v>
      </c>
      <c r="Z44" s="508" t="e">
        <f t="shared" si="20"/>
        <v>#DIV/0!</v>
      </c>
      <c r="AA44" s="508" t="e">
        <f t="shared" si="20"/>
        <v>#DIV/0!</v>
      </c>
      <c r="AB44" s="508" t="e">
        <f t="shared" si="20"/>
        <v>#DIV/0!</v>
      </c>
      <c r="AC44" s="508" t="e">
        <f t="shared" si="20"/>
        <v>#DIV/0!</v>
      </c>
      <c r="AD44" s="508" t="e">
        <f t="shared" si="20"/>
        <v>#DIV/0!</v>
      </c>
      <c r="AE44" s="508" t="e">
        <f t="shared" si="20"/>
        <v>#DIV/0!</v>
      </c>
      <c r="AF44" s="508" t="e">
        <f t="shared" si="20"/>
        <v>#DIV/0!</v>
      </c>
      <c r="AG44" s="508" t="e">
        <f t="shared" si="20"/>
        <v>#DIV/0!</v>
      </c>
      <c r="AH44" s="508" t="e">
        <f t="shared" si="20"/>
        <v>#DIV/0!</v>
      </c>
      <c r="AI44" s="508" t="e">
        <f t="shared" si="20"/>
        <v>#DIV/0!</v>
      </c>
      <c r="AJ44" s="508" t="e">
        <f t="shared" si="20"/>
        <v>#DIV/0!</v>
      </c>
      <c r="AK44" s="508" t="e">
        <f t="shared" si="20"/>
        <v>#DIV/0!</v>
      </c>
      <c r="AL44" s="171"/>
      <c r="AM44" s="508" t="e">
        <f>+AM18/AM$16</f>
        <v>#REF!</v>
      </c>
      <c r="AN44" s="508">
        <f>+AN18/AN$16</f>
        <v>0.47009447210519595</v>
      </c>
      <c r="AO44" s="154" t="e">
        <f t="shared" ref="AO44:AO50" si="21">(AR44-AS44)*100</f>
        <v>#REF!</v>
      </c>
      <c r="AP44" s="508"/>
      <c r="AQ44" s="171"/>
      <c r="AR44" s="508" t="e">
        <f t="shared" ref="AR44:AW45" si="22">+AR18/AR$16</f>
        <v>#REF!</v>
      </c>
      <c r="AS44" s="508" t="e">
        <f t="shared" si="22"/>
        <v>#REF!</v>
      </c>
      <c r="AT44" s="508">
        <f t="shared" si="22"/>
        <v>0.47434638583467309</v>
      </c>
      <c r="AU44" s="508">
        <f t="shared" si="22"/>
        <v>0.49825357168845658</v>
      </c>
      <c r="AV44" s="508">
        <f t="shared" si="22"/>
        <v>0.44623316786879852</v>
      </c>
      <c r="AW44" s="508">
        <f t="shared" si="22"/>
        <v>0.47108136429706249</v>
      </c>
      <c r="AX44" s="500"/>
      <c r="AY44" s="507"/>
      <c r="AZ44" s="507"/>
      <c r="BA44" s="507"/>
      <c r="BB44" s="481"/>
      <c r="BC44" s="137"/>
      <c r="BD44" s="137"/>
      <c r="BG44" s="137"/>
    </row>
    <row r="45" spans="1:59" s="53" customFormat="1" ht="12.75" customHeight="1" x14ac:dyDescent="0.2">
      <c r="A45" s="6" t="s">
        <v>295</v>
      </c>
      <c r="B45" s="408"/>
      <c r="C45" s="154" t="e">
        <f t="shared" si="18"/>
        <v>#REF!</v>
      </c>
      <c r="D45" s="508"/>
      <c r="E45" s="508"/>
      <c r="F45" s="508"/>
      <c r="G45" s="508"/>
      <c r="H45" s="508"/>
      <c r="I45" s="508" t="e">
        <f>+I19/I$16</f>
        <v>#REF!</v>
      </c>
      <c r="J45" s="508" t="e">
        <f t="shared" si="19"/>
        <v>#REF!</v>
      </c>
      <c r="K45" s="508" t="e">
        <f t="shared" si="19"/>
        <v>#REF!</v>
      </c>
      <c r="L45" s="508" t="e">
        <f t="shared" si="19"/>
        <v>#REF!</v>
      </c>
      <c r="M45" s="508" t="e">
        <f t="shared" ref="M45:AK45" si="23">+M19/M$16</f>
        <v>#REF!</v>
      </c>
      <c r="N45" s="508" t="e">
        <f t="shared" si="23"/>
        <v>#REF!</v>
      </c>
      <c r="O45" s="508">
        <f t="shared" si="23"/>
        <v>7.7659240665202384E-2</v>
      </c>
      <c r="P45" s="508">
        <f t="shared" si="23"/>
        <v>8.3850931677018639E-2</v>
      </c>
      <c r="Q45" s="508">
        <f t="shared" si="23"/>
        <v>0.11118321436296777</v>
      </c>
      <c r="R45" s="508">
        <f t="shared" si="23"/>
        <v>-1.4701200983938649E-2</v>
      </c>
      <c r="S45" s="508">
        <f t="shared" si="23"/>
        <v>6.9240327349072373E-2</v>
      </c>
      <c r="T45" s="508">
        <f t="shared" si="23"/>
        <v>2.4266550332642599E-2</v>
      </c>
      <c r="U45" s="508">
        <f t="shared" si="23"/>
        <v>0</v>
      </c>
      <c r="V45" s="508">
        <f t="shared" si="23"/>
        <v>0</v>
      </c>
      <c r="W45" s="508">
        <f t="shared" si="23"/>
        <v>0</v>
      </c>
      <c r="X45" s="508">
        <f t="shared" si="23"/>
        <v>0</v>
      </c>
      <c r="Y45" s="508">
        <f t="shared" si="23"/>
        <v>0</v>
      </c>
      <c r="Z45" s="508" t="e">
        <f t="shared" si="23"/>
        <v>#DIV/0!</v>
      </c>
      <c r="AA45" s="508" t="e">
        <f t="shared" si="23"/>
        <v>#DIV/0!</v>
      </c>
      <c r="AB45" s="508" t="e">
        <f t="shared" si="23"/>
        <v>#DIV/0!</v>
      </c>
      <c r="AC45" s="508" t="e">
        <f t="shared" si="23"/>
        <v>#DIV/0!</v>
      </c>
      <c r="AD45" s="508" t="e">
        <f t="shared" si="23"/>
        <v>#DIV/0!</v>
      </c>
      <c r="AE45" s="508" t="e">
        <f t="shared" si="23"/>
        <v>#DIV/0!</v>
      </c>
      <c r="AF45" s="508" t="e">
        <f t="shared" si="23"/>
        <v>#DIV/0!</v>
      </c>
      <c r="AG45" s="508" t="e">
        <f t="shared" si="23"/>
        <v>#DIV/0!</v>
      </c>
      <c r="AH45" s="508" t="e">
        <f t="shared" si="23"/>
        <v>#DIV/0!</v>
      </c>
      <c r="AI45" s="508" t="e">
        <f t="shared" si="23"/>
        <v>#DIV/0!</v>
      </c>
      <c r="AJ45" s="508" t="e">
        <f t="shared" si="23"/>
        <v>#DIV/0!</v>
      </c>
      <c r="AK45" s="508" t="e">
        <f t="shared" si="23"/>
        <v>#DIV/0!</v>
      </c>
      <c r="AL45" s="171"/>
      <c r="AM45" s="508" t="e">
        <f>+AM19/AM$16</f>
        <v>#REF!</v>
      </c>
      <c r="AN45" s="508">
        <f>+AN19/AN$16</f>
        <v>8.9397421166858171E-2</v>
      </c>
      <c r="AO45" s="154" t="e">
        <f t="shared" si="21"/>
        <v>#REF!</v>
      </c>
      <c r="AP45" s="508"/>
      <c r="AQ45" s="171"/>
      <c r="AR45" s="508" t="e">
        <f t="shared" si="22"/>
        <v>#REF!</v>
      </c>
      <c r="AS45" s="508" t="e">
        <f t="shared" si="22"/>
        <v>#REF!</v>
      </c>
      <c r="AT45" s="508">
        <f t="shared" si="22"/>
        <v>2.4785005988540845E-2</v>
      </c>
      <c r="AU45" s="508">
        <f t="shared" si="22"/>
        <v>4.0301258883741239E-2</v>
      </c>
      <c r="AV45" s="508">
        <f t="shared" si="22"/>
        <v>2.5765844829004743E-2</v>
      </c>
      <c r="AW45" s="508">
        <f t="shared" si="22"/>
        <v>3.3490518203022006E-2</v>
      </c>
      <c r="AX45" s="500"/>
      <c r="AY45" s="507"/>
      <c r="AZ45" s="507"/>
      <c r="BA45" s="507"/>
      <c r="BB45" s="481"/>
      <c r="BC45" s="137"/>
      <c r="BD45" s="137"/>
      <c r="BG45" s="137"/>
    </row>
    <row r="46" spans="1:59" s="53" customFormat="1" ht="12.75" customHeight="1" x14ac:dyDescent="0.2">
      <c r="A46" s="88" t="s">
        <v>74</v>
      </c>
      <c r="B46" s="408"/>
      <c r="C46" s="154" t="e">
        <f t="shared" si="18"/>
        <v>#REF!</v>
      </c>
      <c r="D46" s="32"/>
      <c r="E46" s="32"/>
      <c r="F46" s="32"/>
      <c r="G46" s="32"/>
      <c r="H46" s="32"/>
      <c r="I46" s="32" t="e">
        <f>I22/I16</f>
        <v>#REF!</v>
      </c>
      <c r="J46" s="32" t="e">
        <f t="shared" ref="J46:O46" si="24">J22/J16</f>
        <v>#REF!</v>
      </c>
      <c r="K46" s="32" t="e">
        <f t="shared" si="24"/>
        <v>#REF!</v>
      </c>
      <c r="L46" s="32" t="e">
        <f t="shared" si="24"/>
        <v>#REF!</v>
      </c>
      <c r="M46" s="32" t="e">
        <f t="shared" si="24"/>
        <v>#REF!</v>
      </c>
      <c r="N46" s="32" t="e">
        <f t="shared" si="24"/>
        <v>#REF!</v>
      </c>
      <c r="O46" s="32">
        <f t="shared" si="24"/>
        <v>0.5043144022591779</v>
      </c>
      <c r="P46" s="32">
        <f t="shared" ref="P46:AX46" si="25">P22/P16</f>
        <v>0.69190404797601202</v>
      </c>
      <c r="Q46" s="32">
        <f t="shared" si="25"/>
        <v>0.67153363616699113</v>
      </c>
      <c r="R46" s="32">
        <f t="shared" si="25"/>
        <v>0.49943568224569529</v>
      </c>
      <c r="S46" s="32">
        <f t="shared" si="25"/>
        <v>0.55567933501863831</v>
      </c>
      <c r="T46" s="32">
        <f t="shared" si="25"/>
        <v>0.52633875013632891</v>
      </c>
      <c r="U46" s="32">
        <f t="shared" si="25"/>
        <v>0.48878078443295836</v>
      </c>
      <c r="V46" s="32">
        <f t="shared" si="25"/>
        <v>0.52519570618290912</v>
      </c>
      <c r="W46" s="32">
        <f t="shared" si="25"/>
        <v>0.587449377389198</v>
      </c>
      <c r="X46" s="32">
        <f t="shared" si="25"/>
        <v>0.60348457350272233</v>
      </c>
      <c r="Y46" s="32">
        <f t="shared" si="25"/>
        <v>0.52267622461170848</v>
      </c>
      <c r="Z46" s="32" t="e">
        <f t="shared" si="25"/>
        <v>#DIV/0!</v>
      </c>
      <c r="AA46" s="32" t="e">
        <f t="shared" si="25"/>
        <v>#DIV/0!</v>
      </c>
      <c r="AB46" s="32" t="e">
        <f t="shared" si="25"/>
        <v>#DIV/0!</v>
      </c>
      <c r="AC46" s="32" t="e">
        <f t="shared" si="25"/>
        <v>#DIV/0!</v>
      </c>
      <c r="AD46" s="32" t="e">
        <f t="shared" si="25"/>
        <v>#DIV/0!</v>
      </c>
      <c r="AE46" s="32" t="e">
        <f t="shared" si="25"/>
        <v>#DIV/0!</v>
      </c>
      <c r="AF46" s="32" t="e">
        <f t="shared" si="25"/>
        <v>#DIV/0!</v>
      </c>
      <c r="AG46" s="32" t="e">
        <f t="shared" si="25"/>
        <v>#DIV/0!</v>
      </c>
      <c r="AH46" s="32" t="e">
        <f t="shared" si="25"/>
        <v>#DIV/0!</v>
      </c>
      <c r="AI46" s="32" t="e">
        <f t="shared" si="25"/>
        <v>#DIV/0!</v>
      </c>
      <c r="AJ46" s="32" t="e">
        <f t="shared" si="25"/>
        <v>#DIV/0!</v>
      </c>
      <c r="AK46" s="32" t="e">
        <f t="shared" si="25"/>
        <v>#DIV/0!</v>
      </c>
      <c r="AL46" s="32"/>
      <c r="AM46" s="32" t="e">
        <f>AM22/AM16</f>
        <v>#REF!</v>
      </c>
      <c r="AN46" s="32">
        <f>AN22/AN16</f>
        <v>0.60956849227626708</v>
      </c>
      <c r="AO46" s="154" t="e">
        <f t="shared" si="21"/>
        <v>#REF!</v>
      </c>
      <c r="AP46" s="32"/>
      <c r="AQ46" s="32"/>
      <c r="AR46" s="32" t="e">
        <f>AR22/AR16</f>
        <v>#REF!</v>
      </c>
      <c r="AS46" s="32" t="e">
        <f>AS22/AS16</f>
        <v>#REF!</v>
      </c>
      <c r="AT46" s="32">
        <f t="shared" si="25"/>
        <v>0.51703227337958713</v>
      </c>
      <c r="AU46" s="32">
        <f>AU22/AU16</f>
        <v>0.55758362238338954</v>
      </c>
      <c r="AV46" s="32">
        <f t="shared" si="25"/>
        <v>0.49337684776348628</v>
      </c>
      <c r="AW46" s="32">
        <f t="shared" si="25"/>
        <v>0.51784808842916541</v>
      </c>
      <c r="AX46" s="32">
        <f t="shared" si="25"/>
        <v>0.55688784154267934</v>
      </c>
      <c r="AY46" s="222">
        <v>0.54700000000000004</v>
      </c>
      <c r="AZ46" s="222">
        <v>0.56899999999999995</v>
      </c>
      <c r="BA46" s="222">
        <v>0.63900000000000001</v>
      </c>
      <c r="BB46" s="3"/>
      <c r="BC46" s="137"/>
      <c r="BD46" s="137"/>
      <c r="BG46" s="137"/>
    </row>
    <row r="47" spans="1:59" s="53" customFormat="1" ht="12.75" customHeight="1" x14ac:dyDescent="0.2">
      <c r="A47" s="88" t="s">
        <v>217</v>
      </c>
      <c r="B47" s="408"/>
      <c r="C47" s="154" t="e">
        <f t="shared" si="18"/>
        <v>#REF!</v>
      </c>
      <c r="D47" s="32"/>
      <c r="E47" s="32"/>
      <c r="F47" s="32"/>
      <c r="G47" s="32"/>
      <c r="H47" s="32"/>
      <c r="I47" s="32" t="e">
        <f t="shared" ref="I47:O47" si="26">(I22+I23)/I16</f>
        <v>#REF!</v>
      </c>
      <c r="J47" s="32" t="e">
        <f t="shared" si="26"/>
        <v>#REF!</v>
      </c>
      <c r="K47" s="32" t="e">
        <f t="shared" si="26"/>
        <v>#REF!</v>
      </c>
      <c r="L47" s="32" t="e">
        <f t="shared" si="26"/>
        <v>#REF!</v>
      </c>
      <c r="M47" s="32" t="e">
        <f t="shared" si="26"/>
        <v>#REF!</v>
      </c>
      <c r="N47" s="32" t="e">
        <f t="shared" si="26"/>
        <v>#REF!</v>
      </c>
      <c r="O47" s="32">
        <f t="shared" si="26"/>
        <v>0.60260433009099468</v>
      </c>
      <c r="P47" s="32">
        <f t="shared" ref="P47:AX47" si="27">(P22+P23)/P16</f>
        <v>0.8218033840222746</v>
      </c>
      <c r="Q47" s="32">
        <f t="shared" si="27"/>
        <v>0.80856586632057104</v>
      </c>
      <c r="R47" s="32">
        <f t="shared" si="27"/>
        <v>0.53555201852119805</v>
      </c>
      <c r="S47" s="32">
        <f t="shared" si="27"/>
        <v>0.61150863361755003</v>
      </c>
      <c r="T47" s="32">
        <f t="shared" si="27"/>
        <v>0.59477587523175923</v>
      </c>
      <c r="U47" s="32">
        <f t="shared" si="27"/>
        <v>0.56430525995743386</v>
      </c>
      <c r="V47" s="32">
        <f t="shared" si="27"/>
        <v>0.61444710073594899</v>
      </c>
      <c r="W47" s="32">
        <f t="shared" si="27"/>
        <v>0.65073237197683664</v>
      </c>
      <c r="X47" s="32">
        <f t="shared" si="27"/>
        <v>0.70482758620689656</v>
      </c>
      <c r="Y47" s="32">
        <f t="shared" si="27"/>
        <v>0.59307048984468336</v>
      </c>
      <c r="Z47" s="32" t="e">
        <f t="shared" si="27"/>
        <v>#DIV/0!</v>
      </c>
      <c r="AA47" s="32" t="e">
        <f t="shared" si="27"/>
        <v>#DIV/0!</v>
      </c>
      <c r="AB47" s="32" t="e">
        <f t="shared" si="27"/>
        <v>#DIV/0!</v>
      </c>
      <c r="AC47" s="32" t="e">
        <f t="shared" si="27"/>
        <v>#DIV/0!</v>
      </c>
      <c r="AD47" s="32" t="e">
        <f t="shared" si="27"/>
        <v>#DIV/0!</v>
      </c>
      <c r="AE47" s="32" t="e">
        <f t="shared" si="27"/>
        <v>#DIV/0!</v>
      </c>
      <c r="AF47" s="32" t="e">
        <f t="shared" si="27"/>
        <v>#DIV/0!</v>
      </c>
      <c r="AG47" s="32" t="e">
        <f t="shared" si="27"/>
        <v>#DIV/0!</v>
      </c>
      <c r="AH47" s="32" t="e">
        <f t="shared" si="27"/>
        <v>#DIV/0!</v>
      </c>
      <c r="AI47" s="32" t="e">
        <f t="shared" si="27"/>
        <v>#DIV/0!</v>
      </c>
      <c r="AJ47" s="32" t="e">
        <f t="shared" si="27"/>
        <v>#DIV/0!</v>
      </c>
      <c r="AK47" s="32" t="e">
        <f t="shared" si="27"/>
        <v>#DIV/0!</v>
      </c>
      <c r="AL47" s="32"/>
      <c r="AM47" s="32" t="e">
        <f>(AM22+AM23)/AM16</f>
        <v>#REF!</v>
      </c>
      <c r="AN47" s="32">
        <f>(AN22+AN23)/AN16</f>
        <v>0.72871186007915234</v>
      </c>
      <c r="AO47" s="154" t="e">
        <f t="shared" si="21"/>
        <v>#REF!</v>
      </c>
      <c r="AP47" s="32"/>
      <c r="AQ47" s="32"/>
      <c r="AR47" s="32" t="e">
        <f>(AR22+AR23)/AR16</f>
        <v>#REF!</v>
      </c>
      <c r="AS47" s="32" t="e">
        <f>(AS22+AS23)/AS16</f>
        <v>#REF!</v>
      </c>
      <c r="AT47" s="32">
        <f t="shared" si="27"/>
        <v>0.5715010196704684</v>
      </c>
      <c r="AU47" s="32">
        <f t="shared" si="27"/>
        <v>0.63574841729934262</v>
      </c>
      <c r="AV47" s="32">
        <f t="shared" si="27"/>
        <v>0.56965965499273241</v>
      </c>
      <c r="AW47" s="32">
        <f t="shared" si="27"/>
        <v>0.55627387350843394</v>
      </c>
      <c r="AX47" s="32">
        <f t="shared" si="27"/>
        <v>0.58076117425992668</v>
      </c>
      <c r="AY47" s="222">
        <v>0.57299999999999995</v>
      </c>
      <c r="AZ47" s="222">
        <v>0.64500000000000002</v>
      </c>
      <c r="BA47" s="222">
        <v>0.70799999999999996</v>
      </c>
      <c r="BB47" s="3"/>
      <c r="BC47" s="137"/>
      <c r="BD47" s="137"/>
      <c r="BG47" s="137"/>
    </row>
    <row r="48" spans="1:59" s="53" customFormat="1" ht="12.75" customHeight="1" x14ac:dyDescent="0.2">
      <c r="A48" s="88" t="s">
        <v>75</v>
      </c>
      <c r="B48" s="408"/>
      <c r="C48" s="154" t="e">
        <f t="shared" si="18"/>
        <v>#REF!</v>
      </c>
      <c r="D48" s="32"/>
      <c r="E48" s="32"/>
      <c r="F48" s="32"/>
      <c r="G48" s="32"/>
      <c r="H48" s="32"/>
      <c r="I48" s="32" t="e">
        <f t="shared" ref="I48:S48" si="28">(I35-I22-I23)/I16</f>
        <v>#REF!</v>
      </c>
      <c r="J48" s="32" t="e">
        <f t="shared" si="28"/>
        <v>#REF!</v>
      </c>
      <c r="K48" s="32" t="e">
        <f t="shared" si="28"/>
        <v>#REF!</v>
      </c>
      <c r="L48" s="32" t="e">
        <f t="shared" si="28"/>
        <v>#REF!</v>
      </c>
      <c r="M48" s="32" t="e">
        <f t="shared" si="28"/>
        <v>#REF!</v>
      </c>
      <c r="N48" s="32" t="e">
        <f t="shared" si="28"/>
        <v>#REF!</v>
      </c>
      <c r="O48" s="32">
        <f t="shared" si="28"/>
        <v>0.47607467838092249</v>
      </c>
      <c r="P48" s="32">
        <f t="shared" si="28"/>
        <v>0.60184193617476978</v>
      </c>
      <c r="Q48" s="32">
        <f t="shared" si="28"/>
        <v>0.71425481289206139</v>
      </c>
      <c r="R48" s="32">
        <f t="shared" si="28"/>
        <v>0.1941542468528433</v>
      </c>
      <c r="S48" s="32">
        <f t="shared" si="28"/>
        <v>0.26187925789451133</v>
      </c>
      <c r="T48" s="32">
        <f t="shared" ref="T48:AK48" si="29">(T25+T26+T27+T28+T29+T30+T32)/T16</f>
        <v>0.27134911113534738</v>
      </c>
      <c r="U48" s="32">
        <f t="shared" si="29"/>
        <v>0.34454241410763148</v>
      </c>
      <c r="V48" s="32">
        <f t="shared" si="29"/>
        <v>0.19317489335770871</v>
      </c>
      <c r="W48" s="32">
        <f t="shared" si="29"/>
        <v>0.16759395935051663</v>
      </c>
      <c r="X48" s="32">
        <f t="shared" si="29"/>
        <v>0.32029038112522684</v>
      </c>
      <c r="Y48" s="32">
        <f t="shared" si="29"/>
        <v>0.21639187574671445</v>
      </c>
      <c r="Z48" s="32" t="e">
        <f t="shared" si="29"/>
        <v>#DIV/0!</v>
      </c>
      <c r="AA48" s="32" t="e">
        <f t="shared" si="29"/>
        <v>#DIV/0!</v>
      </c>
      <c r="AB48" s="32" t="e">
        <f t="shared" si="29"/>
        <v>#DIV/0!</v>
      </c>
      <c r="AC48" s="32" t="e">
        <f t="shared" si="29"/>
        <v>#DIV/0!</v>
      </c>
      <c r="AD48" s="32" t="e">
        <f t="shared" si="29"/>
        <v>#DIV/0!</v>
      </c>
      <c r="AE48" s="32" t="e">
        <f t="shared" si="29"/>
        <v>#DIV/0!</v>
      </c>
      <c r="AF48" s="32" t="e">
        <f t="shared" si="29"/>
        <v>#DIV/0!</v>
      </c>
      <c r="AG48" s="32" t="e">
        <f t="shared" si="29"/>
        <v>#DIV/0!</v>
      </c>
      <c r="AH48" s="32" t="e">
        <f t="shared" si="29"/>
        <v>#DIV/0!</v>
      </c>
      <c r="AI48" s="32" t="e">
        <f t="shared" si="29"/>
        <v>#DIV/0!</v>
      </c>
      <c r="AJ48" s="32" t="e">
        <f t="shared" si="29"/>
        <v>#DIV/0!</v>
      </c>
      <c r="AK48" s="32" t="e">
        <f t="shared" si="29"/>
        <v>#DIV/0!</v>
      </c>
      <c r="AL48" s="32"/>
      <c r="AM48" s="32" t="e">
        <f>(AM35-AM22-AM23)/AM16</f>
        <v>#REF!</v>
      </c>
      <c r="AN48" s="32">
        <f>(AN35-AN22-AN23)/AN16</f>
        <v>0.58384399336141968</v>
      </c>
      <c r="AO48" s="154" t="e">
        <f t="shared" si="21"/>
        <v>#REF!</v>
      </c>
      <c r="AP48" s="32"/>
      <c r="AQ48" s="32"/>
      <c r="AR48" s="32" t="e">
        <f t="shared" ref="AR48:AW48" si="30">+(AR35-AR23-AR22)/AR16</f>
        <v>#REF!</v>
      </c>
      <c r="AS48" s="32" t="e">
        <f t="shared" si="30"/>
        <v>#REF!</v>
      </c>
      <c r="AT48" s="32">
        <f t="shared" si="30"/>
        <v>0.27604475759897279</v>
      </c>
      <c r="AU48" s="32">
        <f t="shared" si="30"/>
        <v>0.24863560288160672</v>
      </c>
      <c r="AV48" s="32">
        <f t="shared" si="30"/>
        <v>0.4024901955406851</v>
      </c>
      <c r="AW48" s="32">
        <f t="shared" si="30"/>
        <v>0.19347260250819728</v>
      </c>
      <c r="AX48" s="32">
        <f>(AX25+AX26+AX27+AX28+AX29+AX30+AX32)/AX16</f>
        <v>0.17301235252441241</v>
      </c>
      <c r="AY48" s="232">
        <v>9.4E-2</v>
      </c>
      <c r="AZ48" s="232">
        <v>9.2999999999999999E-2</v>
      </c>
      <c r="BA48" s="232">
        <v>0.104</v>
      </c>
      <c r="BB48" s="3"/>
      <c r="BC48" s="137"/>
      <c r="BD48" s="137"/>
      <c r="BG48" s="137"/>
    </row>
    <row r="49" spans="1:59" s="53" customFormat="1" ht="12.75" customHeight="1" x14ac:dyDescent="0.2">
      <c r="A49" s="88" t="s">
        <v>76</v>
      </c>
      <c r="B49" s="408"/>
      <c r="C49" s="154" t="e">
        <f t="shared" si="18"/>
        <v>#REF!</v>
      </c>
      <c r="D49" s="32"/>
      <c r="E49" s="32"/>
      <c r="F49" s="32"/>
      <c r="G49" s="32"/>
      <c r="H49" s="32"/>
      <c r="I49" s="32" t="e">
        <f>I35/I16</f>
        <v>#REF!</v>
      </c>
      <c r="J49" s="32" t="e">
        <f>J35/J16</f>
        <v>#REF!</v>
      </c>
      <c r="K49" s="32" t="e">
        <f>K35/K16</f>
        <v>#REF!</v>
      </c>
      <c r="L49" s="32" t="e">
        <f t="shared" ref="L49:AK49" si="31">L35/L16</f>
        <v>#REF!</v>
      </c>
      <c r="M49" s="32" t="e">
        <f t="shared" si="31"/>
        <v>#REF!</v>
      </c>
      <c r="N49" s="32" t="e">
        <f t="shared" si="31"/>
        <v>#REF!</v>
      </c>
      <c r="O49" s="32">
        <f t="shared" si="31"/>
        <v>1.0786790084719171</v>
      </c>
      <c r="P49" s="32">
        <f t="shared" si="31"/>
        <v>1.4236453201970443</v>
      </c>
      <c r="Q49" s="32">
        <f t="shared" si="31"/>
        <v>1.5228206792126324</v>
      </c>
      <c r="R49" s="32">
        <f t="shared" si="31"/>
        <v>0.72970626537404137</v>
      </c>
      <c r="S49" s="32">
        <f t="shared" si="31"/>
        <v>0.87338789151206131</v>
      </c>
      <c r="T49" s="32">
        <f t="shared" si="31"/>
        <v>0.92131093903370054</v>
      </c>
      <c r="U49" s="32">
        <f t="shared" si="31"/>
        <v>0.97622377622377621</v>
      </c>
      <c r="V49" s="32">
        <f t="shared" si="31"/>
        <v>0.90006093845216328</v>
      </c>
      <c r="W49" s="32">
        <f t="shared" si="31"/>
        <v>0.83138412626319969</v>
      </c>
      <c r="X49" s="32">
        <f t="shared" si="31"/>
        <v>1.0500181488203266</v>
      </c>
      <c r="Y49" s="32">
        <f t="shared" si="31"/>
        <v>0.82628434886499402</v>
      </c>
      <c r="Z49" s="32" t="e">
        <f t="shared" si="31"/>
        <v>#DIV/0!</v>
      </c>
      <c r="AA49" s="32" t="e">
        <f t="shared" si="31"/>
        <v>#DIV/0!</v>
      </c>
      <c r="AB49" s="32" t="e">
        <f t="shared" si="31"/>
        <v>#DIV/0!</v>
      </c>
      <c r="AC49" s="32" t="e">
        <f t="shared" si="31"/>
        <v>#DIV/0!</v>
      </c>
      <c r="AD49" s="32" t="e">
        <f t="shared" si="31"/>
        <v>#DIV/0!</v>
      </c>
      <c r="AE49" s="32" t="e">
        <f t="shared" si="31"/>
        <v>#DIV/0!</v>
      </c>
      <c r="AF49" s="32" t="e">
        <f t="shared" si="31"/>
        <v>#DIV/0!</v>
      </c>
      <c r="AG49" s="32" t="e">
        <f t="shared" si="31"/>
        <v>#DIV/0!</v>
      </c>
      <c r="AH49" s="32" t="e">
        <f t="shared" si="31"/>
        <v>#DIV/0!</v>
      </c>
      <c r="AI49" s="32" t="e">
        <f t="shared" si="31"/>
        <v>#DIV/0!</v>
      </c>
      <c r="AJ49" s="32" t="e">
        <f t="shared" si="31"/>
        <v>#DIV/0!</v>
      </c>
      <c r="AK49" s="32" t="e">
        <f t="shared" si="31"/>
        <v>#DIV/0!</v>
      </c>
      <c r="AL49" s="32"/>
      <c r="AM49" s="32" t="e">
        <f>AM35/AM16</f>
        <v>#REF!</v>
      </c>
      <c r="AN49" s="32">
        <f>AN35/AN16</f>
        <v>1.3125558534405719</v>
      </c>
      <c r="AO49" s="154" t="e">
        <f t="shared" si="21"/>
        <v>#REF!</v>
      </c>
      <c r="AP49" s="32"/>
      <c r="AQ49" s="32"/>
      <c r="AR49" s="32" t="e">
        <f>AR35/AR16</f>
        <v>#REF!</v>
      </c>
      <c r="AS49" s="32" t="e">
        <f t="shared" ref="AS49:AX49" si="32">AS35/AS16</f>
        <v>#REF!</v>
      </c>
      <c r="AT49" s="32">
        <f t="shared" si="32"/>
        <v>0.84754577726944114</v>
      </c>
      <c r="AU49" s="32">
        <f t="shared" si="32"/>
        <v>0.88438402018094942</v>
      </c>
      <c r="AV49" s="32">
        <f t="shared" si="32"/>
        <v>0.9721498505334174</v>
      </c>
      <c r="AW49" s="32">
        <f t="shared" si="32"/>
        <v>0.74974647601663114</v>
      </c>
      <c r="AX49" s="32">
        <f t="shared" si="32"/>
        <v>0.7558451159781906</v>
      </c>
      <c r="AY49" s="232">
        <v>0.66699999999999993</v>
      </c>
      <c r="AZ49" s="232">
        <v>0.73799999999999999</v>
      </c>
      <c r="BA49" s="232">
        <v>0.81199999999999994</v>
      </c>
      <c r="BB49" s="3"/>
      <c r="BC49" s="137"/>
      <c r="BD49" s="137"/>
      <c r="BG49" s="137"/>
    </row>
    <row r="50" spans="1:59" s="53" customFormat="1" ht="12.75" customHeight="1" x14ac:dyDescent="0.2">
      <c r="A50" s="88" t="s">
        <v>77</v>
      </c>
      <c r="B50" s="408"/>
      <c r="C50" s="154" t="e">
        <f t="shared" si="18"/>
        <v>#REF!</v>
      </c>
      <c r="D50" s="32"/>
      <c r="E50" s="32"/>
      <c r="F50" s="32"/>
      <c r="G50" s="32"/>
      <c r="H50" s="32"/>
      <c r="I50" s="32" t="e">
        <f>I36/I16</f>
        <v>#REF!</v>
      </c>
      <c r="J50" s="32" t="e">
        <f>J36/J16</f>
        <v>#REF!</v>
      </c>
      <c r="K50" s="32" t="e">
        <f>K36/K16</f>
        <v>#REF!</v>
      </c>
      <c r="L50" s="32" t="e">
        <f t="shared" ref="L50:AK50" si="33">L36/L16</f>
        <v>#REF!</v>
      </c>
      <c r="M50" s="32" t="e">
        <f t="shared" si="33"/>
        <v>#REF!</v>
      </c>
      <c r="N50" s="32" t="e">
        <f t="shared" si="33"/>
        <v>#REF!</v>
      </c>
      <c r="O50" s="32">
        <f t="shared" si="33"/>
        <v>-7.8679008471917167E-2</v>
      </c>
      <c r="P50" s="32">
        <f t="shared" si="33"/>
        <v>-0.42364532019704432</v>
      </c>
      <c r="Q50" s="32">
        <f t="shared" si="33"/>
        <v>-0.52282067921263253</v>
      </c>
      <c r="R50" s="32">
        <f t="shared" si="33"/>
        <v>0.27029373462595863</v>
      </c>
      <c r="S50" s="32">
        <f t="shared" si="33"/>
        <v>0.12661210848793863</v>
      </c>
      <c r="T50" s="32">
        <f t="shared" si="33"/>
        <v>7.868906096629949E-2</v>
      </c>
      <c r="U50" s="32">
        <f t="shared" si="33"/>
        <v>2.3776223776223775E-2</v>
      </c>
      <c r="V50" s="32">
        <f t="shared" si="33"/>
        <v>9.9939061547836688E-2</v>
      </c>
      <c r="W50" s="32">
        <f t="shared" si="33"/>
        <v>0.16861587373680026</v>
      </c>
      <c r="X50" s="32">
        <f t="shared" si="33"/>
        <v>-5.001814882032668E-2</v>
      </c>
      <c r="Y50" s="32">
        <f t="shared" si="33"/>
        <v>0.17371565113500598</v>
      </c>
      <c r="Z50" s="32" t="e">
        <f t="shared" si="33"/>
        <v>#DIV/0!</v>
      </c>
      <c r="AA50" s="32" t="e">
        <f t="shared" si="33"/>
        <v>#DIV/0!</v>
      </c>
      <c r="AB50" s="32" t="e">
        <f t="shared" si="33"/>
        <v>#DIV/0!</v>
      </c>
      <c r="AC50" s="32" t="e">
        <f t="shared" si="33"/>
        <v>#DIV/0!</v>
      </c>
      <c r="AD50" s="32" t="e">
        <f t="shared" si="33"/>
        <v>#DIV/0!</v>
      </c>
      <c r="AE50" s="32" t="e">
        <f t="shared" si="33"/>
        <v>#DIV/0!</v>
      </c>
      <c r="AF50" s="32" t="e">
        <f t="shared" si="33"/>
        <v>#DIV/0!</v>
      </c>
      <c r="AG50" s="32" t="e">
        <f t="shared" si="33"/>
        <v>#DIV/0!</v>
      </c>
      <c r="AH50" s="32" t="e">
        <f t="shared" si="33"/>
        <v>#DIV/0!</v>
      </c>
      <c r="AI50" s="32" t="e">
        <f t="shared" si="33"/>
        <v>#DIV/0!</v>
      </c>
      <c r="AJ50" s="32" t="e">
        <f t="shared" si="33"/>
        <v>#DIV/0!</v>
      </c>
      <c r="AK50" s="32" t="e">
        <f t="shared" si="33"/>
        <v>#DIV/0!</v>
      </c>
      <c r="AL50" s="32"/>
      <c r="AM50" s="32" t="e">
        <f>AM36/AM16</f>
        <v>#REF!</v>
      </c>
      <c r="AN50" s="32">
        <f>AN36/AN16</f>
        <v>-0.31255585344057196</v>
      </c>
      <c r="AO50" s="154" t="e">
        <f t="shared" si="21"/>
        <v>#REF!</v>
      </c>
      <c r="AP50" s="32"/>
      <c r="AQ50" s="32"/>
      <c r="AR50" s="32" t="e">
        <f>AR36/AR16</f>
        <v>#REF!</v>
      </c>
      <c r="AS50" s="32" t="e">
        <f t="shared" ref="AS50:AZ50" si="34">AS36/AS16</f>
        <v>#REF!</v>
      </c>
      <c r="AT50" s="32">
        <f t="shared" si="34"/>
        <v>0.15245422273055884</v>
      </c>
      <c r="AU50" s="32">
        <f t="shared" si="34"/>
        <v>0.11561597981905063</v>
      </c>
      <c r="AV50" s="32">
        <f t="shared" si="34"/>
        <v>2.7850149466582562E-2</v>
      </c>
      <c r="AW50" s="32">
        <f t="shared" si="34"/>
        <v>0.25025352398336881</v>
      </c>
      <c r="AX50" s="32">
        <f t="shared" si="34"/>
        <v>0.24415488402180943</v>
      </c>
      <c r="AY50" s="222">
        <f t="shared" si="34"/>
        <v>0.33309769658459093</v>
      </c>
      <c r="AZ50" s="222">
        <f t="shared" si="34"/>
        <v>0.26208975794642086</v>
      </c>
      <c r="BA50" s="222">
        <v>0.18800000000000006</v>
      </c>
      <c r="BB50" s="3"/>
      <c r="BC50" s="137"/>
      <c r="BD50" s="137"/>
      <c r="BG50" s="137"/>
    </row>
    <row r="51" spans="1:59" s="53" customFormat="1" ht="12.75" customHeight="1" x14ac:dyDescent="0.2">
      <c r="A51" s="86"/>
      <c r="B51" s="408"/>
      <c r="C51" s="32"/>
      <c r="D51" s="32"/>
      <c r="E51" s="32"/>
      <c r="F51" s="32"/>
      <c r="G51" s="32"/>
      <c r="H51" s="32"/>
      <c r="I51" s="482"/>
      <c r="J51" s="32"/>
      <c r="K51" s="32"/>
      <c r="L51" s="32"/>
      <c r="M51" s="482"/>
      <c r="N51" s="32"/>
      <c r="O51" s="32"/>
      <c r="P51" s="32"/>
      <c r="Q51" s="44"/>
      <c r="R51" s="32"/>
      <c r="S51" s="32"/>
      <c r="T51" s="32"/>
      <c r="U51" s="44"/>
      <c r="V51" s="32"/>
      <c r="W51" s="32"/>
      <c r="X51" s="32"/>
      <c r="Y51" s="44"/>
      <c r="Z51" s="32"/>
      <c r="AA51" s="32"/>
      <c r="AB51" s="32"/>
      <c r="AC51" s="44"/>
      <c r="AD51" s="44"/>
      <c r="AE51" s="44"/>
      <c r="AF51" s="44"/>
      <c r="AG51" s="44"/>
      <c r="AH51" s="44"/>
      <c r="AI51" s="44"/>
      <c r="AJ51" s="44"/>
      <c r="AK51" s="44"/>
      <c r="AL51" s="32"/>
      <c r="AM51" s="32"/>
      <c r="AN51" s="32"/>
      <c r="AO51" s="180"/>
      <c r="AP51" s="35"/>
      <c r="AQ51" s="32"/>
      <c r="AR51" s="491"/>
      <c r="AS51" s="187"/>
      <c r="AT51" s="187"/>
      <c r="AU51" s="32"/>
      <c r="AV51" s="32"/>
      <c r="AW51" s="32"/>
      <c r="AX51" s="32"/>
      <c r="AY51" s="222"/>
      <c r="AZ51" s="222"/>
      <c r="BA51" s="222"/>
      <c r="BB51" s="3"/>
      <c r="BC51" s="137"/>
      <c r="BD51" s="137"/>
      <c r="BG51" s="137"/>
    </row>
    <row r="52" spans="1:59" s="53" customFormat="1" ht="12.75" customHeight="1" x14ac:dyDescent="0.2">
      <c r="A52" s="44" t="s">
        <v>89</v>
      </c>
      <c r="B52" s="408"/>
      <c r="C52" s="108">
        <f>I52-M52</f>
        <v>-17</v>
      </c>
      <c r="D52" s="508">
        <f>IF(OR((C52/M52)&gt;3,(C52/M52)&lt;-3),"n.m.",(C52/M52))</f>
        <v>-2.4495677233429394E-2</v>
      </c>
      <c r="E52" s="35"/>
      <c r="F52" s="413"/>
      <c r="G52" s="413"/>
      <c r="H52" s="413"/>
      <c r="I52" s="119">
        <f>+'15 Misc Operating Stats'!AD19+'15 Misc Operating Stats'!AD18</f>
        <v>677</v>
      </c>
      <c r="J52" s="413">
        <f>+'15 Misc Operating Stats'!AE18+'15 Misc Operating Stats'!AE19</f>
        <v>694</v>
      </c>
      <c r="K52" s="413">
        <f>+'15 Misc Operating Stats'!AF18+'15 Misc Operating Stats'!AF19</f>
        <v>722</v>
      </c>
      <c r="L52" s="413">
        <f>+'15 Misc Operating Stats'!AG19+'15 Misc Operating Stats'!AG18</f>
        <v>682</v>
      </c>
      <c r="M52" s="119">
        <f>+'15 Misc Operating Stats'!AH18+'15 Misc Operating Stats'!AH19</f>
        <v>694</v>
      </c>
      <c r="N52" s="119">
        <f>'15 Misc Operating Stats'!AI18+'15 Misc Operating Stats'!AI19</f>
        <v>737</v>
      </c>
      <c r="O52" s="119">
        <f>'15 Misc Operating Stats'!AJ18</f>
        <v>143</v>
      </c>
      <c r="P52" s="119">
        <f>'15 Misc Operating Stats'!AK18</f>
        <v>152</v>
      </c>
      <c r="Q52" s="119">
        <v>155</v>
      </c>
      <c r="R52" s="119">
        <v>143</v>
      </c>
      <c r="S52" s="119">
        <v>140</v>
      </c>
      <c r="T52" s="119">
        <v>142</v>
      </c>
      <c r="U52" s="119">
        <v>137</v>
      </c>
      <c r="V52" s="119">
        <v>138</v>
      </c>
      <c r="W52" s="119">
        <v>136</v>
      </c>
      <c r="X52" s="119">
        <v>124</v>
      </c>
      <c r="Y52" s="119">
        <v>111</v>
      </c>
      <c r="Z52" s="119">
        <v>114</v>
      </c>
      <c r="AA52" s="119">
        <v>117</v>
      </c>
      <c r="AB52" s="119">
        <v>127</v>
      </c>
      <c r="AC52" s="119">
        <v>125</v>
      </c>
      <c r="AD52" s="119">
        <v>125</v>
      </c>
      <c r="AE52" s="119">
        <v>116</v>
      </c>
      <c r="AF52" s="119">
        <v>109</v>
      </c>
      <c r="AG52" s="119">
        <v>104</v>
      </c>
      <c r="AH52" s="119">
        <v>93</v>
      </c>
      <c r="AI52" s="119">
        <v>95</v>
      </c>
      <c r="AJ52" s="119">
        <v>89</v>
      </c>
      <c r="AK52" s="119">
        <v>88</v>
      </c>
      <c r="AL52" s="119"/>
      <c r="AM52" s="413">
        <f>K52</f>
        <v>722</v>
      </c>
      <c r="AN52" s="413">
        <f>O52</f>
        <v>143</v>
      </c>
      <c r="AO52" s="413">
        <f>AR52-AS52</f>
        <v>-43</v>
      </c>
      <c r="AP52" s="413"/>
      <c r="AQ52" s="413"/>
      <c r="AR52" s="413">
        <f>+J52</f>
        <v>694</v>
      </c>
      <c r="AS52" s="413">
        <f>N52</f>
        <v>737</v>
      </c>
      <c r="AT52" s="413">
        <f>R52</f>
        <v>143</v>
      </c>
      <c r="AU52" s="413">
        <f>V52</f>
        <v>138</v>
      </c>
      <c r="AV52" s="413">
        <v>113</v>
      </c>
      <c r="AW52" s="413">
        <v>124</v>
      </c>
      <c r="AX52" s="413">
        <v>92</v>
      </c>
      <c r="AY52" s="216">
        <v>81</v>
      </c>
      <c r="AZ52" s="216">
        <v>70</v>
      </c>
      <c r="BA52" s="216">
        <v>52</v>
      </c>
      <c r="BB52" s="3"/>
      <c r="BC52" s="137"/>
      <c r="BD52" s="137"/>
      <c r="BG52" s="137"/>
    </row>
    <row r="53" spans="1:59" s="53" customFormat="1" ht="12.75" customHeight="1" x14ac:dyDescent="0.2">
      <c r="A53" s="44"/>
      <c r="B53" s="408"/>
      <c r="C53" s="108"/>
      <c r="D53" s="35"/>
      <c r="E53" s="35"/>
      <c r="F53" s="482"/>
      <c r="G53" s="482"/>
      <c r="H53" s="482"/>
      <c r="I53" s="482"/>
      <c r="J53" s="482"/>
      <c r="K53" s="482"/>
      <c r="L53" s="482"/>
      <c r="M53" s="482"/>
      <c r="N53" s="91"/>
      <c r="O53" s="44"/>
      <c r="P53" s="44"/>
      <c r="Q53" s="44"/>
      <c r="R53" s="91"/>
      <c r="S53" s="44"/>
      <c r="T53" s="87"/>
      <c r="U53" s="44"/>
      <c r="V53" s="91"/>
      <c r="W53" s="44"/>
      <c r="X53" s="87"/>
      <c r="Y53" s="44"/>
      <c r="Z53" s="91"/>
      <c r="AA53" s="44"/>
      <c r="AB53" s="87"/>
      <c r="AC53" s="44"/>
      <c r="AD53" s="44"/>
      <c r="AE53" s="44"/>
      <c r="AF53" s="44"/>
      <c r="AG53" s="44"/>
      <c r="AH53" s="44"/>
      <c r="AI53" s="44"/>
      <c r="AJ53" s="44"/>
      <c r="AK53" s="44"/>
      <c r="AL53" s="171"/>
      <c r="AM53" s="171"/>
      <c r="AN53" s="171"/>
      <c r="AO53" s="180"/>
      <c r="AP53" s="35"/>
      <c r="AQ53" s="171"/>
      <c r="AR53" s="491"/>
      <c r="AS53" s="187"/>
      <c r="AT53" s="187"/>
      <c r="AU53" s="160"/>
      <c r="AV53" s="160"/>
      <c r="AW53" s="44"/>
      <c r="AX53" s="44"/>
      <c r="AY53" s="216"/>
      <c r="AZ53" s="216"/>
      <c r="BA53" s="216"/>
      <c r="BB53" s="3"/>
      <c r="BC53" s="137"/>
      <c r="BD53" s="137"/>
      <c r="BG53" s="137"/>
    </row>
    <row r="54" spans="1:59" ht="18" customHeight="1" x14ac:dyDescent="0.2">
      <c r="A54" s="10" t="s">
        <v>250</v>
      </c>
      <c r="B54" s="6"/>
      <c r="C54" s="44"/>
      <c r="D54" s="44"/>
      <c r="E54" s="91"/>
      <c r="F54" s="483"/>
      <c r="G54" s="483"/>
      <c r="H54" s="483"/>
      <c r="I54" s="483"/>
      <c r="J54" s="483"/>
      <c r="K54" s="483"/>
      <c r="L54" s="483"/>
      <c r="M54" s="483"/>
      <c r="N54" s="359"/>
      <c r="O54" s="91"/>
      <c r="P54" s="91"/>
      <c r="Q54" s="91"/>
      <c r="R54" s="91"/>
      <c r="S54" s="91"/>
      <c r="T54" s="91"/>
      <c r="U54" s="91"/>
      <c r="V54" s="91"/>
      <c r="W54" s="91"/>
      <c r="X54" s="91"/>
      <c r="Y54" s="91"/>
      <c r="Z54" s="91"/>
      <c r="AA54" s="91"/>
      <c r="AB54" s="91"/>
      <c r="AC54" s="91"/>
      <c r="AD54" s="91"/>
      <c r="AE54" s="91"/>
      <c r="AF54" s="44"/>
      <c r="AG54" s="44"/>
      <c r="AH54" s="44"/>
      <c r="AI54" s="44"/>
      <c r="AJ54" s="44"/>
      <c r="AK54" s="44"/>
      <c r="AL54" s="44"/>
      <c r="AM54" s="44"/>
      <c r="AN54" s="44"/>
      <c r="AO54" s="370"/>
      <c r="AP54" s="370"/>
      <c r="AQ54" s="44"/>
      <c r="AR54" s="370"/>
      <c r="AS54" s="370"/>
      <c r="AT54" s="370"/>
      <c r="AU54" s="44"/>
      <c r="AV54" s="44"/>
      <c r="AW54" s="44"/>
      <c r="AX54" s="44"/>
      <c r="AY54" s="221"/>
      <c r="AZ54" s="221"/>
      <c r="BA54" s="221"/>
      <c r="BB54" s="3"/>
      <c r="BC54" s="3"/>
      <c r="BD54" s="3"/>
      <c r="BG54" s="3"/>
    </row>
    <row r="55" spans="1:59" ht="12.75" customHeight="1" x14ac:dyDescent="0.2">
      <c r="A55" s="123"/>
      <c r="B55" s="414"/>
      <c r="C55" s="44"/>
      <c r="D55" s="44"/>
      <c r="E55" s="91"/>
      <c r="F55" s="483"/>
      <c r="G55" s="483"/>
      <c r="H55" s="483"/>
      <c r="I55" s="483"/>
      <c r="J55" s="483"/>
      <c r="K55" s="483"/>
      <c r="L55" s="483"/>
      <c r="M55" s="483"/>
      <c r="N55" s="265"/>
      <c r="O55" s="91"/>
      <c r="P55" s="91"/>
      <c r="Q55" s="91"/>
      <c r="R55" s="265"/>
      <c r="S55" s="91"/>
      <c r="T55" s="265"/>
      <c r="U55" s="91"/>
      <c r="V55" s="265"/>
      <c r="W55" s="91"/>
      <c r="X55" s="265"/>
      <c r="Y55" s="91"/>
      <c r="Z55" s="265"/>
      <c r="AA55" s="91"/>
      <c r="AB55" s="91"/>
      <c r="AC55" s="91"/>
      <c r="AD55" s="91"/>
      <c r="AE55" s="91"/>
      <c r="AF55" s="44"/>
      <c r="AG55" s="44"/>
      <c r="AH55" s="44"/>
      <c r="AI55" s="44"/>
      <c r="AJ55" s="44"/>
      <c r="AK55" s="44"/>
      <c r="AL55" s="44"/>
      <c r="AM55" s="44"/>
      <c r="AN55" s="44"/>
      <c r="AO55" s="370"/>
      <c r="AP55" s="370"/>
      <c r="AQ55" s="44"/>
      <c r="AR55" s="370"/>
      <c r="AS55" s="370"/>
      <c r="AT55" s="370"/>
      <c r="AU55" s="44"/>
      <c r="AV55" s="44"/>
      <c r="AW55" s="44"/>
      <c r="AX55" s="44"/>
      <c r="AY55" s="221"/>
      <c r="AZ55" s="221"/>
      <c r="BA55" s="221"/>
      <c r="BB55" s="3"/>
      <c r="BC55" s="3"/>
      <c r="BD55" s="3"/>
      <c r="BG55" s="3"/>
    </row>
    <row r="56" spans="1:59" ht="12.75" customHeight="1" x14ac:dyDescent="0.2">
      <c r="A56" s="5"/>
      <c r="B56" s="6"/>
      <c r="C56" s="3204" t="s">
        <v>312</v>
      </c>
      <c r="D56" s="3205"/>
      <c r="E56" s="184"/>
      <c r="F56" s="273"/>
      <c r="G56" s="273"/>
      <c r="H56" s="273"/>
      <c r="I56" s="17"/>
      <c r="J56" s="273"/>
      <c r="K56" s="273"/>
      <c r="L56" s="273"/>
      <c r="M56" s="17"/>
      <c r="N56" s="15"/>
      <c r="O56" s="16"/>
      <c r="P56" s="273"/>
      <c r="Q56" s="17"/>
      <c r="R56" s="15"/>
      <c r="S56" s="16"/>
      <c r="T56" s="273"/>
      <c r="U56" s="17"/>
      <c r="V56" s="481"/>
      <c r="W56" s="16"/>
      <c r="X56" s="2"/>
      <c r="Y56" s="17"/>
      <c r="Z56" s="16"/>
      <c r="AA56" s="481"/>
      <c r="AB56" s="273"/>
      <c r="AC56" s="17"/>
      <c r="AD56" s="16"/>
      <c r="AE56" s="16"/>
      <c r="AF56" s="16"/>
      <c r="AG56" s="16"/>
      <c r="AH56" s="20"/>
      <c r="AI56" s="17"/>
      <c r="AJ56" s="17"/>
      <c r="AK56" s="17"/>
      <c r="AL56" s="22"/>
      <c r="AM56" s="445" t="s">
        <v>299</v>
      </c>
      <c r="AN56" s="433"/>
      <c r="AO56" s="433" t="s">
        <v>284</v>
      </c>
      <c r="AP56" s="434"/>
      <c r="AQ56" s="13"/>
      <c r="AR56" s="530"/>
      <c r="AS56" s="464"/>
      <c r="AT56" s="448"/>
      <c r="AU56" s="46"/>
      <c r="AV56" s="46"/>
      <c r="AW56" s="126"/>
      <c r="AX56" s="124"/>
      <c r="AY56" s="46"/>
      <c r="AZ56" s="46"/>
      <c r="BA56" s="464"/>
      <c r="BB56" s="23"/>
      <c r="BC56" s="3"/>
      <c r="BD56" s="3"/>
      <c r="BG56" s="3"/>
    </row>
    <row r="57" spans="1:59" ht="12.75" customHeight="1" x14ac:dyDescent="0.2">
      <c r="A57" s="5" t="s">
        <v>96</v>
      </c>
      <c r="B57" s="6"/>
      <c r="C57" s="3201" t="s">
        <v>38</v>
      </c>
      <c r="D57" s="3202"/>
      <c r="E57" s="355"/>
      <c r="F57" s="19" t="s">
        <v>315</v>
      </c>
      <c r="G57" s="19" t="s">
        <v>314</v>
      </c>
      <c r="H57" s="19" t="s">
        <v>313</v>
      </c>
      <c r="I57" s="12" t="s">
        <v>311</v>
      </c>
      <c r="J57" s="19" t="s">
        <v>270</v>
      </c>
      <c r="K57" s="19" t="s">
        <v>271</v>
      </c>
      <c r="L57" s="19" t="s">
        <v>272</v>
      </c>
      <c r="M57" s="12" t="s">
        <v>273</v>
      </c>
      <c r="N57" s="18" t="s">
        <v>223</v>
      </c>
      <c r="O57" s="19" t="s">
        <v>224</v>
      </c>
      <c r="P57" s="19" t="s">
        <v>225</v>
      </c>
      <c r="Q57" s="12" t="s">
        <v>222</v>
      </c>
      <c r="R57" s="18" t="s">
        <v>189</v>
      </c>
      <c r="S57" s="19" t="s">
        <v>190</v>
      </c>
      <c r="T57" s="19" t="s">
        <v>191</v>
      </c>
      <c r="U57" s="12" t="s">
        <v>192</v>
      </c>
      <c r="V57" s="19" t="s">
        <v>121</v>
      </c>
      <c r="W57" s="19" t="s">
        <v>120</v>
      </c>
      <c r="X57" s="19" t="s">
        <v>119</v>
      </c>
      <c r="Y57" s="12" t="s">
        <v>118</v>
      </c>
      <c r="Z57" s="19" t="s">
        <v>81</v>
      </c>
      <c r="AA57" s="19" t="s">
        <v>82</v>
      </c>
      <c r="AB57" s="19" t="s">
        <v>83</v>
      </c>
      <c r="AC57" s="12" t="s">
        <v>29</v>
      </c>
      <c r="AD57" s="19" t="s">
        <v>30</v>
      </c>
      <c r="AE57" s="19" t="s">
        <v>31</v>
      </c>
      <c r="AF57" s="19" t="s">
        <v>32</v>
      </c>
      <c r="AG57" s="19" t="s">
        <v>33</v>
      </c>
      <c r="AH57" s="21" t="s">
        <v>34</v>
      </c>
      <c r="AI57" s="12" t="s">
        <v>35</v>
      </c>
      <c r="AJ57" s="12" t="s">
        <v>36</v>
      </c>
      <c r="AK57" s="12" t="s">
        <v>37</v>
      </c>
      <c r="AL57" s="184"/>
      <c r="AM57" s="19" t="s">
        <v>271</v>
      </c>
      <c r="AN57" s="19" t="s">
        <v>224</v>
      </c>
      <c r="AO57" s="3203" t="s">
        <v>38</v>
      </c>
      <c r="AP57" s="3202"/>
      <c r="AQ57" s="127"/>
      <c r="AR57" s="158" t="s">
        <v>275</v>
      </c>
      <c r="AS57" s="158" t="s">
        <v>227</v>
      </c>
      <c r="AT57" s="158" t="s">
        <v>123</v>
      </c>
      <c r="AU57" s="18" t="s">
        <v>122</v>
      </c>
      <c r="AV57" s="18" t="s">
        <v>42</v>
      </c>
      <c r="AW57" s="18" t="s">
        <v>39</v>
      </c>
      <c r="AX57" s="21" t="s">
        <v>40</v>
      </c>
      <c r="AY57" s="21" t="s">
        <v>142</v>
      </c>
      <c r="AZ57" s="21" t="s">
        <v>143</v>
      </c>
      <c r="BA57" s="18" t="s">
        <v>144</v>
      </c>
      <c r="BB57" s="23"/>
      <c r="BC57" s="3"/>
      <c r="BD57" s="3"/>
      <c r="BG57" s="3"/>
    </row>
    <row r="58" spans="1:59" ht="12.75" customHeight="1" x14ac:dyDescent="0.2">
      <c r="A58" s="90"/>
      <c r="B58" s="91" t="s">
        <v>4</v>
      </c>
      <c r="C58" s="262" t="e">
        <f>I58-M58</f>
        <v>#REF!</v>
      </c>
      <c r="D58" s="498" t="e">
        <f>IF(OR((C58/M58)&gt;3,(C58/M58)&lt;-3),"n.m.",(C58/M58))</f>
        <v>#REF!</v>
      </c>
      <c r="E58" s="47"/>
      <c r="F58" s="494" t="e">
        <f t="shared" ref="F58:M58" si="35">+F16</f>
        <v>#REF!</v>
      </c>
      <c r="G58" s="494" t="e">
        <f t="shared" si="35"/>
        <v>#REF!</v>
      </c>
      <c r="H58" s="494" t="e">
        <f t="shared" si="35"/>
        <v>#REF!</v>
      </c>
      <c r="I58" s="495" t="e">
        <f t="shared" si="35"/>
        <v>#REF!</v>
      </c>
      <c r="J58" s="494" t="e">
        <f t="shared" si="35"/>
        <v>#REF!</v>
      </c>
      <c r="K58" s="494" t="e">
        <f t="shared" si="35"/>
        <v>#REF!</v>
      </c>
      <c r="L58" s="494" t="e">
        <f t="shared" si="35"/>
        <v>#REF!</v>
      </c>
      <c r="M58" s="495" t="e">
        <f t="shared" si="35"/>
        <v>#REF!</v>
      </c>
      <c r="N58" s="235" t="e">
        <f>N16</f>
        <v>#REF!</v>
      </c>
      <c r="O58" s="235">
        <f>O16</f>
        <v>12748</v>
      </c>
      <c r="P58" s="235">
        <f>P16</f>
        <v>9338</v>
      </c>
      <c r="Q58" s="252">
        <f>Q16</f>
        <v>9246</v>
      </c>
      <c r="R58" s="235">
        <f t="shared" ref="R58:AX58" si="36">R16</f>
        <v>34555</v>
      </c>
      <c r="S58" s="235">
        <f t="shared" si="36"/>
        <v>23339</v>
      </c>
      <c r="T58" s="235">
        <f t="shared" si="36"/>
        <v>18338</v>
      </c>
      <c r="U58" s="252">
        <f t="shared" si="36"/>
        <v>16445</v>
      </c>
      <c r="V58" s="235">
        <f t="shared" si="36"/>
        <v>21333</v>
      </c>
      <c r="W58" s="235">
        <f t="shared" si="36"/>
        <v>26421</v>
      </c>
      <c r="X58" s="235">
        <f t="shared" si="36"/>
        <v>13775</v>
      </c>
      <c r="Y58" s="252">
        <f t="shared" si="36"/>
        <v>20925</v>
      </c>
      <c r="Z58" s="245">
        <f t="shared" si="36"/>
        <v>0</v>
      </c>
      <c r="AA58" s="235">
        <f t="shared" si="36"/>
        <v>0</v>
      </c>
      <c r="AB58" s="235">
        <f t="shared" si="36"/>
        <v>0</v>
      </c>
      <c r="AC58" s="252">
        <f t="shared" si="36"/>
        <v>0</v>
      </c>
      <c r="AD58" s="161">
        <f t="shared" si="36"/>
        <v>0</v>
      </c>
      <c r="AE58" s="161">
        <f t="shared" si="36"/>
        <v>0</v>
      </c>
      <c r="AF58" s="161">
        <f t="shared" si="36"/>
        <v>0</v>
      </c>
      <c r="AG58" s="162">
        <f t="shared" si="36"/>
        <v>0</v>
      </c>
      <c r="AH58" s="183">
        <f t="shared" si="36"/>
        <v>0</v>
      </c>
      <c r="AI58" s="162">
        <f t="shared" si="36"/>
        <v>0</v>
      </c>
      <c r="AJ58" s="162">
        <f t="shared" si="36"/>
        <v>0</v>
      </c>
      <c r="AK58" s="162">
        <f t="shared" si="36"/>
        <v>0</v>
      </c>
      <c r="AL58" s="47"/>
      <c r="AM58" s="168" t="e">
        <f>SUM(K58:M58)</f>
        <v>#REF!</v>
      </c>
      <c r="AN58" s="454">
        <f>SUM(O58:Q58)</f>
        <v>31332</v>
      </c>
      <c r="AO58" s="180" t="e">
        <f>AR58-AS58</f>
        <v>#REF!</v>
      </c>
      <c r="AP58" s="498" t="e">
        <f>IF(OR((AO58/AS58)&gt;3,(AO58/AS58)&lt;-3),"n.m.",(AO58/AS58))</f>
        <v>#REF!</v>
      </c>
      <c r="AQ58" s="44"/>
      <c r="AR58" s="380" t="e">
        <f>SUM(J58:M58)</f>
        <v>#REF!</v>
      </c>
      <c r="AS58" s="380" t="e">
        <f>SUM(N58:Q58)</f>
        <v>#REF!</v>
      </c>
      <c r="AT58" s="380">
        <f t="shared" si="36"/>
        <v>92677</v>
      </c>
      <c r="AU58" s="118">
        <f t="shared" si="36"/>
        <v>82454</v>
      </c>
      <c r="AV58" s="118">
        <f t="shared" si="36"/>
        <v>72926</v>
      </c>
      <c r="AW58" s="129">
        <f t="shared" si="36"/>
        <v>118332</v>
      </c>
      <c r="AX58" s="129">
        <f t="shared" si="36"/>
        <v>129852</v>
      </c>
      <c r="AY58" s="230">
        <f>AY16</f>
        <v>125900</v>
      </c>
      <c r="AZ58" s="230">
        <f>AZ16</f>
        <v>116090</v>
      </c>
      <c r="BA58" s="262">
        <f>BA16</f>
        <v>84489</v>
      </c>
      <c r="BB58" s="23"/>
      <c r="BC58" s="3"/>
      <c r="BD58" s="3"/>
      <c r="BG58" s="3"/>
    </row>
    <row r="59" spans="1:59" ht="12.75" customHeight="1" x14ac:dyDescent="0.2">
      <c r="A59" s="44"/>
      <c r="B59" s="91" t="s">
        <v>80</v>
      </c>
      <c r="C59" s="45">
        <f>I59-M59</f>
        <v>-96</v>
      </c>
      <c r="D59" s="324">
        <f>IF(OR((C59/M59)&gt;3,(C59/M59)&lt;-3),"n.m.",(C59/M59))</f>
        <v>-1.7194748437248124E-3</v>
      </c>
      <c r="E59" s="356"/>
      <c r="F59" s="264">
        <f>+F35-F32-F33</f>
        <v>0</v>
      </c>
      <c r="G59" s="264">
        <f>+G35-G32-G33</f>
        <v>0</v>
      </c>
      <c r="H59" s="264">
        <f>+H35-H32-H33</f>
        <v>0</v>
      </c>
      <c r="I59" s="495">
        <f>+I35-I32-I33-1889</f>
        <v>55735</v>
      </c>
      <c r="J59" s="264">
        <f>+J35-J32-J33-2639</f>
        <v>62820</v>
      </c>
      <c r="K59" s="264">
        <f>+K35-K32-K33-2709</f>
        <v>63839</v>
      </c>
      <c r="L59" s="264">
        <f>+L35-L33-2660</f>
        <v>55218</v>
      </c>
      <c r="M59" s="495">
        <f>+M35-1705-998</f>
        <v>55831</v>
      </c>
      <c r="N59" s="264">
        <f>N35-N32-N33</f>
        <v>25244</v>
      </c>
      <c r="O59" s="264">
        <f>O35-O32</f>
        <v>13341</v>
      </c>
      <c r="P59" s="264">
        <f>P35</f>
        <v>13294</v>
      </c>
      <c r="Q59" s="252">
        <f>Q35</f>
        <v>14080</v>
      </c>
      <c r="R59" s="264">
        <f t="shared" ref="R59:BB59" si="37">R35</f>
        <v>25215</v>
      </c>
      <c r="S59" s="264">
        <f t="shared" si="37"/>
        <v>20384</v>
      </c>
      <c r="T59" s="264">
        <f t="shared" si="37"/>
        <v>16895</v>
      </c>
      <c r="U59" s="252">
        <f t="shared" si="37"/>
        <v>16054</v>
      </c>
      <c r="V59" s="264">
        <f t="shared" si="37"/>
        <v>19201</v>
      </c>
      <c r="W59" s="264">
        <f t="shared" si="37"/>
        <v>21966</v>
      </c>
      <c r="X59" s="264">
        <f t="shared" si="37"/>
        <v>14464</v>
      </c>
      <c r="Y59" s="252">
        <f t="shared" si="37"/>
        <v>17290</v>
      </c>
      <c r="Z59" s="264">
        <f t="shared" si="37"/>
        <v>0</v>
      </c>
      <c r="AA59" s="264">
        <f t="shared" si="37"/>
        <v>0</v>
      </c>
      <c r="AB59" s="264">
        <f t="shared" si="37"/>
        <v>0</v>
      </c>
      <c r="AC59" s="252">
        <f t="shared" si="37"/>
        <v>0</v>
      </c>
      <c r="AD59" s="160">
        <f t="shared" si="37"/>
        <v>0</v>
      </c>
      <c r="AE59" s="160">
        <f t="shared" si="37"/>
        <v>0</v>
      </c>
      <c r="AF59" s="160">
        <f t="shared" si="37"/>
        <v>0</v>
      </c>
      <c r="AG59" s="164">
        <f t="shared" si="37"/>
        <v>0</v>
      </c>
      <c r="AH59" s="129">
        <f t="shared" si="37"/>
        <v>0</v>
      </c>
      <c r="AI59" s="164">
        <f t="shared" si="37"/>
        <v>0</v>
      </c>
      <c r="AJ59" s="164">
        <f t="shared" si="37"/>
        <v>0</v>
      </c>
      <c r="AK59" s="164">
        <f t="shared" si="37"/>
        <v>0</v>
      </c>
      <c r="AL59" s="47"/>
      <c r="AM59" s="168">
        <f>SUM(K59:M59)</f>
        <v>174888</v>
      </c>
      <c r="AN59" s="180">
        <f>SUM(O59:Q59)</f>
        <v>40715</v>
      </c>
      <c r="AO59" s="180">
        <f>AR59-AS59</f>
        <v>171749</v>
      </c>
      <c r="AP59" s="444">
        <f>IF(OR((AO59/AS59)&gt;3,(AO59/AS59)&lt;-3),"n.m.",(AO59/AS59))</f>
        <v>2.6038751345532831</v>
      </c>
      <c r="AQ59" s="44"/>
      <c r="AR59" s="372">
        <f>SUM(J59:M59)</f>
        <v>237708</v>
      </c>
      <c r="AS59" s="372">
        <f>SUM(N59:Q59)</f>
        <v>65959</v>
      </c>
      <c r="AT59" s="372">
        <f t="shared" si="37"/>
        <v>78548</v>
      </c>
      <c r="AU59" s="118">
        <f t="shared" si="37"/>
        <v>72921</v>
      </c>
      <c r="AV59" s="118">
        <f>AV35-AV33-AV32</f>
        <v>69621</v>
      </c>
      <c r="AW59" s="129">
        <f t="shared" si="37"/>
        <v>88719</v>
      </c>
      <c r="AX59" s="129">
        <f t="shared" si="37"/>
        <v>98148</v>
      </c>
      <c r="AY59" s="37">
        <f t="shared" si="37"/>
        <v>83963</v>
      </c>
      <c r="AZ59" s="37">
        <f t="shared" si="37"/>
        <v>85664</v>
      </c>
      <c r="BA59" s="37">
        <f t="shared" si="37"/>
        <v>68575</v>
      </c>
      <c r="BB59" s="3">
        <f t="shared" si="37"/>
        <v>0</v>
      </c>
      <c r="BC59" s="3"/>
      <c r="BD59" s="3"/>
      <c r="BG59" s="3"/>
    </row>
    <row r="60" spans="1:59" ht="12.75" customHeight="1" x14ac:dyDescent="0.2">
      <c r="A60" s="44"/>
      <c r="B60" s="91" t="s">
        <v>72</v>
      </c>
      <c r="C60" s="97" t="e">
        <f>I60-M60</f>
        <v>#REF!</v>
      </c>
      <c r="D60" s="322" t="e">
        <f>IF(OR((C60/M60)&gt;3,(C60/M60)&lt;-3),"n.m.",(C60/M60))</f>
        <v>#REF!</v>
      </c>
      <c r="E60" s="356"/>
      <c r="F60" s="270" t="e">
        <f t="shared" ref="F60:M60" si="38">+F58-F59</f>
        <v>#REF!</v>
      </c>
      <c r="G60" s="270" t="e">
        <f t="shared" si="38"/>
        <v>#REF!</v>
      </c>
      <c r="H60" s="270" t="e">
        <f t="shared" si="38"/>
        <v>#REF!</v>
      </c>
      <c r="I60" s="253" t="e">
        <f t="shared" si="38"/>
        <v>#REF!</v>
      </c>
      <c r="J60" s="270" t="e">
        <f t="shared" si="38"/>
        <v>#REF!</v>
      </c>
      <c r="K60" s="270" t="e">
        <f t="shared" si="38"/>
        <v>#REF!</v>
      </c>
      <c r="L60" s="270" t="e">
        <f t="shared" si="38"/>
        <v>#REF!</v>
      </c>
      <c r="M60" s="253" t="e">
        <f t="shared" si="38"/>
        <v>#REF!</v>
      </c>
      <c r="N60" s="270" t="e">
        <f>N58-N59</f>
        <v>#REF!</v>
      </c>
      <c r="O60" s="270">
        <f>O58-O59</f>
        <v>-593</v>
      </c>
      <c r="P60" s="270">
        <f>P58-P59</f>
        <v>-3956</v>
      </c>
      <c r="Q60" s="253">
        <f>Q58-Q59</f>
        <v>-4834</v>
      </c>
      <c r="R60" s="270">
        <f t="shared" ref="R60:AX60" si="39">R58-R59</f>
        <v>9340</v>
      </c>
      <c r="S60" s="270">
        <f t="shared" si="39"/>
        <v>2955</v>
      </c>
      <c r="T60" s="270">
        <f t="shared" si="39"/>
        <v>1443</v>
      </c>
      <c r="U60" s="253">
        <f t="shared" si="39"/>
        <v>391</v>
      </c>
      <c r="V60" s="270">
        <f t="shared" si="39"/>
        <v>2132</v>
      </c>
      <c r="W60" s="270">
        <f t="shared" si="39"/>
        <v>4455</v>
      </c>
      <c r="X60" s="270">
        <f t="shared" si="39"/>
        <v>-689</v>
      </c>
      <c r="Y60" s="253">
        <f t="shared" si="39"/>
        <v>3635</v>
      </c>
      <c r="Z60" s="270">
        <f t="shared" si="39"/>
        <v>0</v>
      </c>
      <c r="AA60" s="270">
        <f t="shared" si="39"/>
        <v>0</v>
      </c>
      <c r="AB60" s="270">
        <f t="shared" si="39"/>
        <v>0</v>
      </c>
      <c r="AC60" s="253">
        <f t="shared" si="39"/>
        <v>0</v>
      </c>
      <c r="AD60" s="166">
        <f t="shared" si="39"/>
        <v>0</v>
      </c>
      <c r="AE60" s="166">
        <f t="shared" si="39"/>
        <v>0</v>
      </c>
      <c r="AF60" s="166">
        <f t="shared" si="39"/>
        <v>0</v>
      </c>
      <c r="AG60" s="167">
        <f t="shared" si="39"/>
        <v>0</v>
      </c>
      <c r="AH60" s="134">
        <f t="shared" si="39"/>
        <v>0</v>
      </c>
      <c r="AI60" s="167">
        <f t="shared" si="39"/>
        <v>0</v>
      </c>
      <c r="AJ60" s="167">
        <f t="shared" si="39"/>
        <v>0</v>
      </c>
      <c r="AK60" s="167">
        <f t="shared" si="39"/>
        <v>0</v>
      </c>
      <c r="AL60" s="47"/>
      <c r="AM60" s="176" t="e">
        <f>AM58-AM59</f>
        <v>#REF!</v>
      </c>
      <c r="AN60" s="240">
        <f>AN58-AN59</f>
        <v>-9383</v>
      </c>
      <c r="AO60" s="240" t="e">
        <f>AR60-AS60</f>
        <v>#REF!</v>
      </c>
      <c r="AP60" s="92" t="e">
        <f>-IF(OR((AO60/AS60)&gt;3,(AO60/AS60)&lt;-3),"n.m.",(AO60/AS60))</f>
        <v>#REF!</v>
      </c>
      <c r="AQ60" s="44"/>
      <c r="AR60" s="373" t="e">
        <f>SUM(J60:M60)</f>
        <v>#REF!</v>
      </c>
      <c r="AS60" s="373" t="e">
        <f>AS58-AS59</f>
        <v>#REF!</v>
      </c>
      <c r="AT60" s="373">
        <f t="shared" si="39"/>
        <v>14129</v>
      </c>
      <c r="AU60" s="128">
        <f t="shared" si="39"/>
        <v>9533</v>
      </c>
      <c r="AV60" s="128">
        <f t="shared" si="39"/>
        <v>3305</v>
      </c>
      <c r="AW60" s="134">
        <f t="shared" si="39"/>
        <v>29613</v>
      </c>
      <c r="AX60" s="134">
        <f t="shared" si="39"/>
        <v>31704</v>
      </c>
      <c r="AY60" s="102">
        <f>AY58-AY59</f>
        <v>41937</v>
      </c>
      <c r="AZ60" s="102">
        <f>AZ58-AZ59</f>
        <v>30426</v>
      </c>
      <c r="BA60" s="102">
        <f>BA58-BA59</f>
        <v>15914</v>
      </c>
      <c r="BB60" s="3"/>
      <c r="BC60" s="3"/>
      <c r="BD60" s="3"/>
      <c r="BG60" s="3"/>
    </row>
    <row r="61" spans="1:59" ht="12.75" customHeight="1" x14ac:dyDescent="0.2">
      <c r="A61" s="44"/>
      <c r="B61" s="91"/>
      <c r="C61" s="96"/>
      <c r="D61" s="9"/>
      <c r="E61" s="9"/>
      <c r="F61" s="264"/>
      <c r="G61" s="264"/>
      <c r="H61" s="264"/>
      <c r="I61" s="494"/>
      <c r="J61" s="264"/>
      <c r="K61" s="264"/>
      <c r="L61" s="264"/>
      <c r="M61" s="494"/>
      <c r="N61" s="264"/>
      <c r="O61" s="264"/>
      <c r="P61" s="264"/>
      <c r="Q61" s="235"/>
      <c r="R61" s="264"/>
      <c r="S61" s="264"/>
      <c r="T61" s="264"/>
      <c r="U61" s="235"/>
      <c r="V61" s="264"/>
      <c r="W61" s="264"/>
      <c r="X61" s="264"/>
      <c r="Y61" s="235"/>
      <c r="Z61" s="264"/>
      <c r="AA61" s="264"/>
      <c r="AB61" s="264"/>
      <c r="AC61" s="235"/>
      <c r="AD61" s="160"/>
      <c r="AE61" s="160"/>
      <c r="AF61" s="160"/>
      <c r="AG61" s="160"/>
      <c r="AH61" s="160"/>
      <c r="AI61" s="160"/>
      <c r="AJ61" s="160"/>
      <c r="AK61" s="160"/>
      <c r="AL61" s="91"/>
      <c r="AM61" s="91"/>
      <c r="AN61" s="91"/>
      <c r="AO61" s="388"/>
      <c r="AP61" s="371"/>
      <c r="AQ61" s="44"/>
      <c r="AR61" s="368"/>
      <c r="AS61" s="368"/>
      <c r="AT61" s="368"/>
      <c r="AU61" s="235"/>
      <c r="AV61" s="235"/>
      <c r="AW61" s="160"/>
      <c r="AX61" s="160"/>
      <c r="AY61" s="28"/>
      <c r="AZ61" s="28"/>
      <c r="BA61" s="28"/>
      <c r="BB61" s="3"/>
      <c r="BC61" s="3"/>
      <c r="BD61" s="3"/>
      <c r="BG61" s="3"/>
    </row>
    <row r="62" spans="1:59" ht="12.75" customHeight="1" x14ac:dyDescent="0.2">
      <c r="A62" s="10" t="s">
        <v>194</v>
      </c>
      <c r="B62" s="88"/>
      <c r="C62" s="91"/>
      <c r="D62" s="91"/>
      <c r="E62" s="91"/>
      <c r="F62" s="483"/>
      <c r="G62" s="483"/>
      <c r="H62" s="483"/>
      <c r="I62" s="483"/>
      <c r="J62" s="483"/>
      <c r="K62" s="483"/>
      <c r="L62" s="483"/>
      <c r="M62" s="483"/>
      <c r="N62" s="91"/>
      <c r="O62" s="91"/>
      <c r="P62" s="91"/>
      <c r="Q62" s="91"/>
      <c r="R62" s="91"/>
      <c r="S62" s="91"/>
      <c r="T62" s="91"/>
      <c r="U62" s="91"/>
      <c r="V62" s="91"/>
      <c r="W62" s="91"/>
      <c r="X62" s="91"/>
      <c r="Y62" s="91"/>
      <c r="Z62" s="265"/>
      <c r="AA62" s="91"/>
      <c r="AB62" s="91"/>
      <c r="AC62" s="91"/>
      <c r="AD62" s="91"/>
      <c r="AE62" s="91"/>
      <c r="AF62" s="91"/>
      <c r="AG62" s="6"/>
      <c r="AH62" s="91"/>
      <c r="AI62" s="6"/>
      <c r="AJ62" s="6"/>
      <c r="AK62" s="91"/>
      <c r="AL62" s="91"/>
      <c r="AM62" s="91"/>
      <c r="AN62" s="91"/>
      <c r="AO62" s="370"/>
      <c r="AP62" s="370"/>
      <c r="AQ62" s="91"/>
      <c r="AR62" s="370"/>
      <c r="AS62" s="370"/>
      <c r="AT62" s="370"/>
      <c r="AU62" s="91"/>
      <c r="AV62" s="91"/>
      <c r="AW62" s="91"/>
      <c r="AX62" s="91"/>
      <c r="AY62" s="28"/>
      <c r="AZ62" s="28"/>
      <c r="BA62" s="28"/>
      <c r="BB62" s="3"/>
      <c r="BC62" s="3"/>
      <c r="BD62" s="3"/>
      <c r="BG62" s="3"/>
    </row>
    <row r="63" spans="1:59" ht="12.75" customHeight="1" x14ac:dyDescent="0.2">
      <c r="C63" s="3204" t="s">
        <v>312</v>
      </c>
      <c r="D63" s="3205"/>
      <c r="E63" s="184"/>
      <c r="F63" s="273"/>
      <c r="G63" s="273"/>
      <c r="H63" s="273"/>
      <c r="I63" s="17"/>
      <c r="J63" s="273"/>
      <c r="K63" s="273"/>
      <c r="L63" s="273"/>
      <c r="M63" s="17"/>
      <c r="N63" s="15"/>
      <c r="O63" s="16"/>
      <c r="P63" s="273"/>
      <c r="Q63" s="17"/>
      <c r="R63" s="15"/>
      <c r="S63" s="16"/>
      <c r="T63" s="273"/>
      <c r="U63" s="17"/>
      <c r="V63" s="481"/>
      <c r="W63" s="16"/>
      <c r="X63" s="2"/>
      <c r="Y63" s="17"/>
      <c r="Z63" s="16"/>
      <c r="AA63" s="481"/>
      <c r="AB63" s="273"/>
      <c r="AC63" s="17"/>
      <c r="AD63" s="16"/>
      <c r="AE63" s="16"/>
      <c r="AF63" s="16"/>
      <c r="AG63" s="16"/>
      <c r="AH63" s="20"/>
      <c r="AI63" s="17"/>
      <c r="AJ63" s="17"/>
      <c r="AK63" s="17"/>
      <c r="AL63" s="22"/>
      <c r="AM63" s="445" t="s">
        <v>299</v>
      </c>
      <c r="AN63" s="433"/>
      <c r="AO63" s="433" t="s">
        <v>284</v>
      </c>
      <c r="AP63" s="434"/>
      <c r="AQ63" s="91"/>
      <c r="AR63" s="530"/>
      <c r="AS63" s="464"/>
      <c r="AT63" s="448"/>
      <c r="AU63" s="46"/>
      <c r="AV63" s="46"/>
      <c r="AW63" s="126"/>
      <c r="AX63" s="124"/>
      <c r="AY63" s="46"/>
      <c r="AZ63" s="28"/>
      <c r="BA63" s="28"/>
      <c r="BB63" s="23"/>
      <c r="BC63" s="3"/>
      <c r="BD63" s="3"/>
      <c r="BG63" s="3"/>
    </row>
    <row r="64" spans="1:59" ht="12.75" customHeight="1" x14ac:dyDescent="0.2">
      <c r="C64" s="3201" t="s">
        <v>38</v>
      </c>
      <c r="D64" s="3202"/>
      <c r="E64" s="355"/>
      <c r="F64" s="19" t="s">
        <v>315</v>
      </c>
      <c r="G64" s="19" t="s">
        <v>314</v>
      </c>
      <c r="H64" s="19" t="s">
        <v>313</v>
      </c>
      <c r="I64" s="12" t="s">
        <v>311</v>
      </c>
      <c r="J64" s="19" t="s">
        <v>270</v>
      </c>
      <c r="K64" s="19" t="s">
        <v>271</v>
      </c>
      <c r="L64" s="19" t="s">
        <v>272</v>
      </c>
      <c r="M64" s="12" t="s">
        <v>273</v>
      </c>
      <c r="N64" s="18" t="s">
        <v>223</v>
      </c>
      <c r="O64" s="19" t="s">
        <v>224</v>
      </c>
      <c r="P64" s="19" t="s">
        <v>225</v>
      </c>
      <c r="Q64" s="12" t="s">
        <v>222</v>
      </c>
      <c r="R64" s="18" t="s">
        <v>189</v>
      </c>
      <c r="S64" s="19" t="s">
        <v>190</v>
      </c>
      <c r="T64" s="19" t="s">
        <v>191</v>
      </c>
      <c r="U64" s="12" t="s">
        <v>192</v>
      </c>
      <c r="V64" s="19" t="s">
        <v>121</v>
      </c>
      <c r="W64" s="19" t="s">
        <v>120</v>
      </c>
      <c r="X64" s="19" t="s">
        <v>119</v>
      </c>
      <c r="Y64" s="12" t="s">
        <v>118</v>
      </c>
      <c r="Z64" s="19" t="s">
        <v>81</v>
      </c>
      <c r="AA64" s="19" t="s">
        <v>82</v>
      </c>
      <c r="AB64" s="19" t="s">
        <v>83</v>
      </c>
      <c r="AC64" s="12" t="s">
        <v>29</v>
      </c>
      <c r="AD64" s="19" t="s">
        <v>30</v>
      </c>
      <c r="AE64" s="19" t="s">
        <v>31</v>
      </c>
      <c r="AF64" s="19" t="s">
        <v>32</v>
      </c>
      <c r="AG64" s="19" t="s">
        <v>33</v>
      </c>
      <c r="AH64" s="21" t="s">
        <v>34</v>
      </c>
      <c r="AI64" s="12" t="s">
        <v>35</v>
      </c>
      <c r="AJ64" s="12" t="s">
        <v>36</v>
      </c>
      <c r="AK64" s="12" t="s">
        <v>37</v>
      </c>
      <c r="AL64" s="184"/>
      <c r="AM64" s="19" t="s">
        <v>271</v>
      </c>
      <c r="AN64" s="19" t="s">
        <v>224</v>
      </c>
      <c r="AO64" s="3203" t="s">
        <v>38</v>
      </c>
      <c r="AP64" s="3202"/>
      <c r="AQ64" s="91"/>
      <c r="AR64" s="158" t="s">
        <v>275</v>
      </c>
      <c r="AS64" s="158" t="s">
        <v>227</v>
      </c>
      <c r="AT64" s="158" t="s">
        <v>123</v>
      </c>
      <c r="AU64" s="18" t="s">
        <v>122</v>
      </c>
      <c r="AV64" s="18" t="s">
        <v>42</v>
      </c>
      <c r="AW64" s="18" t="s">
        <v>39</v>
      </c>
      <c r="AX64" s="21" t="s">
        <v>40</v>
      </c>
      <c r="AY64" s="21" t="s">
        <v>142</v>
      </c>
      <c r="AZ64" s="28"/>
      <c r="BA64" s="28"/>
      <c r="BB64" s="23"/>
      <c r="BC64" s="3"/>
      <c r="BD64" s="3"/>
      <c r="BG64" s="3"/>
    </row>
    <row r="65" spans="1:59" ht="12.75" customHeight="1" x14ac:dyDescent="0.2">
      <c r="A65" s="44"/>
      <c r="B65" s="6" t="s">
        <v>300</v>
      </c>
      <c r="C65" s="45">
        <f t="shared" ref="C65:C71" si="40">I65-M65</f>
        <v>5859</v>
      </c>
      <c r="D65" s="324">
        <f t="shared" ref="D65:D71" si="41">IF(OR((C65/M65)&gt;3,(C65/M65)&lt;-3),"n.m.",(C65/M65))</f>
        <v>0.20384802727715537</v>
      </c>
      <c r="E65" s="47"/>
      <c r="F65" s="180"/>
      <c r="G65" s="180"/>
      <c r="H65" s="180"/>
      <c r="I65" s="217">
        <v>34601</v>
      </c>
      <c r="J65" s="180">
        <f>38419-2686</f>
        <v>35733</v>
      </c>
      <c r="K65" s="180">
        <f>30571+2009</f>
        <v>32580</v>
      </c>
      <c r="L65" s="180">
        <f>27830+380</f>
        <v>28210</v>
      </c>
      <c r="M65" s="217">
        <f>28445+297</f>
        <v>28742</v>
      </c>
      <c r="N65" s="180">
        <v>5969</v>
      </c>
      <c r="O65" s="180">
        <v>2712</v>
      </c>
      <c r="P65" s="180">
        <v>3187</v>
      </c>
      <c r="Q65" s="217">
        <v>3355</v>
      </c>
      <c r="R65" s="180">
        <v>4877</v>
      </c>
      <c r="S65" s="180">
        <v>4800</v>
      </c>
      <c r="T65" s="180">
        <v>4288</v>
      </c>
      <c r="U65" s="217">
        <v>3624</v>
      </c>
      <c r="V65" s="180">
        <v>2939</v>
      </c>
      <c r="W65" s="180">
        <v>3598</v>
      </c>
      <c r="X65" s="180">
        <v>2710</v>
      </c>
      <c r="Y65" s="217">
        <v>2214</v>
      </c>
      <c r="Z65" s="180"/>
      <c r="AA65" s="180"/>
      <c r="AB65" s="217"/>
      <c r="AC65" s="217"/>
      <c r="AD65" s="252"/>
      <c r="AE65" s="91"/>
      <c r="AF65" s="91"/>
      <c r="AG65" s="6"/>
      <c r="AH65" s="91"/>
      <c r="AI65" s="6"/>
      <c r="AJ65" s="6"/>
      <c r="AK65" s="91"/>
      <c r="AL65" s="47"/>
      <c r="AM65" s="168">
        <f t="shared" ref="AM65:AM70" si="42">SUM(K65:M65)</f>
        <v>89532</v>
      </c>
      <c r="AN65" s="180">
        <f t="shared" ref="AN65:AN70" si="43">SUM(O65:Q65)</f>
        <v>9254</v>
      </c>
      <c r="AO65" s="180">
        <f t="shared" ref="AO65:AO71" si="44">AR65-AS65</f>
        <v>110042</v>
      </c>
      <c r="AP65" s="498" t="str">
        <f t="shared" ref="AP65:AP71" si="45">IF(OR((AO65/AS65)&gt;3,(AO65/AS65)&lt;-3),"n.m.",(AO65/AS65))</f>
        <v>n.m.</v>
      </c>
      <c r="AQ65" s="91"/>
      <c r="AR65" s="380">
        <f t="shared" ref="AR65:AR70" si="46">SUM(J65:M65)</f>
        <v>125265</v>
      </c>
      <c r="AS65" s="380">
        <f t="shared" ref="AS65:AS70" si="47">SUM(N65:Q65)</f>
        <v>15223</v>
      </c>
      <c r="AT65" s="375">
        <f t="shared" ref="AT65:AT70" si="48">SUM(R65:U65)</f>
        <v>17589</v>
      </c>
      <c r="AU65" s="37">
        <f t="shared" ref="AU65:AU70" si="49">SUM(V65:Y65)</f>
        <v>11461</v>
      </c>
      <c r="AV65" s="37">
        <v>10891</v>
      </c>
      <c r="AW65" s="37">
        <v>14557</v>
      </c>
      <c r="AX65" s="37">
        <v>11991</v>
      </c>
      <c r="AY65" s="37">
        <v>14929</v>
      </c>
      <c r="AZ65" s="28"/>
      <c r="BA65" s="28"/>
      <c r="BB65" s="23"/>
      <c r="BC65" s="3"/>
      <c r="BD65" s="3"/>
      <c r="BG65" s="3"/>
    </row>
    <row r="66" spans="1:59" ht="12.75" customHeight="1" x14ac:dyDescent="0.2">
      <c r="A66" s="44"/>
      <c r="B66" s="6" t="s">
        <v>60</v>
      </c>
      <c r="C66" s="45">
        <f t="shared" si="40"/>
        <v>1687</v>
      </c>
      <c r="D66" s="324">
        <f t="shared" si="41"/>
        <v>0.56782228205991248</v>
      </c>
      <c r="E66" s="47"/>
      <c r="F66" s="180"/>
      <c r="G66" s="180"/>
      <c r="H66" s="180"/>
      <c r="I66" s="217">
        <v>4658</v>
      </c>
      <c r="J66" s="180">
        <f>7552-268</f>
        <v>7284</v>
      </c>
      <c r="K66" s="180">
        <f>12466+150</f>
        <v>12616</v>
      </c>
      <c r="L66" s="180">
        <f>10921+86</f>
        <v>11007</v>
      </c>
      <c r="M66" s="217">
        <f>2939+32</f>
        <v>2971</v>
      </c>
      <c r="N66" s="180">
        <v>6836</v>
      </c>
      <c r="O66" s="180">
        <v>3072</v>
      </c>
      <c r="P66" s="180">
        <v>750</v>
      </c>
      <c r="Q66" s="217">
        <v>2299</v>
      </c>
      <c r="R66" s="180">
        <v>16817</v>
      </c>
      <c r="S66" s="180">
        <v>9429</v>
      </c>
      <c r="T66" s="180">
        <v>3477</v>
      </c>
      <c r="U66" s="217">
        <v>4849</v>
      </c>
      <c r="V66" s="180">
        <f>14020-V67</f>
        <v>11927</v>
      </c>
      <c r="W66" s="180">
        <f>16392-W67</f>
        <v>13190</v>
      </c>
      <c r="X66" s="180">
        <f>3925-X67</f>
        <v>1650</v>
      </c>
      <c r="Y66" s="217">
        <f>13214-Y67</f>
        <v>9027</v>
      </c>
      <c r="Z66" s="180"/>
      <c r="AA66" s="180"/>
      <c r="AB66" s="217"/>
      <c r="AC66" s="217"/>
      <c r="AD66" s="252"/>
      <c r="AE66" s="91"/>
      <c r="AF66" s="91"/>
      <c r="AG66" s="6"/>
      <c r="AH66" s="91"/>
      <c r="AI66" s="6"/>
      <c r="AJ66" s="6"/>
      <c r="AK66" s="91"/>
      <c r="AL66" s="47"/>
      <c r="AM66" s="168">
        <f t="shared" si="42"/>
        <v>26594</v>
      </c>
      <c r="AN66" s="180">
        <f t="shared" si="43"/>
        <v>6121</v>
      </c>
      <c r="AO66" s="180">
        <f t="shared" si="44"/>
        <v>20921</v>
      </c>
      <c r="AP66" s="444">
        <f t="shared" si="45"/>
        <v>1.6146484525738982</v>
      </c>
      <c r="AQ66" s="91"/>
      <c r="AR66" s="372">
        <f t="shared" si="46"/>
        <v>33878</v>
      </c>
      <c r="AS66" s="372">
        <f t="shared" si="47"/>
        <v>12957</v>
      </c>
      <c r="AT66" s="376">
        <f t="shared" si="48"/>
        <v>34572</v>
      </c>
      <c r="AU66" s="37">
        <f t="shared" si="49"/>
        <v>35794</v>
      </c>
      <c r="AV66" s="37">
        <f>48109-AV67</f>
        <v>26736</v>
      </c>
      <c r="AW66" s="37">
        <f>92703-AW67</f>
        <v>80789</v>
      </c>
      <c r="AX66" s="37">
        <f>104869-AX67</f>
        <v>99288</v>
      </c>
      <c r="AY66" s="37">
        <f>91128-3937</f>
        <v>87191</v>
      </c>
      <c r="AZ66" s="28"/>
      <c r="BA66" s="28"/>
      <c r="BB66" s="23"/>
      <c r="BC66" s="3"/>
      <c r="BD66" s="3"/>
      <c r="BG66" s="3"/>
    </row>
    <row r="67" spans="1:59" ht="12.75" customHeight="1" x14ac:dyDescent="0.2">
      <c r="A67" s="44"/>
      <c r="B67" s="6" t="s">
        <v>208</v>
      </c>
      <c r="C67" s="45">
        <f t="shared" si="40"/>
        <v>7037</v>
      </c>
      <c r="D67" s="324">
        <f t="shared" si="41"/>
        <v>0.48145867542419268</v>
      </c>
      <c r="E67" s="47"/>
      <c r="F67" s="180"/>
      <c r="G67" s="180"/>
      <c r="H67" s="180"/>
      <c r="I67" s="217">
        <v>21653</v>
      </c>
      <c r="J67" s="180">
        <v>19658</v>
      </c>
      <c r="K67" s="180">
        <v>16995</v>
      </c>
      <c r="L67" s="180">
        <v>13802</v>
      </c>
      <c r="M67" s="217">
        <v>14616</v>
      </c>
      <c r="N67" s="180">
        <v>5533</v>
      </c>
      <c r="O67" s="180">
        <v>4356</v>
      </c>
      <c r="P67" s="180">
        <v>3235</v>
      </c>
      <c r="Q67" s="217">
        <v>1470</v>
      </c>
      <c r="R67" s="180">
        <v>2671</v>
      </c>
      <c r="S67" s="180">
        <v>2437</v>
      </c>
      <c r="T67" s="180">
        <v>4055</v>
      </c>
      <c r="U67" s="217">
        <v>3085</v>
      </c>
      <c r="V67" s="180">
        <v>2093</v>
      </c>
      <c r="W67" s="180">
        <v>3202</v>
      </c>
      <c r="X67" s="180">
        <v>2275</v>
      </c>
      <c r="Y67" s="217">
        <v>4187</v>
      </c>
      <c r="Z67" s="180"/>
      <c r="AA67" s="180"/>
      <c r="AB67" s="217"/>
      <c r="AC67" s="217"/>
      <c r="AD67" s="252"/>
      <c r="AE67" s="91"/>
      <c r="AF67" s="91"/>
      <c r="AG67" s="6"/>
      <c r="AH67" s="91"/>
      <c r="AI67" s="6"/>
      <c r="AJ67" s="6"/>
      <c r="AK67" s="91"/>
      <c r="AL67" s="47"/>
      <c r="AM67" s="168">
        <f t="shared" si="42"/>
        <v>45413</v>
      </c>
      <c r="AN67" s="180">
        <f t="shared" si="43"/>
        <v>9061</v>
      </c>
      <c r="AO67" s="180">
        <f t="shared" si="44"/>
        <v>50477</v>
      </c>
      <c r="AP67" s="444" t="str">
        <f t="shared" si="45"/>
        <v>n.m.</v>
      </c>
      <c r="AQ67" s="91"/>
      <c r="AR67" s="372">
        <f t="shared" si="46"/>
        <v>65071</v>
      </c>
      <c r="AS67" s="372">
        <f t="shared" si="47"/>
        <v>14594</v>
      </c>
      <c r="AT67" s="376">
        <f t="shared" si="48"/>
        <v>12248</v>
      </c>
      <c r="AU67" s="37">
        <f t="shared" si="49"/>
        <v>11757</v>
      </c>
      <c r="AV67" s="37">
        <v>21373</v>
      </c>
      <c r="AW67" s="37">
        <v>11914</v>
      </c>
      <c r="AX67" s="37">
        <v>5581</v>
      </c>
      <c r="AY67" s="37">
        <v>3937</v>
      </c>
      <c r="AZ67" s="28"/>
      <c r="BA67" s="28"/>
      <c r="BB67" s="23"/>
      <c r="BC67" s="3"/>
      <c r="BD67" s="3"/>
      <c r="BG67" s="3"/>
    </row>
    <row r="68" spans="1:59" ht="12.75" customHeight="1" x14ac:dyDescent="0.2">
      <c r="A68" s="44"/>
      <c r="B68" s="6" t="s">
        <v>61</v>
      </c>
      <c r="C68" s="45">
        <f t="shared" si="40"/>
        <v>2895</v>
      </c>
      <c r="D68" s="324">
        <f t="shared" si="41"/>
        <v>1.1850184199754401</v>
      </c>
      <c r="E68" s="47"/>
      <c r="F68" s="180"/>
      <c r="G68" s="180"/>
      <c r="H68" s="180"/>
      <c r="I68" s="217">
        <v>5338</v>
      </c>
      <c r="J68" s="180">
        <v>8936</v>
      </c>
      <c r="K68" s="180">
        <v>6665</v>
      </c>
      <c r="L68" s="180">
        <v>6462</v>
      </c>
      <c r="M68" s="217">
        <v>2443</v>
      </c>
      <c r="N68" s="180">
        <v>3447</v>
      </c>
      <c r="O68" s="180">
        <v>2591</v>
      </c>
      <c r="P68" s="180">
        <v>2232</v>
      </c>
      <c r="Q68" s="217">
        <v>2173</v>
      </c>
      <c r="R68" s="180">
        <v>10213</v>
      </c>
      <c r="S68" s="180">
        <v>6662</v>
      </c>
      <c r="T68" s="180">
        <v>6583</v>
      </c>
      <c r="U68" s="217">
        <v>4874</v>
      </c>
      <c r="V68" s="180">
        <v>4132</v>
      </c>
      <c r="W68" s="180">
        <v>6480</v>
      </c>
      <c r="X68" s="180">
        <v>7104</v>
      </c>
      <c r="Y68" s="217">
        <v>5474</v>
      </c>
      <c r="Z68" s="180"/>
      <c r="AA68" s="180"/>
      <c r="AB68" s="217"/>
      <c r="AC68" s="217"/>
      <c r="AD68" s="252"/>
      <c r="AE68" s="91"/>
      <c r="AF68" s="91"/>
      <c r="AG68" s="6"/>
      <c r="AH68" s="91"/>
      <c r="AI68" s="6"/>
      <c r="AJ68" s="6"/>
      <c r="AK68" s="91"/>
      <c r="AL68" s="47"/>
      <c r="AM68" s="168">
        <f t="shared" si="42"/>
        <v>15570</v>
      </c>
      <c r="AN68" s="180">
        <f t="shared" si="43"/>
        <v>6996</v>
      </c>
      <c r="AO68" s="180">
        <f t="shared" si="44"/>
        <v>14063</v>
      </c>
      <c r="AP68" s="444">
        <f t="shared" si="45"/>
        <v>1.3466436847649144</v>
      </c>
      <c r="AQ68" s="91"/>
      <c r="AR68" s="372">
        <f t="shared" si="46"/>
        <v>24506</v>
      </c>
      <c r="AS68" s="372">
        <f t="shared" si="47"/>
        <v>10443</v>
      </c>
      <c r="AT68" s="376">
        <f t="shared" si="48"/>
        <v>28332</v>
      </c>
      <c r="AU68" s="37">
        <f t="shared" si="49"/>
        <v>23190</v>
      </c>
      <c r="AV68" s="37">
        <v>9476</v>
      </c>
      <c r="AW68" s="37">
        <v>4419</v>
      </c>
      <c r="AX68" s="37">
        <v>9630</v>
      </c>
      <c r="AY68" s="37">
        <v>16467</v>
      </c>
      <c r="AZ68" s="28"/>
      <c r="BA68" s="28"/>
      <c r="BB68" s="23"/>
      <c r="BC68" s="3"/>
      <c r="BD68" s="3"/>
      <c r="BG68" s="3"/>
    </row>
    <row r="69" spans="1:59" ht="12.75" customHeight="1" x14ac:dyDescent="0.2">
      <c r="A69" s="44"/>
      <c r="B69" s="6" t="s">
        <v>62</v>
      </c>
      <c r="C69" s="45">
        <f t="shared" si="40"/>
        <v>475</v>
      </c>
      <c r="D69" s="324">
        <f t="shared" si="41"/>
        <v>1.9076305220883534</v>
      </c>
      <c r="E69" s="47"/>
      <c r="F69" s="180"/>
      <c r="G69" s="180"/>
      <c r="H69" s="180"/>
      <c r="I69" s="217">
        <v>724</v>
      </c>
      <c r="J69" s="180">
        <v>781</v>
      </c>
      <c r="K69" s="180">
        <v>356</v>
      </c>
      <c r="L69" s="180">
        <f>557-322</f>
        <v>235</v>
      </c>
      <c r="M69" s="217">
        <v>249</v>
      </c>
      <c r="N69" s="180">
        <v>30</v>
      </c>
      <c r="O69" s="180">
        <v>0</v>
      </c>
      <c r="P69" s="180">
        <v>3</v>
      </c>
      <c r="Q69" s="217">
        <v>3</v>
      </c>
      <c r="R69" s="180">
        <v>15</v>
      </c>
      <c r="S69" s="180">
        <v>3</v>
      </c>
      <c r="T69" s="180">
        <v>4</v>
      </c>
      <c r="U69" s="217">
        <v>3</v>
      </c>
      <c r="V69" s="180">
        <v>21</v>
      </c>
      <c r="W69" s="180">
        <v>12</v>
      </c>
      <c r="X69" s="180">
        <v>17</v>
      </c>
      <c r="Y69" s="217">
        <v>44</v>
      </c>
      <c r="Z69" s="180"/>
      <c r="AA69" s="180"/>
      <c r="AB69" s="217"/>
      <c r="AC69" s="217"/>
      <c r="AD69" s="252"/>
      <c r="AE69" s="91"/>
      <c r="AF69" s="91"/>
      <c r="AG69" s="6"/>
      <c r="AH69" s="91"/>
      <c r="AI69" s="6"/>
      <c r="AJ69" s="6"/>
      <c r="AK69" s="91"/>
      <c r="AL69" s="47"/>
      <c r="AM69" s="168">
        <f t="shared" si="42"/>
        <v>840</v>
      </c>
      <c r="AN69" s="180">
        <f t="shared" si="43"/>
        <v>6</v>
      </c>
      <c r="AO69" s="180">
        <f t="shared" si="44"/>
        <v>1585</v>
      </c>
      <c r="AP69" s="444" t="str">
        <f t="shared" si="45"/>
        <v>n.m.</v>
      </c>
      <c r="AQ69" s="91"/>
      <c r="AR69" s="372">
        <f t="shared" si="46"/>
        <v>1621</v>
      </c>
      <c r="AS69" s="372">
        <f t="shared" si="47"/>
        <v>36</v>
      </c>
      <c r="AT69" s="376">
        <f t="shared" si="48"/>
        <v>25</v>
      </c>
      <c r="AU69" s="37">
        <f t="shared" si="49"/>
        <v>94</v>
      </c>
      <c r="AV69" s="37">
        <v>2226</v>
      </c>
      <c r="AW69" s="37">
        <v>3339</v>
      </c>
      <c r="AX69" s="37">
        <v>3835</v>
      </c>
      <c r="AY69" s="37">
        <v>2491</v>
      </c>
      <c r="AZ69" s="28"/>
      <c r="BA69" s="28"/>
      <c r="BB69" s="23"/>
      <c r="BC69" s="3"/>
      <c r="BD69" s="3"/>
      <c r="BG69" s="3"/>
    </row>
    <row r="70" spans="1:59" ht="12.75" customHeight="1" x14ac:dyDescent="0.2">
      <c r="A70" s="123"/>
      <c r="B70" s="6" t="s">
        <v>63</v>
      </c>
      <c r="C70" s="45">
        <f t="shared" si="40"/>
        <v>707</v>
      </c>
      <c r="D70" s="324" t="str">
        <f t="shared" si="41"/>
        <v>n.m.</v>
      </c>
      <c r="E70" s="357"/>
      <c r="F70" s="240"/>
      <c r="G70" s="240"/>
      <c r="H70" s="240"/>
      <c r="I70" s="217">
        <v>493</v>
      </c>
      <c r="J70" s="240">
        <f>-3088+2686+268</f>
        <v>-134</v>
      </c>
      <c r="K70" s="240">
        <f>1987-2009-150</f>
        <v>-172</v>
      </c>
      <c r="L70" s="240">
        <f>456-380-86</f>
        <v>-10</v>
      </c>
      <c r="M70" s="217">
        <f>115-297-32</f>
        <v>-214</v>
      </c>
      <c r="N70" s="180">
        <v>33</v>
      </c>
      <c r="O70" s="240">
        <v>17</v>
      </c>
      <c r="P70" s="240">
        <v>-69</v>
      </c>
      <c r="Q70" s="217">
        <v>-54</v>
      </c>
      <c r="R70" s="180">
        <v>-38</v>
      </c>
      <c r="S70" s="240">
        <v>8</v>
      </c>
      <c r="T70" s="180">
        <v>-69</v>
      </c>
      <c r="U70" s="217">
        <v>10</v>
      </c>
      <c r="V70" s="180">
        <v>221</v>
      </c>
      <c r="W70" s="240">
        <v>-61</v>
      </c>
      <c r="X70" s="180">
        <v>19</v>
      </c>
      <c r="Y70" s="217">
        <v>-21</v>
      </c>
      <c r="Z70" s="180"/>
      <c r="AA70" s="240"/>
      <c r="AB70" s="217"/>
      <c r="AC70" s="217"/>
      <c r="AD70" s="253"/>
      <c r="AE70" s="13"/>
      <c r="AF70" s="13"/>
      <c r="AG70" s="13"/>
      <c r="AH70" s="13"/>
      <c r="AI70" s="13"/>
      <c r="AJ70" s="13"/>
      <c r="AK70" s="13"/>
      <c r="AL70" s="47"/>
      <c r="AM70" s="168">
        <f t="shared" si="42"/>
        <v>-396</v>
      </c>
      <c r="AN70" s="180">
        <f t="shared" si="43"/>
        <v>-106</v>
      </c>
      <c r="AO70" s="180">
        <f t="shared" si="44"/>
        <v>-457</v>
      </c>
      <c r="AP70" s="444" t="str">
        <f t="shared" si="45"/>
        <v>n.m.</v>
      </c>
      <c r="AQ70" s="44"/>
      <c r="AR70" s="372">
        <f t="shared" si="46"/>
        <v>-530</v>
      </c>
      <c r="AS70" s="372">
        <f t="shared" si="47"/>
        <v>-73</v>
      </c>
      <c r="AT70" s="377">
        <f t="shared" si="48"/>
        <v>-89</v>
      </c>
      <c r="AU70" s="37">
        <f t="shared" si="49"/>
        <v>158</v>
      </c>
      <c r="AV70" s="37">
        <v>2224</v>
      </c>
      <c r="AW70" s="37">
        <v>3314</v>
      </c>
      <c r="AX70" s="37">
        <v>-473</v>
      </c>
      <c r="AY70" s="37">
        <v>885</v>
      </c>
      <c r="AZ70" s="28"/>
      <c r="BA70" s="28"/>
      <c r="BB70" s="23"/>
      <c r="BC70" s="3"/>
      <c r="BD70" s="3"/>
      <c r="BG70" s="3"/>
    </row>
    <row r="71" spans="1:59" ht="12.75" customHeight="1" x14ac:dyDescent="0.2">
      <c r="A71" s="123"/>
      <c r="B71" s="6"/>
      <c r="C71" s="338">
        <f t="shared" si="40"/>
        <v>18660</v>
      </c>
      <c r="D71" s="461">
        <f t="shared" si="41"/>
        <v>0.3823222078800172</v>
      </c>
      <c r="E71" s="22"/>
      <c r="F71" s="238">
        <f>SUM(F65:F70)</f>
        <v>0</v>
      </c>
      <c r="G71" s="238">
        <f>SUM(G65:G70)</f>
        <v>0</v>
      </c>
      <c r="H71" s="238">
        <f>SUM(H65:H70)</f>
        <v>0</v>
      </c>
      <c r="I71" s="341">
        <f>SUM(I65:I70)</f>
        <v>67467</v>
      </c>
      <c r="J71" s="238">
        <f t="shared" ref="J71:Q71" si="50">SUM(J65:J70)</f>
        <v>72258</v>
      </c>
      <c r="K71" s="238">
        <f t="shared" si="50"/>
        <v>69040</v>
      </c>
      <c r="L71" s="238">
        <f t="shared" si="50"/>
        <v>59706</v>
      </c>
      <c r="M71" s="341">
        <f t="shared" si="50"/>
        <v>48807</v>
      </c>
      <c r="N71" s="238">
        <f t="shared" si="50"/>
        <v>21848</v>
      </c>
      <c r="O71" s="238">
        <f t="shared" si="50"/>
        <v>12748</v>
      </c>
      <c r="P71" s="238">
        <f t="shared" si="50"/>
        <v>9338</v>
      </c>
      <c r="Q71" s="341">
        <f t="shared" si="50"/>
        <v>9246</v>
      </c>
      <c r="R71" s="238">
        <f t="shared" ref="R71:AX71" si="51">SUM(R65:R70)</f>
        <v>34555</v>
      </c>
      <c r="S71" s="238">
        <f t="shared" si="51"/>
        <v>23339</v>
      </c>
      <c r="T71" s="238">
        <f t="shared" si="51"/>
        <v>18338</v>
      </c>
      <c r="U71" s="341">
        <f t="shared" si="51"/>
        <v>16445</v>
      </c>
      <c r="V71" s="238">
        <f t="shared" si="51"/>
        <v>21333</v>
      </c>
      <c r="W71" s="238">
        <f t="shared" si="51"/>
        <v>26421</v>
      </c>
      <c r="X71" s="238">
        <f t="shared" si="51"/>
        <v>13775</v>
      </c>
      <c r="Y71" s="341">
        <f t="shared" si="51"/>
        <v>20925</v>
      </c>
      <c r="Z71" s="237">
        <f t="shared" si="51"/>
        <v>0</v>
      </c>
      <c r="AA71" s="238">
        <f t="shared" si="51"/>
        <v>0</v>
      </c>
      <c r="AB71" s="341">
        <f t="shared" si="51"/>
        <v>0</v>
      </c>
      <c r="AC71" s="341">
        <f t="shared" si="51"/>
        <v>0</v>
      </c>
      <c r="AD71" s="341">
        <f t="shared" si="51"/>
        <v>0</v>
      </c>
      <c r="AE71" s="2">
        <f t="shared" si="51"/>
        <v>0</v>
      </c>
      <c r="AF71" s="2">
        <f t="shared" si="51"/>
        <v>0</v>
      </c>
      <c r="AG71" s="2">
        <f t="shared" si="51"/>
        <v>0</v>
      </c>
      <c r="AH71" s="2">
        <f t="shared" si="51"/>
        <v>0</v>
      </c>
      <c r="AI71" s="2">
        <f t="shared" si="51"/>
        <v>0</v>
      </c>
      <c r="AJ71" s="2">
        <f t="shared" si="51"/>
        <v>0</v>
      </c>
      <c r="AK71" s="2">
        <f t="shared" si="51"/>
        <v>0</v>
      </c>
      <c r="AL71" s="22"/>
      <c r="AM71" s="455">
        <f>SUM(AM65:AM70)</f>
        <v>177553</v>
      </c>
      <c r="AN71" s="343">
        <f>SUM(AN65:AN70)</f>
        <v>31332</v>
      </c>
      <c r="AO71" s="236">
        <f t="shared" si="44"/>
        <v>196631</v>
      </c>
      <c r="AP71" s="111" t="str">
        <f t="shared" si="45"/>
        <v>n.m.</v>
      </c>
      <c r="AR71" s="378">
        <f t="shared" si="51"/>
        <v>249811</v>
      </c>
      <c r="AS71" s="378">
        <f t="shared" si="51"/>
        <v>53180</v>
      </c>
      <c r="AT71" s="378">
        <f t="shared" si="51"/>
        <v>92677</v>
      </c>
      <c r="AU71" s="237">
        <f t="shared" si="51"/>
        <v>82454</v>
      </c>
      <c r="AV71" s="340">
        <f t="shared" si="51"/>
        <v>72926</v>
      </c>
      <c r="AW71" s="343">
        <f t="shared" si="51"/>
        <v>118332</v>
      </c>
      <c r="AX71" s="344">
        <f t="shared" si="51"/>
        <v>129852</v>
      </c>
      <c r="AY71" s="113">
        <f>SUM(AY65:AY70)</f>
        <v>125900</v>
      </c>
      <c r="AZ71" s="28"/>
      <c r="BA71" s="28"/>
      <c r="BB71" s="23"/>
      <c r="BC71" s="3"/>
      <c r="BD71" s="3"/>
      <c r="BG71" s="3"/>
    </row>
    <row r="72" spans="1:59" s="480" customFormat="1" ht="12.75" customHeight="1" x14ac:dyDescent="0.2">
      <c r="A72" s="123"/>
      <c r="B72" s="6"/>
      <c r="C72" s="262"/>
      <c r="D72" s="247"/>
      <c r="E72" s="22"/>
      <c r="F72" s="245"/>
      <c r="G72" s="245"/>
      <c r="H72" s="245"/>
      <c r="I72" s="424"/>
      <c r="J72" s="245"/>
      <c r="K72" s="245"/>
      <c r="L72" s="245"/>
      <c r="M72" s="424"/>
      <c r="N72" s="156"/>
      <c r="O72" s="245"/>
      <c r="P72" s="245"/>
      <c r="Q72" s="424"/>
      <c r="R72" s="156"/>
      <c r="S72" s="245"/>
      <c r="T72" s="245"/>
      <c r="U72" s="424"/>
      <c r="V72" s="156"/>
      <c r="W72" s="424"/>
      <c r="X72" s="424"/>
      <c r="Y72" s="424"/>
      <c r="Z72" s="494"/>
      <c r="AA72" s="494"/>
      <c r="AB72" s="494"/>
      <c r="AC72" s="494"/>
      <c r="AD72" s="494"/>
      <c r="AE72" s="2"/>
      <c r="AF72" s="2"/>
      <c r="AG72" s="2"/>
      <c r="AH72" s="2"/>
      <c r="AI72" s="2"/>
      <c r="AJ72" s="2"/>
      <c r="AK72" s="2"/>
      <c r="AL72" s="22"/>
      <c r="AM72" s="15"/>
      <c r="AN72" s="16"/>
      <c r="AO72" s="440"/>
      <c r="AP72" s="313"/>
      <c r="AR72" s="425"/>
      <c r="AS72" s="425"/>
      <c r="AT72" s="425"/>
      <c r="AU72" s="425"/>
      <c r="AV72" s="284"/>
      <c r="AW72" s="425"/>
      <c r="AX72" s="425"/>
      <c r="AY72" s="488"/>
      <c r="AZ72" s="485"/>
      <c r="BA72" s="485"/>
      <c r="BB72" s="23"/>
    </row>
    <row r="73" spans="1:59" s="480" customFormat="1" ht="13.5" customHeight="1" x14ac:dyDescent="0.2">
      <c r="A73" s="123"/>
      <c r="B73" s="6" t="s">
        <v>285</v>
      </c>
      <c r="C73" s="97">
        <f>I73-M73</f>
        <v>190</v>
      </c>
      <c r="D73" s="322" t="s">
        <v>41</v>
      </c>
      <c r="E73" s="22"/>
      <c r="F73" s="518"/>
      <c r="G73" s="518"/>
      <c r="H73" s="518"/>
      <c r="I73" s="563">
        <v>0</v>
      </c>
      <c r="J73" s="518">
        <v>-276</v>
      </c>
      <c r="K73" s="518">
        <v>-520</v>
      </c>
      <c r="L73" s="518">
        <v>0</v>
      </c>
      <c r="M73" s="253">
        <v>-190</v>
      </c>
      <c r="N73" s="278">
        <v>0</v>
      </c>
      <c r="O73" s="518">
        <v>0</v>
      </c>
      <c r="P73" s="518">
        <v>0</v>
      </c>
      <c r="Q73" s="519">
        <v>0</v>
      </c>
      <c r="R73" s="278">
        <v>0</v>
      </c>
      <c r="S73" s="518">
        <v>0</v>
      </c>
      <c r="T73" s="518">
        <v>0</v>
      </c>
      <c r="U73" s="519">
        <v>0</v>
      </c>
      <c r="V73" s="426" t="s">
        <v>181</v>
      </c>
      <c r="W73" s="427" t="s">
        <v>181</v>
      </c>
      <c r="X73" s="427" t="s">
        <v>181</v>
      </c>
      <c r="Y73" s="427" t="s">
        <v>181</v>
      </c>
      <c r="Z73" s="428"/>
      <c r="AA73" s="428"/>
      <c r="AB73" s="428"/>
      <c r="AC73" s="428"/>
      <c r="AD73" s="428"/>
      <c r="AE73" s="429"/>
      <c r="AF73" s="429"/>
      <c r="AG73" s="429"/>
      <c r="AH73" s="429"/>
      <c r="AI73" s="429"/>
      <c r="AJ73" s="429"/>
      <c r="AK73" s="429"/>
      <c r="AL73" s="513"/>
      <c r="AM73" s="155">
        <f>SUM(K73:M73)</f>
        <v>-710</v>
      </c>
      <c r="AN73" s="518">
        <f>SUM(O73:Q73)</f>
        <v>0</v>
      </c>
      <c r="AO73" s="518">
        <f>AR73-AS73</f>
        <v>-986</v>
      </c>
      <c r="AP73" s="322" t="s">
        <v>41</v>
      </c>
      <c r="AQ73" s="55"/>
      <c r="AR73" s="520">
        <f>SUM(J73:M73)</f>
        <v>-986</v>
      </c>
      <c r="AS73" s="520">
        <f>SUM(N73:Q73)</f>
        <v>0</v>
      </c>
      <c r="AT73" s="520">
        <f>SUM(R73:U73)</f>
        <v>0</v>
      </c>
      <c r="AU73" s="430" t="s">
        <v>181</v>
      </c>
      <c r="AV73" s="431" t="s">
        <v>181</v>
      </c>
      <c r="AW73" s="430" t="s">
        <v>181</v>
      </c>
      <c r="AX73" s="430" t="s">
        <v>181</v>
      </c>
      <c r="AY73" s="488"/>
      <c r="AZ73" s="485"/>
      <c r="BA73" s="485"/>
    </row>
    <row r="74" spans="1:59" ht="12.75" customHeight="1" x14ac:dyDescent="0.2">
      <c r="B74" s="11"/>
      <c r="C74" s="181"/>
      <c r="D74" s="181"/>
      <c r="E74" s="181"/>
      <c r="F74" s="181"/>
      <c r="G74" s="181"/>
      <c r="H74" s="181"/>
      <c r="I74" s="2"/>
      <c r="J74" s="181"/>
      <c r="K74" s="181"/>
      <c r="L74" s="181"/>
      <c r="M74" s="2"/>
      <c r="N74" s="181"/>
      <c r="O74" s="181"/>
      <c r="P74" s="181"/>
      <c r="Q74" s="2"/>
      <c r="R74" s="181"/>
      <c r="S74" s="181"/>
      <c r="T74" s="181"/>
      <c r="U74" s="2"/>
      <c r="V74" s="181"/>
      <c r="W74" s="181"/>
      <c r="X74" s="181"/>
      <c r="Y74" s="2"/>
      <c r="Z74" s="181"/>
      <c r="AA74" s="181"/>
      <c r="AB74" s="181"/>
      <c r="AC74" s="2"/>
      <c r="AG74" s="2"/>
      <c r="AI74" s="2"/>
      <c r="AJ74" s="2"/>
      <c r="AK74" s="182"/>
      <c r="AL74" s="169"/>
      <c r="AM74" s="169"/>
      <c r="AN74" s="169"/>
      <c r="AO74" s="169"/>
      <c r="AP74" s="169"/>
      <c r="AQ74" s="171"/>
      <c r="AR74" s="169"/>
      <c r="AS74" s="169"/>
      <c r="AT74" s="169"/>
      <c r="AU74" s="171"/>
      <c r="AV74" s="171"/>
      <c r="BB74" s="3"/>
      <c r="BC74" s="3"/>
      <c r="BD74" s="3"/>
    </row>
    <row r="75" spans="1:59" x14ac:dyDescent="0.2">
      <c r="A75" s="6" t="s">
        <v>27</v>
      </c>
    </row>
    <row r="76" spans="1:59" ht="4.5" customHeight="1" x14ac:dyDescent="0.2">
      <c r="C76" s="44"/>
      <c r="D76" s="44"/>
      <c r="E76" s="91"/>
      <c r="F76" s="488"/>
      <c r="G76" s="488"/>
      <c r="H76" s="488"/>
      <c r="I76" s="488"/>
      <c r="J76" s="488"/>
      <c r="K76" s="488"/>
      <c r="L76" s="488"/>
      <c r="M76" s="488"/>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379"/>
      <c r="AP76" s="379"/>
      <c r="AQ76" s="140"/>
      <c r="AR76" s="379"/>
      <c r="AS76" s="379"/>
      <c r="AT76" s="379"/>
      <c r="AU76" s="140"/>
      <c r="AV76" s="140"/>
      <c r="AW76" s="140"/>
      <c r="AX76" s="140"/>
      <c r="AY76" s="140"/>
      <c r="BB76" s="3"/>
      <c r="BC76" s="3"/>
      <c r="BD76" s="3"/>
    </row>
    <row r="77" spans="1:59" x14ac:dyDescent="0.2">
      <c r="A77" s="6" t="s">
        <v>298</v>
      </c>
      <c r="B77" s="3"/>
      <c r="C77" s="169"/>
      <c r="D77" s="169"/>
      <c r="E77" s="169"/>
      <c r="F77" s="29"/>
      <c r="G77" s="29"/>
      <c r="H77" s="29"/>
      <c r="I77" s="29"/>
      <c r="J77" s="29"/>
      <c r="K77" s="29"/>
      <c r="L77" s="29"/>
      <c r="M77" s="29"/>
      <c r="N77" s="29"/>
      <c r="O77" s="29"/>
      <c r="P77" s="29"/>
      <c r="Q77" s="29"/>
      <c r="R77" s="29"/>
      <c r="S77" s="29"/>
      <c r="T77" s="29"/>
    </row>
    <row r="78" spans="1:59" x14ac:dyDescent="0.2">
      <c r="C78" s="44"/>
      <c r="D78" s="44"/>
      <c r="E78" s="91"/>
      <c r="F78" s="483"/>
      <c r="G78" s="483"/>
      <c r="H78" s="483"/>
      <c r="I78" s="480"/>
      <c r="J78" s="483"/>
      <c r="K78" s="483"/>
      <c r="L78" s="483"/>
      <c r="M78" s="480"/>
      <c r="N78" s="91"/>
      <c r="O78" s="91"/>
      <c r="P78" s="91"/>
      <c r="Q78" s="407"/>
      <c r="R78" s="91"/>
      <c r="S78" s="91"/>
      <c r="T78" s="91"/>
      <c r="U78" s="407"/>
      <c r="V78" s="91"/>
      <c r="W78" s="91"/>
      <c r="X78" s="91"/>
      <c r="Y78" s="407"/>
      <c r="Z78" s="91"/>
      <c r="AA78" s="91"/>
      <c r="AB78" s="91"/>
      <c r="AK78" s="28"/>
      <c r="AL78" s="91"/>
      <c r="AM78" s="91"/>
      <c r="AN78" s="91"/>
      <c r="AO78" s="180"/>
      <c r="AP78" s="508"/>
      <c r="AQ78" s="483"/>
      <c r="AR78" s="392"/>
      <c r="AS78" s="392"/>
      <c r="AT78" s="370"/>
      <c r="AU78" s="483"/>
      <c r="AV78" s="483"/>
      <c r="AW78" s="481"/>
      <c r="AX78" s="507"/>
      <c r="AY78" s="481"/>
      <c r="AZ78" s="481"/>
      <c r="BA78" s="481"/>
      <c r="BB78" s="481"/>
      <c r="BC78" s="481"/>
      <c r="BD78" s="481"/>
      <c r="BE78" s="481"/>
    </row>
    <row r="79" spans="1:59" x14ac:dyDescent="0.2">
      <c r="C79" s="44"/>
      <c r="D79" s="44"/>
      <c r="E79" s="91"/>
      <c r="F79" s="483"/>
      <c r="G79" s="483"/>
      <c r="H79" s="483"/>
      <c r="I79" s="480"/>
      <c r="J79" s="483"/>
      <c r="K79" s="483"/>
      <c r="L79" s="483"/>
      <c r="M79" s="480"/>
      <c r="N79" s="91"/>
      <c r="O79" s="91"/>
      <c r="P79" s="91"/>
      <c r="Q79" s="407"/>
      <c r="R79" s="91"/>
      <c r="S79" s="91"/>
      <c r="T79" s="91"/>
      <c r="U79" s="407"/>
      <c r="V79" s="91"/>
      <c r="W79" s="91"/>
      <c r="X79" s="91"/>
      <c r="Y79" s="407"/>
      <c r="Z79" s="91"/>
      <c r="AA79" s="91"/>
      <c r="AB79" s="91"/>
      <c r="AK79" s="28"/>
      <c r="AL79" s="91"/>
      <c r="AM79" s="91"/>
      <c r="AN79" s="91"/>
      <c r="AO79" s="370"/>
      <c r="AP79" s="370"/>
      <c r="AQ79" s="483"/>
      <c r="AR79" s="392"/>
      <c r="AS79" s="392"/>
      <c r="AT79" s="370"/>
      <c r="AU79" s="483"/>
      <c r="AV79" s="483"/>
      <c r="AW79" s="481"/>
      <c r="AX79" s="6"/>
      <c r="AY79" s="481"/>
      <c r="AZ79" s="481"/>
      <c r="BA79" s="481"/>
      <c r="BB79" s="481"/>
      <c r="BC79" s="481"/>
      <c r="BD79" s="481"/>
      <c r="BE79" s="481"/>
    </row>
    <row r="80" spans="1:59" x14ac:dyDescent="0.2">
      <c r="I80" s="480"/>
      <c r="M80" s="480"/>
      <c r="Q80" s="407"/>
      <c r="U80" s="407"/>
      <c r="Y80" s="407"/>
      <c r="AK80" s="9"/>
      <c r="AL80" s="3"/>
      <c r="AM80" s="3"/>
      <c r="AN80" s="3"/>
      <c r="AO80" s="259"/>
      <c r="AP80" s="508"/>
      <c r="AQ80" s="481"/>
      <c r="AR80" s="535"/>
      <c r="AS80" s="535"/>
      <c r="AT80" s="366"/>
      <c r="AU80" s="481"/>
      <c r="AV80" s="481"/>
      <c r="AW80" s="481"/>
      <c r="AX80" s="29"/>
      <c r="AY80" s="481"/>
      <c r="AZ80" s="507"/>
      <c r="BA80" s="481"/>
      <c r="BB80" s="481"/>
      <c r="BC80" s="481"/>
      <c r="BD80" s="481"/>
      <c r="BE80" s="481"/>
    </row>
    <row r="81" spans="9:57" x14ac:dyDescent="0.2">
      <c r="I81" s="480"/>
      <c r="M81" s="480"/>
      <c r="Q81" s="407"/>
      <c r="U81" s="407"/>
      <c r="Y81" s="407"/>
      <c r="AK81" s="30"/>
      <c r="AL81" s="3"/>
      <c r="AM81" s="3"/>
      <c r="AN81" s="3"/>
      <c r="AO81" s="366"/>
      <c r="AP81" s="366"/>
      <c r="AQ81" s="481"/>
      <c r="AR81" s="366"/>
      <c r="AS81" s="366"/>
      <c r="AT81" s="366"/>
      <c r="AU81" s="481"/>
      <c r="AV81" s="481"/>
      <c r="AW81" s="481"/>
      <c r="AX81" s="2"/>
      <c r="AY81" s="481"/>
      <c r="AZ81" s="29"/>
      <c r="BA81" s="481"/>
      <c r="BB81" s="481"/>
      <c r="BC81" s="481"/>
      <c r="BD81" s="481"/>
      <c r="BE81" s="481"/>
    </row>
    <row r="82" spans="9:57" x14ac:dyDescent="0.2">
      <c r="I82" s="480"/>
      <c r="M82" s="480"/>
      <c r="Q82" s="407"/>
      <c r="U82" s="29">
        <f t="shared" ref="U82:AK82" si="52">U71-U16</f>
        <v>0</v>
      </c>
      <c r="V82" s="29">
        <f t="shared" si="52"/>
        <v>0</v>
      </c>
      <c r="W82" s="29">
        <f t="shared" si="52"/>
        <v>0</v>
      </c>
      <c r="X82" s="29">
        <f t="shared" si="52"/>
        <v>0</v>
      </c>
      <c r="Y82" s="29">
        <f t="shared" si="52"/>
        <v>0</v>
      </c>
      <c r="Z82" s="29">
        <f t="shared" si="52"/>
        <v>0</v>
      </c>
      <c r="AA82" s="29">
        <f t="shared" si="52"/>
        <v>0</v>
      </c>
      <c r="AB82" s="29">
        <f t="shared" si="52"/>
        <v>0</v>
      </c>
      <c r="AC82" s="29">
        <f t="shared" si="52"/>
        <v>0</v>
      </c>
      <c r="AD82" s="29">
        <f t="shared" si="52"/>
        <v>0</v>
      </c>
      <c r="AE82" s="29">
        <f t="shared" si="52"/>
        <v>0</v>
      </c>
      <c r="AF82" s="29">
        <f t="shared" si="52"/>
        <v>0</v>
      </c>
      <c r="AG82" s="29">
        <f t="shared" si="52"/>
        <v>0</v>
      </c>
      <c r="AH82" s="29">
        <f t="shared" si="52"/>
        <v>0</v>
      </c>
      <c r="AI82" s="29">
        <f t="shared" si="52"/>
        <v>0</v>
      </c>
      <c r="AJ82" s="29">
        <f t="shared" si="52"/>
        <v>0</v>
      </c>
      <c r="AK82" s="29">
        <f t="shared" si="52"/>
        <v>0</v>
      </c>
      <c r="AL82" s="29"/>
      <c r="AM82" s="29"/>
      <c r="AN82" s="29"/>
      <c r="AO82" s="369"/>
      <c r="AP82" s="369"/>
      <c r="AQ82" s="29"/>
      <c r="AR82" s="369"/>
      <c r="AS82" s="369"/>
      <c r="AT82" s="369"/>
      <c r="AU82" s="29"/>
      <c r="AV82" s="29"/>
      <c r="AW82" s="29"/>
      <c r="AX82" s="29"/>
      <c r="AY82" s="29"/>
      <c r="AZ82" s="481"/>
      <c r="BA82" s="481"/>
      <c r="BB82" s="481"/>
      <c r="BC82" s="481"/>
      <c r="BD82" s="481"/>
      <c r="BE82" s="481"/>
    </row>
    <row r="83" spans="9:57" x14ac:dyDescent="0.2">
      <c r="I83" s="480"/>
      <c r="M83" s="480"/>
      <c r="Q83" s="407"/>
      <c r="U83" s="407"/>
      <c r="Y83" s="407"/>
      <c r="AK83" s="2"/>
      <c r="AL83" s="3"/>
      <c r="AM83" s="3"/>
      <c r="AN83" s="3"/>
      <c r="AO83" s="366"/>
      <c r="AP83" s="366"/>
      <c r="AQ83" s="481"/>
      <c r="AR83" s="366"/>
      <c r="AS83" s="366"/>
      <c r="AT83" s="366"/>
      <c r="AU83" s="481"/>
      <c r="AV83" s="481"/>
      <c r="AW83" s="481"/>
      <c r="AX83" s="29"/>
      <c r="AY83" s="481"/>
      <c r="AZ83" s="481"/>
      <c r="BA83" s="481"/>
      <c r="BB83" s="481"/>
      <c r="BC83" s="481"/>
      <c r="BD83" s="481"/>
      <c r="BE83" s="481"/>
    </row>
    <row r="84" spans="9:57" x14ac:dyDescent="0.2">
      <c r="AC84" s="3"/>
      <c r="AD84" s="3"/>
      <c r="AH84" s="3"/>
      <c r="AK84" s="6"/>
      <c r="AL84" s="3"/>
      <c r="AM84" s="3"/>
      <c r="AN84" s="3"/>
      <c r="AO84" s="366"/>
      <c r="AP84" s="366"/>
      <c r="AQ84" s="481"/>
      <c r="AR84" s="366"/>
      <c r="AS84" s="366"/>
      <c r="AT84" s="366"/>
      <c r="AU84" s="481"/>
      <c r="AV84" s="481"/>
      <c r="AW84" s="481"/>
      <c r="AX84" s="29"/>
      <c r="AY84" s="481"/>
      <c r="AZ84" s="481"/>
      <c r="BA84" s="481"/>
      <c r="BB84" s="481"/>
      <c r="BC84" s="481"/>
      <c r="BD84" s="481"/>
      <c r="BE84" s="481"/>
    </row>
    <row r="85" spans="9:57" x14ac:dyDescent="0.2">
      <c r="I85" s="480"/>
      <c r="M85" s="480"/>
      <c r="Q85" s="407"/>
      <c r="U85" s="407"/>
      <c r="Y85" s="407"/>
      <c r="AK85" s="29"/>
      <c r="AL85" s="3"/>
      <c r="AM85" s="3"/>
      <c r="AN85" s="3"/>
      <c r="AO85" s="366"/>
      <c r="AP85" s="366"/>
      <c r="AQ85" s="481"/>
      <c r="AR85" s="366"/>
      <c r="AS85" s="366"/>
      <c r="AT85" s="366"/>
      <c r="AU85" s="481"/>
      <c r="AV85" s="481"/>
      <c r="AW85" s="481"/>
      <c r="AX85" s="9"/>
      <c r="AY85" s="481"/>
      <c r="AZ85" s="481"/>
      <c r="BA85" s="481"/>
      <c r="BB85" s="481"/>
      <c r="BC85" s="481"/>
      <c r="BD85" s="481"/>
      <c r="BE85" s="481"/>
    </row>
    <row r="86" spans="9:57" x14ac:dyDescent="0.2">
      <c r="I86" s="480"/>
      <c r="M86" s="480"/>
      <c r="Q86" s="407"/>
      <c r="U86" s="407"/>
      <c r="Y86" s="407"/>
      <c r="AK86" s="35"/>
      <c r="AL86" s="3"/>
      <c r="AM86" s="3"/>
      <c r="AN86" s="3"/>
      <c r="AO86" s="366"/>
      <c r="AP86" s="366"/>
      <c r="AQ86" s="481"/>
      <c r="AR86" s="366"/>
      <c r="AS86" s="366"/>
      <c r="AT86" s="366"/>
      <c r="AU86" s="481"/>
      <c r="AV86" s="481"/>
      <c r="AW86" s="481"/>
      <c r="AX86" s="32"/>
      <c r="AY86" s="481"/>
      <c r="AZ86" s="481"/>
      <c r="BA86" s="481"/>
      <c r="BB86" s="481"/>
      <c r="BC86" s="481"/>
      <c r="BD86" s="481"/>
      <c r="BE86" s="481"/>
    </row>
    <row r="87" spans="9:57" x14ac:dyDescent="0.2">
      <c r="I87" s="480"/>
      <c r="M87" s="480"/>
      <c r="Q87" s="407"/>
      <c r="U87" s="407"/>
      <c r="Y87" s="407"/>
      <c r="AK87" s="35"/>
      <c r="AL87" s="3"/>
      <c r="AM87" s="3"/>
      <c r="AN87" s="3"/>
      <c r="AO87" s="366"/>
      <c r="AP87" s="366"/>
      <c r="AQ87" s="481"/>
      <c r="AR87" s="366"/>
      <c r="AS87" s="366"/>
      <c r="AT87" s="366"/>
      <c r="AU87" s="481"/>
      <c r="AV87" s="481"/>
      <c r="AW87" s="481"/>
      <c r="AX87" s="32"/>
      <c r="AY87" s="481"/>
      <c r="AZ87" s="481"/>
      <c r="BA87" s="481"/>
      <c r="BB87" s="481"/>
      <c r="BC87" s="481"/>
      <c r="BD87" s="481"/>
      <c r="BE87" s="481"/>
    </row>
    <row r="88" spans="9:57" x14ac:dyDescent="0.2">
      <c r="I88" s="480"/>
      <c r="M88" s="480"/>
      <c r="Q88" s="407"/>
      <c r="U88" s="407"/>
      <c r="Y88" s="407"/>
      <c r="AK88" s="35"/>
      <c r="AL88" s="3"/>
      <c r="AM88" s="3"/>
      <c r="AN88" s="3"/>
      <c r="AO88" s="366"/>
      <c r="AP88" s="366"/>
      <c r="AQ88" s="481"/>
      <c r="AR88" s="366"/>
      <c r="AS88" s="366"/>
      <c r="AT88" s="366"/>
      <c r="AU88" s="481"/>
      <c r="AV88" s="481"/>
      <c r="AW88" s="481"/>
      <c r="AX88" s="32"/>
      <c r="AY88" s="481"/>
      <c r="AZ88" s="481"/>
      <c r="BA88" s="481"/>
      <c r="BB88" s="481"/>
      <c r="BC88" s="481"/>
      <c r="BD88" s="481"/>
      <c r="BE88" s="481"/>
    </row>
    <row r="89" spans="9:57" x14ac:dyDescent="0.2">
      <c r="I89" s="480"/>
      <c r="M89" s="480"/>
      <c r="Q89" s="407"/>
      <c r="U89" s="407"/>
      <c r="Y89" s="407"/>
      <c r="AK89" s="32"/>
      <c r="AL89" s="3"/>
      <c r="AM89" s="3"/>
      <c r="AN89" s="3"/>
      <c r="AO89" s="366"/>
      <c r="AP89" s="366"/>
      <c r="AQ89" s="481"/>
      <c r="AR89" s="366"/>
      <c r="AS89" s="366"/>
      <c r="AT89" s="366"/>
      <c r="AU89" s="481"/>
      <c r="AV89" s="481"/>
      <c r="AW89" s="481"/>
      <c r="AX89" s="33"/>
      <c r="AY89" s="481"/>
      <c r="AZ89" s="481"/>
      <c r="BA89" s="481"/>
      <c r="BB89" s="481"/>
      <c r="BC89" s="481"/>
      <c r="BD89" s="481"/>
      <c r="BE89" s="481"/>
    </row>
    <row r="90" spans="9:57" x14ac:dyDescent="0.2">
      <c r="I90" s="480"/>
      <c r="M90" s="480"/>
      <c r="Q90" s="407"/>
      <c r="U90" s="407"/>
      <c r="Y90" s="407"/>
      <c r="AK90" s="33"/>
      <c r="AL90" s="3"/>
      <c r="AM90" s="3"/>
      <c r="AN90" s="3"/>
      <c r="AO90" s="366"/>
      <c r="AP90" s="366"/>
      <c r="AQ90" s="481"/>
      <c r="AR90" s="366"/>
      <c r="AS90" s="366"/>
      <c r="AT90" s="366"/>
      <c r="AU90" s="481"/>
      <c r="AV90" s="481"/>
      <c r="AW90" s="33"/>
      <c r="AX90" s="33"/>
      <c r="AY90" s="481"/>
      <c r="AZ90" s="481"/>
      <c r="BA90" s="481"/>
      <c r="BB90" s="481"/>
      <c r="BC90" s="481"/>
      <c r="BD90" s="481"/>
      <c r="BE90" s="481"/>
    </row>
    <row r="91" spans="9:57" x14ac:dyDescent="0.2">
      <c r="I91" s="480"/>
      <c r="M91" s="480"/>
      <c r="Q91" s="407"/>
      <c r="U91" s="407"/>
      <c r="Y91" s="407"/>
      <c r="AK91" s="33"/>
      <c r="AL91" s="3"/>
      <c r="AM91" s="3"/>
      <c r="AN91" s="3"/>
      <c r="AR91" s="366"/>
      <c r="AS91" s="366"/>
      <c r="AT91" s="366"/>
      <c r="AW91" s="3"/>
      <c r="AX91" s="3"/>
    </row>
    <row r="92" spans="9:57" x14ac:dyDescent="0.2">
      <c r="I92" s="480"/>
      <c r="M92" s="480"/>
      <c r="Q92" s="407"/>
      <c r="U92" s="407"/>
      <c r="Y92" s="407"/>
      <c r="AK92" s="3"/>
      <c r="AL92" s="3"/>
      <c r="AM92" s="3"/>
      <c r="AN92" s="3"/>
      <c r="AR92" s="366"/>
      <c r="AS92" s="366"/>
      <c r="AT92" s="366"/>
      <c r="AW92" s="3"/>
      <c r="AX92" s="3"/>
    </row>
    <row r="93" spans="9:57" x14ac:dyDescent="0.2">
      <c r="I93" s="480"/>
      <c r="M93" s="480"/>
      <c r="Q93" s="407"/>
      <c r="U93" s="407"/>
      <c r="Y93" s="407"/>
      <c r="AK93" s="3"/>
      <c r="AL93" s="3"/>
      <c r="AM93" s="3"/>
      <c r="AN93" s="3"/>
      <c r="AR93" s="366"/>
      <c r="AS93" s="366"/>
      <c r="AT93" s="366"/>
      <c r="AW93" s="3"/>
      <c r="AX93" s="3"/>
    </row>
    <row r="94" spans="9:57" x14ac:dyDescent="0.2">
      <c r="I94" s="480"/>
      <c r="M94" s="480"/>
      <c r="Q94" s="407"/>
      <c r="U94" s="407"/>
      <c r="Y94" s="407"/>
      <c r="AK94" s="3"/>
      <c r="AL94" s="3"/>
      <c r="AM94" s="3"/>
      <c r="AN94" s="3"/>
      <c r="AR94" s="366"/>
      <c r="AS94" s="366"/>
      <c r="AT94" s="366"/>
      <c r="AW94" s="3"/>
      <c r="AX94" s="3"/>
    </row>
    <row r="95" spans="9:57" x14ac:dyDescent="0.2">
      <c r="I95" s="480"/>
      <c r="M95" s="480"/>
      <c r="Q95" s="407"/>
      <c r="U95" s="407"/>
      <c r="Y95" s="407"/>
      <c r="AK95" s="3"/>
      <c r="AL95" s="3"/>
      <c r="AM95" s="3"/>
      <c r="AN95" s="3"/>
      <c r="AR95" s="366"/>
      <c r="AS95" s="366"/>
      <c r="AT95" s="366"/>
      <c r="AW95" s="3"/>
      <c r="AX95" s="3"/>
    </row>
    <row r="96" spans="9:57" x14ac:dyDescent="0.2">
      <c r="I96" s="480"/>
      <c r="M96" s="480"/>
      <c r="Q96" s="407"/>
      <c r="U96" s="407"/>
      <c r="Y96" s="407"/>
      <c r="AK96" s="3"/>
      <c r="AL96" s="3"/>
      <c r="AM96" s="3"/>
      <c r="AN96" s="3"/>
      <c r="AR96" s="366"/>
      <c r="AS96" s="366"/>
      <c r="AT96" s="366"/>
    </row>
    <row r="97" spans="9:25" x14ac:dyDescent="0.2">
      <c r="I97" s="480"/>
      <c r="M97" s="480"/>
      <c r="Q97" s="407"/>
      <c r="U97" s="407"/>
      <c r="Y97" s="407"/>
    </row>
  </sheetData>
  <mergeCells count="11">
    <mergeCell ref="C57:D57"/>
    <mergeCell ref="AO57:AP57"/>
    <mergeCell ref="C63:D63"/>
    <mergeCell ref="C64:D64"/>
    <mergeCell ref="AO64:AP64"/>
    <mergeCell ref="C56:D56"/>
    <mergeCell ref="C10:D10"/>
    <mergeCell ref="C11:D11"/>
    <mergeCell ref="AO11:AP11"/>
    <mergeCell ref="A36:B36"/>
    <mergeCell ref="A42:B42"/>
  </mergeCells>
  <conditionalFormatting sqref="AZ81 AQ46:AQ51 AU46:AX51 A46:A47 A54:A55 Z51:AB51 X51 A62 A70:A73 C51:E51 X46:AK50 AP46:AP50 D46:E50 AL46:AN51 AT48:AW48 J46:W51 AS46:AS51 AR46:AT50">
    <cfRule type="cellIs" dxfId="24" priority="5" stopIfTrue="1" operator="equal">
      <formula>0</formula>
    </cfRule>
  </conditionalFormatting>
  <conditionalFormatting sqref="A72:A73">
    <cfRule type="cellIs" dxfId="23" priority="4" stopIfTrue="1" operator="equal">
      <formula>0</formula>
    </cfRule>
  </conditionalFormatting>
  <conditionalFormatting sqref="AR51">
    <cfRule type="cellIs" dxfId="22" priority="2" stopIfTrue="1" operator="equal">
      <formula>0</formula>
    </cfRule>
  </conditionalFormatting>
  <conditionalFormatting sqref="F46:I51">
    <cfRule type="cellIs" dxfId="21" priority="1" stopIfTrue="1" operator="equal">
      <formula>0</formula>
    </cfRule>
  </conditionalFormatting>
  <printOptions horizontalCentered="1"/>
  <pageMargins left="0.3" right="0.3" top="0.4" bottom="0.6" header="0" footer="0.3"/>
  <pageSetup scale="59" orientation="landscape" r:id="rId1"/>
  <headerFooter alignWithMargins="0">
    <oddFooter>&amp;L&amp;F&amp;CPage 8</oddFooter>
  </headerFooter>
  <colBreaks count="1" manualBreakCount="1">
    <brk id="51" max="61"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BI96"/>
  <sheetViews>
    <sheetView workbookViewId="0"/>
  </sheetViews>
  <sheetFormatPr defaultRowHeight="12.75" outlineLevelRow="1" x14ac:dyDescent="0.2"/>
  <cols>
    <col min="1" max="1" width="2.7109375" customWidth="1"/>
    <col min="2" max="2" width="45" customWidth="1"/>
    <col min="3" max="3" width="9.5703125" customWidth="1"/>
    <col min="4" max="4" width="9.7109375" customWidth="1"/>
    <col min="5" max="5" width="1.5703125" style="3" customWidth="1"/>
    <col min="6" max="8" width="9" style="481" hidden="1" customWidth="1"/>
    <col min="9" max="13" width="9" style="481" customWidth="1"/>
    <col min="14" max="17" width="9" style="3" customWidth="1"/>
    <col min="18" max="27" width="9" style="3" hidden="1" customWidth="1"/>
    <col min="28" max="28" width="9.7109375" style="3" hidden="1" customWidth="1"/>
    <col min="29" max="37" width="9.7109375" hidden="1" customWidth="1"/>
    <col min="38" max="38" width="1.5703125" customWidth="1"/>
    <col min="39" max="40" width="9.42578125" style="407" hidden="1" customWidth="1"/>
    <col min="41" max="42" width="9.42578125" style="64" hidden="1" customWidth="1"/>
    <col min="43" max="43" width="1.5703125" hidden="1" customWidth="1"/>
    <col min="44" max="46" width="9.7109375" style="64" customWidth="1"/>
    <col min="47" max="48" width="9.7109375" customWidth="1"/>
    <col min="49" max="53" width="9.7109375" hidden="1" customWidth="1"/>
    <col min="54" max="54" width="1.5703125" customWidth="1"/>
  </cols>
  <sheetData>
    <row r="1" spans="1:61" x14ac:dyDescent="0.2">
      <c r="AB1" s="260"/>
    </row>
    <row r="2" spans="1:61" x14ac:dyDescent="0.2">
      <c r="AB2" s="260"/>
    </row>
    <row r="3" spans="1:61" x14ac:dyDescent="0.2">
      <c r="AB3" s="260"/>
    </row>
    <row r="4" spans="1:61" x14ac:dyDescent="0.2">
      <c r="Z4" s="2"/>
      <c r="AB4" s="260"/>
    </row>
    <row r="5" spans="1:61" x14ac:dyDescent="0.2">
      <c r="A5" s="3"/>
      <c r="B5" s="3"/>
      <c r="C5" s="3"/>
      <c r="D5" s="3"/>
      <c r="Z5" s="2"/>
      <c r="AB5" s="260"/>
      <c r="AC5" s="3"/>
      <c r="AD5" s="3"/>
      <c r="AE5" s="3"/>
      <c r="AR5" s="533"/>
    </row>
    <row r="6" spans="1:61" ht="18" customHeight="1" x14ac:dyDescent="0.2">
      <c r="A6" s="81" t="s">
        <v>95</v>
      </c>
      <c r="B6" s="3"/>
      <c r="C6" s="3"/>
      <c r="D6" s="3"/>
      <c r="Z6" s="2"/>
      <c r="AB6" s="260"/>
      <c r="AC6" s="3"/>
      <c r="AD6" s="3"/>
      <c r="AE6" s="3"/>
    </row>
    <row r="7" spans="1:61" ht="18" customHeight="1" x14ac:dyDescent="0.2">
      <c r="A7" s="81" t="s">
        <v>218</v>
      </c>
      <c r="B7" s="3"/>
      <c r="C7" s="3"/>
      <c r="D7" s="3"/>
      <c r="Z7" s="2"/>
      <c r="AB7" s="260"/>
      <c r="AC7" s="3"/>
      <c r="AD7" s="3"/>
      <c r="AE7" s="3"/>
    </row>
    <row r="8" spans="1:61" s="480" customFormat="1" x14ac:dyDescent="0.2">
      <c r="A8" s="510" t="s">
        <v>256</v>
      </c>
      <c r="B8" s="481"/>
      <c r="C8" s="481"/>
      <c r="D8" s="481"/>
      <c r="E8" s="481"/>
      <c r="F8" s="481"/>
      <c r="G8" s="481"/>
      <c r="H8" s="481"/>
      <c r="I8" s="481"/>
      <c r="J8" s="481"/>
      <c r="K8" s="481"/>
      <c r="L8" s="481"/>
      <c r="M8" s="481"/>
      <c r="N8" s="534"/>
      <c r="O8" s="534"/>
      <c r="P8" s="534"/>
      <c r="Q8" s="534"/>
      <c r="R8" s="481"/>
      <c r="S8" s="481"/>
      <c r="T8" s="481"/>
      <c r="U8" s="481"/>
      <c r="V8" s="481"/>
      <c r="W8" s="481"/>
      <c r="X8" s="481"/>
      <c r="Y8" s="481"/>
      <c r="Z8" s="2"/>
      <c r="AA8" s="481"/>
      <c r="AB8" s="260"/>
      <c r="AC8" s="481"/>
      <c r="AD8" s="481"/>
      <c r="AE8" s="481"/>
      <c r="AO8" s="64"/>
      <c r="AP8" s="64"/>
      <c r="AR8" s="533"/>
      <c r="AS8" s="64"/>
      <c r="AT8" s="64"/>
    </row>
    <row r="9" spans="1:61" ht="9.75" customHeight="1" x14ac:dyDescent="0.2">
      <c r="A9" s="2"/>
      <c r="B9" s="2"/>
      <c r="C9" s="2"/>
      <c r="D9" s="2"/>
      <c r="E9" s="2"/>
      <c r="F9" s="2"/>
      <c r="G9" s="2"/>
      <c r="H9" s="2"/>
      <c r="I9" s="2"/>
      <c r="J9" s="2"/>
      <c r="K9" s="2"/>
      <c r="L9" s="2"/>
      <c r="M9" s="2"/>
      <c r="N9" s="281"/>
      <c r="O9" s="2"/>
      <c r="P9" s="2"/>
      <c r="Q9" s="2"/>
      <c r="R9" s="281"/>
      <c r="S9" s="2"/>
      <c r="T9" s="281"/>
      <c r="U9" s="2"/>
      <c r="V9" s="281"/>
      <c r="W9" s="2"/>
      <c r="X9" s="281"/>
      <c r="Y9" s="2"/>
      <c r="Z9" s="281"/>
      <c r="AA9" s="2"/>
      <c r="AB9" s="2"/>
      <c r="AC9" s="3"/>
      <c r="AD9" s="3"/>
      <c r="AE9" s="3"/>
      <c r="AO9" s="366"/>
      <c r="AP9" s="366"/>
      <c r="AR9" s="366"/>
      <c r="AS9" s="366"/>
      <c r="AT9" s="366"/>
      <c r="AY9" s="3"/>
      <c r="AZ9" s="3"/>
      <c r="BA9" s="3"/>
    </row>
    <row r="10" spans="1:61" x14ac:dyDescent="0.2">
      <c r="A10" s="5" t="s">
        <v>1</v>
      </c>
      <c r="B10" s="6"/>
      <c r="C10" s="3204" t="s">
        <v>312</v>
      </c>
      <c r="D10" s="3205"/>
      <c r="E10" s="184"/>
      <c r="F10" s="273"/>
      <c r="G10" s="273"/>
      <c r="H10" s="273"/>
      <c r="I10" s="17"/>
      <c r="J10" s="273"/>
      <c r="K10" s="273"/>
      <c r="L10" s="273"/>
      <c r="M10" s="17"/>
      <c r="N10" s="15"/>
      <c r="O10" s="16"/>
      <c r="P10" s="273"/>
      <c r="Q10" s="17"/>
      <c r="R10" s="15"/>
      <c r="S10" s="16"/>
      <c r="T10" s="273"/>
      <c r="U10" s="17"/>
      <c r="V10" s="481"/>
      <c r="W10" s="16"/>
      <c r="X10" s="2"/>
      <c r="Y10" s="17"/>
      <c r="Z10" s="16"/>
      <c r="AA10" s="481"/>
      <c r="AB10" s="273"/>
      <c r="AC10" s="17"/>
      <c r="AD10" s="16"/>
      <c r="AE10" s="16"/>
      <c r="AF10" s="16"/>
      <c r="AG10" s="16"/>
      <c r="AH10" s="20"/>
      <c r="AI10" s="17"/>
      <c r="AJ10" s="17"/>
      <c r="AK10" s="17"/>
      <c r="AL10" s="22"/>
      <c r="AM10" s="445" t="s">
        <v>299</v>
      </c>
      <c r="AN10" s="433"/>
      <c r="AO10" s="433" t="s">
        <v>284</v>
      </c>
      <c r="AP10" s="434"/>
      <c r="AQ10" s="13"/>
      <c r="AR10" s="530"/>
      <c r="AS10" s="464"/>
      <c r="AT10" s="402"/>
      <c r="AU10" s="46"/>
      <c r="AV10" s="46"/>
      <c r="AW10" s="15"/>
      <c r="AX10" s="20"/>
      <c r="AY10" s="46"/>
      <c r="AZ10" s="215"/>
      <c r="BA10" s="466"/>
      <c r="BB10" s="23"/>
    </row>
    <row r="11" spans="1:61" ht="13.5" x14ac:dyDescent="0.2">
      <c r="A11" s="5" t="s">
        <v>2</v>
      </c>
      <c r="B11" s="6"/>
      <c r="C11" s="3201" t="s">
        <v>38</v>
      </c>
      <c r="D11" s="3202"/>
      <c r="E11" s="355"/>
      <c r="F11" s="19" t="s">
        <v>315</v>
      </c>
      <c r="G11" s="19" t="s">
        <v>314</v>
      </c>
      <c r="H11" s="19" t="s">
        <v>313</v>
      </c>
      <c r="I11" s="12" t="s">
        <v>311</v>
      </c>
      <c r="J11" s="19" t="s">
        <v>270</v>
      </c>
      <c r="K11" s="19" t="s">
        <v>271</v>
      </c>
      <c r="L11" s="19" t="s">
        <v>272</v>
      </c>
      <c r="M11" s="12" t="s">
        <v>273</v>
      </c>
      <c r="N11" s="18" t="s">
        <v>223</v>
      </c>
      <c r="O11" s="19" t="s">
        <v>224</v>
      </c>
      <c r="P11" s="19" t="s">
        <v>225</v>
      </c>
      <c r="Q11" s="12" t="s">
        <v>222</v>
      </c>
      <c r="R11" s="18" t="s">
        <v>189</v>
      </c>
      <c r="S11" s="19" t="s">
        <v>190</v>
      </c>
      <c r="T11" s="19" t="s">
        <v>191</v>
      </c>
      <c r="U11" s="12" t="s">
        <v>192</v>
      </c>
      <c r="V11" s="19" t="s">
        <v>121</v>
      </c>
      <c r="W11" s="19" t="s">
        <v>120</v>
      </c>
      <c r="X11" s="19" t="s">
        <v>119</v>
      </c>
      <c r="Y11" s="12" t="s">
        <v>118</v>
      </c>
      <c r="Z11" s="19" t="s">
        <v>81</v>
      </c>
      <c r="AA11" s="19" t="s">
        <v>82</v>
      </c>
      <c r="AB11" s="19" t="s">
        <v>83</v>
      </c>
      <c r="AC11" s="12" t="s">
        <v>29</v>
      </c>
      <c r="AD11" s="19" t="s">
        <v>30</v>
      </c>
      <c r="AE11" s="19" t="s">
        <v>31</v>
      </c>
      <c r="AF11" s="19" t="s">
        <v>32</v>
      </c>
      <c r="AG11" s="19" t="s">
        <v>33</v>
      </c>
      <c r="AH11" s="21" t="s">
        <v>34</v>
      </c>
      <c r="AI11" s="12" t="s">
        <v>35</v>
      </c>
      <c r="AJ11" s="12" t="s">
        <v>36</v>
      </c>
      <c r="AK11" s="12" t="s">
        <v>37</v>
      </c>
      <c r="AL11" s="184"/>
      <c r="AM11" s="19" t="s">
        <v>271</v>
      </c>
      <c r="AN11" s="19" t="s">
        <v>224</v>
      </c>
      <c r="AO11" s="3206" t="s">
        <v>38</v>
      </c>
      <c r="AP11" s="3207"/>
      <c r="AQ11" s="401"/>
      <c r="AR11" s="18" t="s">
        <v>275</v>
      </c>
      <c r="AS11" s="18" t="s">
        <v>227</v>
      </c>
      <c r="AT11" s="18" t="s">
        <v>123</v>
      </c>
      <c r="AU11" s="18" t="s">
        <v>122</v>
      </c>
      <c r="AV11" s="18" t="s">
        <v>42</v>
      </c>
      <c r="AW11" s="18" t="s">
        <v>39</v>
      </c>
      <c r="AX11" s="21" t="s">
        <v>40</v>
      </c>
      <c r="AY11" s="21" t="s">
        <v>142</v>
      </c>
      <c r="AZ11" s="21" t="s">
        <v>143</v>
      </c>
      <c r="BA11" s="158" t="s">
        <v>144</v>
      </c>
      <c r="BB11" s="23"/>
      <c r="BC11" s="3"/>
      <c r="BD11" s="3"/>
      <c r="BG11" s="3"/>
      <c r="BH11" s="3"/>
      <c r="BI11" s="3"/>
    </row>
    <row r="12" spans="1:61" s="407" customFormat="1" x14ac:dyDescent="0.2">
      <c r="A12" s="5"/>
      <c r="B12" s="6"/>
      <c r="C12" s="417"/>
      <c r="D12" s="416"/>
      <c r="E12" s="355"/>
      <c r="F12" s="421" t="s">
        <v>240</v>
      </c>
      <c r="G12" s="421" t="s">
        <v>240</v>
      </c>
      <c r="H12" s="421" t="s">
        <v>240</v>
      </c>
      <c r="I12" s="422" t="s">
        <v>240</v>
      </c>
      <c r="J12" s="421" t="s">
        <v>240</v>
      </c>
      <c r="K12" s="421" t="s">
        <v>240</v>
      </c>
      <c r="L12" s="421" t="s">
        <v>240</v>
      </c>
      <c r="M12" s="422" t="s">
        <v>240</v>
      </c>
      <c r="N12" s="420" t="s">
        <v>240</v>
      </c>
      <c r="O12" s="421" t="s">
        <v>240</v>
      </c>
      <c r="P12" s="421" t="s">
        <v>240</v>
      </c>
      <c r="Q12" s="422" t="s">
        <v>240</v>
      </c>
      <c r="R12" s="420" t="s">
        <v>240</v>
      </c>
      <c r="S12" s="421" t="s">
        <v>240</v>
      </c>
      <c r="T12" s="421" t="s">
        <v>240</v>
      </c>
      <c r="U12" s="422" t="s">
        <v>240</v>
      </c>
      <c r="V12" s="420" t="s">
        <v>241</v>
      </c>
      <c r="W12" s="421" t="s">
        <v>241</v>
      </c>
      <c r="X12" s="421" t="s">
        <v>241</v>
      </c>
      <c r="Y12" s="422" t="s">
        <v>241</v>
      </c>
      <c r="Z12" s="13"/>
      <c r="AA12" s="13"/>
      <c r="AB12" s="13"/>
      <c r="AC12" s="159"/>
      <c r="AD12" s="13"/>
      <c r="AE12" s="13"/>
      <c r="AF12" s="13"/>
      <c r="AG12" s="13"/>
      <c r="AH12" s="184"/>
      <c r="AI12" s="159"/>
      <c r="AJ12" s="159"/>
      <c r="AK12" s="159"/>
      <c r="AL12" s="184"/>
      <c r="AM12" s="421" t="s">
        <v>240</v>
      </c>
      <c r="AN12" s="421" t="s">
        <v>240</v>
      </c>
      <c r="AO12" s="435"/>
      <c r="AP12" s="436"/>
      <c r="AQ12" s="415"/>
      <c r="AR12" s="420" t="s">
        <v>240</v>
      </c>
      <c r="AS12" s="420" t="s">
        <v>240</v>
      </c>
      <c r="AT12" s="420" t="s">
        <v>240</v>
      </c>
      <c r="AU12" s="420" t="s">
        <v>241</v>
      </c>
      <c r="AV12" s="420" t="s">
        <v>241</v>
      </c>
      <c r="AW12" s="420" t="s">
        <v>241</v>
      </c>
      <c r="AX12" s="423" t="s">
        <v>241</v>
      </c>
      <c r="AY12" s="184"/>
      <c r="AZ12" s="184"/>
      <c r="BA12" s="158"/>
      <c r="BB12" s="23"/>
      <c r="BC12" s="3"/>
      <c r="BD12" s="3"/>
      <c r="BG12" s="3"/>
      <c r="BH12" s="3"/>
      <c r="BI12" s="3"/>
    </row>
    <row r="13" spans="1:61" ht="12.75" customHeight="1" x14ac:dyDescent="0.2">
      <c r="A13" s="85" t="s">
        <v>59</v>
      </c>
      <c r="B13" s="7"/>
      <c r="C13" s="105"/>
      <c r="D13" s="107"/>
      <c r="E13" s="47"/>
      <c r="F13" s="483"/>
      <c r="G13" s="483"/>
      <c r="H13" s="483"/>
      <c r="I13" s="107"/>
      <c r="J13" s="483"/>
      <c r="K13" s="483"/>
      <c r="L13" s="483"/>
      <c r="M13" s="107"/>
      <c r="N13" s="91"/>
      <c r="O13" s="91"/>
      <c r="P13" s="91"/>
      <c r="Q13" s="107"/>
      <c r="R13" s="91"/>
      <c r="S13" s="91"/>
      <c r="T13" s="91"/>
      <c r="U13" s="107"/>
      <c r="V13" s="91"/>
      <c r="W13" s="91"/>
      <c r="X13" s="91"/>
      <c r="Y13" s="107"/>
      <c r="Z13" s="91"/>
      <c r="AA13" s="91"/>
      <c r="AB13" s="91"/>
      <c r="AC13" s="107"/>
      <c r="AD13" s="125"/>
      <c r="AE13" s="125"/>
      <c r="AF13" s="125"/>
      <c r="AG13" s="106"/>
      <c r="AH13" s="124"/>
      <c r="AI13" s="106"/>
      <c r="AJ13" s="106"/>
      <c r="AK13" s="106"/>
      <c r="AL13" s="47"/>
      <c r="AM13" s="91"/>
      <c r="AN13" s="91"/>
      <c r="AO13" s="370"/>
      <c r="AP13" s="384"/>
      <c r="AQ13" s="44"/>
      <c r="AR13" s="383"/>
      <c r="AS13" s="383"/>
      <c r="AT13" s="383"/>
      <c r="AU13" s="47"/>
      <c r="AV13" s="124"/>
      <c r="AW13" s="483"/>
      <c r="AX13" s="47"/>
      <c r="AY13" s="224"/>
      <c r="AZ13" s="224"/>
      <c r="BA13" s="312"/>
      <c r="BB13" s="23"/>
      <c r="BC13" s="3"/>
      <c r="BD13" s="3"/>
      <c r="BG13" s="3"/>
    </row>
    <row r="14" spans="1:61" ht="12.75" customHeight="1" x14ac:dyDescent="0.2">
      <c r="A14" s="85"/>
      <c r="B14" s="44" t="s">
        <v>186</v>
      </c>
      <c r="C14" s="168" t="e">
        <f>I14-M14</f>
        <v>#REF!</v>
      </c>
      <c r="D14" s="498" t="e">
        <f>IF(OR((C14/M14)&gt;3,(C14/M14)&lt;-3),"n.m.",(C14/M14))</f>
        <v>#REF!</v>
      </c>
      <c r="E14" s="47"/>
      <c r="F14" s="500" t="e">
        <f>+#REF!</f>
        <v>#REF!</v>
      </c>
      <c r="G14" s="500" t="e">
        <f>+#REF!</f>
        <v>#REF!</v>
      </c>
      <c r="H14" s="500" t="e">
        <f>+#REF!</f>
        <v>#REF!</v>
      </c>
      <c r="I14" s="501" t="e">
        <f>+#REF!</f>
        <v>#REF!</v>
      </c>
      <c r="J14" s="500" t="e">
        <f>+#REF!</f>
        <v>#REF!</v>
      </c>
      <c r="K14" s="500" t="e">
        <f>+#REF!</f>
        <v>#REF!</v>
      </c>
      <c r="L14" s="500" t="e">
        <f>+#REF!</f>
        <v>#REF!</v>
      </c>
      <c r="M14" s="501" t="e">
        <f>+#REF!</f>
        <v>#REF!</v>
      </c>
      <c r="N14" s="460">
        <v>18487</v>
      </c>
      <c r="O14" s="460" t="e">
        <f>#REF!</f>
        <v>#REF!</v>
      </c>
      <c r="P14" s="160" t="e">
        <f>#REF!</f>
        <v>#REF!</v>
      </c>
      <c r="Q14" s="164" t="e">
        <f>#REF!</f>
        <v>#REF!</v>
      </c>
      <c r="R14" s="160">
        <v>27712</v>
      </c>
      <c r="S14" s="160">
        <v>32618</v>
      </c>
      <c r="T14" s="160">
        <v>20083</v>
      </c>
      <c r="U14" s="164">
        <v>25806</v>
      </c>
      <c r="V14" s="160">
        <v>19380</v>
      </c>
      <c r="W14" s="160">
        <v>21984</v>
      </c>
      <c r="X14" s="160">
        <v>29595</v>
      </c>
      <c r="Y14" s="164">
        <v>26670</v>
      </c>
      <c r="Z14" s="160">
        <v>16696</v>
      </c>
      <c r="AA14" s="160">
        <v>16073</v>
      </c>
      <c r="AB14" s="160">
        <v>17456</v>
      </c>
      <c r="AC14" s="164">
        <v>24569</v>
      </c>
      <c r="AD14" s="160">
        <v>23292</v>
      </c>
      <c r="AE14" s="160">
        <v>22388</v>
      </c>
      <c r="AF14" s="160">
        <v>19827</v>
      </c>
      <c r="AG14" s="164">
        <v>25281</v>
      </c>
      <c r="AH14" s="129">
        <v>18686</v>
      </c>
      <c r="AI14" s="164">
        <v>17651</v>
      </c>
      <c r="AJ14" s="164">
        <v>17682</v>
      </c>
      <c r="AK14" s="164">
        <v>22625</v>
      </c>
      <c r="AL14" s="47"/>
      <c r="AM14" s="235" t="e">
        <f>SUM(K14:M14)</f>
        <v>#REF!</v>
      </c>
      <c r="AN14" s="235" t="e">
        <f>SUM(O14:Q14)</f>
        <v>#REF!</v>
      </c>
      <c r="AO14" s="180" t="e">
        <f>AR14-AS14</f>
        <v>#REF!</v>
      </c>
      <c r="AP14" s="498" t="e">
        <f>IF(OR((AO14/AS14)&gt;3,(AO14/AS14)&lt;-3),"n.m.",(AO14/AS14))</f>
        <v>#REF!</v>
      </c>
      <c r="AQ14" s="44"/>
      <c r="AR14" s="372" t="e">
        <f>SUM(J14:M14)</f>
        <v>#REF!</v>
      </c>
      <c r="AS14" s="372" t="e">
        <f>SUM(N14:Q14)</f>
        <v>#REF!</v>
      </c>
      <c r="AT14" s="372">
        <v>106219</v>
      </c>
      <c r="AU14" s="163">
        <v>97629</v>
      </c>
      <c r="AV14" s="499">
        <v>74794</v>
      </c>
      <c r="AW14" s="501">
        <v>90788</v>
      </c>
      <c r="AX14" s="164">
        <v>76644</v>
      </c>
      <c r="AY14" s="37">
        <v>18692</v>
      </c>
      <c r="AZ14" s="37">
        <v>0</v>
      </c>
      <c r="BA14" s="37">
        <v>0</v>
      </c>
      <c r="BB14" s="3"/>
      <c r="BC14" s="3"/>
      <c r="BD14" s="3"/>
      <c r="BG14" s="3"/>
    </row>
    <row r="15" spans="1:61" ht="12.75" customHeight="1" x14ac:dyDescent="0.2">
      <c r="A15" s="85"/>
      <c r="B15" s="482" t="s">
        <v>304</v>
      </c>
      <c r="C15" s="168" t="e">
        <f>I15-M15</f>
        <v>#REF!</v>
      </c>
      <c r="D15" s="27" t="e">
        <f>IF(OR((C15/M15)&gt;3,(C15/M15)&lt;-3),"n.m.",(C15/M15))</f>
        <v>#REF!</v>
      </c>
      <c r="E15" s="47"/>
      <c r="F15" s="500" t="e">
        <f>+#REF!</f>
        <v>#REF!</v>
      </c>
      <c r="G15" s="500" t="e">
        <f>+#REF!</f>
        <v>#REF!</v>
      </c>
      <c r="H15" s="500" t="e">
        <f>+#REF!</f>
        <v>#REF!</v>
      </c>
      <c r="I15" s="501" t="e">
        <f>+#REF!</f>
        <v>#REF!</v>
      </c>
      <c r="J15" s="500" t="e">
        <f>+#REF!</f>
        <v>#REF!</v>
      </c>
      <c r="K15" s="500" t="e">
        <f>+#REF!</f>
        <v>#REF!</v>
      </c>
      <c r="L15" s="500" t="e">
        <f>+#REF!</f>
        <v>#REF!</v>
      </c>
      <c r="M15" s="501" t="e">
        <f>+#REF!</f>
        <v>#REF!</v>
      </c>
      <c r="N15" s="460" t="e">
        <f>#REF!</f>
        <v>#REF!</v>
      </c>
      <c r="O15" s="460" t="e">
        <f>#REF!</f>
        <v>#REF!</v>
      </c>
      <c r="P15" s="160" t="e">
        <f>#REF!</f>
        <v>#REF!</v>
      </c>
      <c r="Q15" s="164" t="e">
        <f>#REF!</f>
        <v>#REF!</v>
      </c>
      <c r="R15" s="160">
        <v>1486</v>
      </c>
      <c r="S15" s="160">
        <v>1555</v>
      </c>
      <c r="T15" s="160">
        <v>1010</v>
      </c>
      <c r="U15" s="164">
        <v>900</v>
      </c>
      <c r="V15" s="160">
        <v>904</v>
      </c>
      <c r="W15" s="160">
        <v>833</v>
      </c>
      <c r="X15" s="160">
        <v>542</v>
      </c>
      <c r="Y15" s="164">
        <v>509</v>
      </c>
      <c r="Z15" s="160">
        <v>516</v>
      </c>
      <c r="AA15" s="160">
        <v>460</v>
      </c>
      <c r="AB15" s="160">
        <v>828</v>
      </c>
      <c r="AC15" s="164">
        <v>1052</v>
      </c>
      <c r="AD15" s="160">
        <v>777</v>
      </c>
      <c r="AE15" s="160">
        <v>719</v>
      </c>
      <c r="AF15" s="160">
        <v>827</v>
      </c>
      <c r="AG15" s="164">
        <v>1093</v>
      </c>
      <c r="AH15" s="129">
        <v>1149</v>
      </c>
      <c r="AI15" s="164">
        <v>924</v>
      </c>
      <c r="AJ15" s="164">
        <v>666</v>
      </c>
      <c r="AK15" s="164">
        <v>1290</v>
      </c>
      <c r="AL15" s="47"/>
      <c r="AM15" s="235" t="e">
        <f>SUM(K15:M15)</f>
        <v>#REF!</v>
      </c>
      <c r="AN15" s="235" t="e">
        <f>SUM(O15:Q15)</f>
        <v>#REF!</v>
      </c>
      <c r="AO15" s="180" t="e">
        <f>AR15-AS15</f>
        <v>#REF!</v>
      </c>
      <c r="AP15" s="27" t="e">
        <f>AO15/AS15</f>
        <v>#REF!</v>
      </c>
      <c r="AQ15" s="44"/>
      <c r="AR15" s="372" t="e">
        <f>SUM(J15:M15)</f>
        <v>#REF!</v>
      </c>
      <c r="AS15" s="372" t="e">
        <f>SUM(N15:Q15)</f>
        <v>#REF!</v>
      </c>
      <c r="AT15" s="372">
        <v>4951</v>
      </c>
      <c r="AU15" s="163">
        <v>2788</v>
      </c>
      <c r="AV15" s="499">
        <v>2856</v>
      </c>
      <c r="AW15" s="501">
        <v>3416</v>
      </c>
      <c r="AX15" s="164">
        <v>4029</v>
      </c>
      <c r="AY15" s="37">
        <v>1269</v>
      </c>
      <c r="AZ15" s="37">
        <v>0</v>
      </c>
      <c r="BA15" s="37">
        <v>0</v>
      </c>
      <c r="BB15" s="3"/>
      <c r="BC15" s="3"/>
      <c r="BD15" s="3"/>
      <c r="BG15" s="3"/>
    </row>
    <row r="16" spans="1:61" ht="12.75" hidden="1" customHeight="1" x14ac:dyDescent="0.2">
      <c r="A16" s="6"/>
      <c r="B16" s="44" t="s">
        <v>92</v>
      </c>
      <c r="C16" s="168">
        <f>I16-M16</f>
        <v>0</v>
      </c>
      <c r="D16" s="27" t="e">
        <f>IF(OR((C16/M16)&gt;3,(C16/M16)&lt;-3),"n.m.",(C16/M16))</f>
        <v>#DIV/0!</v>
      </c>
      <c r="E16" s="350"/>
      <c r="F16" s="500"/>
      <c r="G16" s="500"/>
      <c r="H16" s="500"/>
      <c r="I16" s="501"/>
      <c r="J16" s="500"/>
      <c r="K16" s="500"/>
      <c r="L16" s="500"/>
      <c r="M16" s="501"/>
      <c r="N16" s="460"/>
      <c r="O16" s="460"/>
      <c r="P16" s="160"/>
      <c r="Q16" s="164"/>
      <c r="R16" s="160"/>
      <c r="S16" s="160"/>
      <c r="T16" s="160"/>
      <c r="U16" s="164"/>
      <c r="V16" s="160"/>
      <c r="W16" s="160"/>
      <c r="X16" s="160"/>
      <c r="Y16" s="164"/>
      <c r="Z16" s="160">
        <v>10</v>
      </c>
      <c r="AA16" s="160">
        <v>53</v>
      </c>
      <c r="AB16" s="160">
        <v>25</v>
      </c>
      <c r="AC16" s="164">
        <v>20</v>
      </c>
      <c r="AD16" s="160">
        <v>27</v>
      </c>
      <c r="AE16" s="160">
        <v>28</v>
      </c>
      <c r="AF16" s="160">
        <v>83</v>
      </c>
      <c r="AG16" s="164">
        <v>48</v>
      </c>
      <c r="AH16" s="129">
        <v>81</v>
      </c>
      <c r="AI16" s="164">
        <v>38</v>
      </c>
      <c r="AJ16" s="164">
        <v>397</v>
      </c>
      <c r="AK16" s="164">
        <v>70</v>
      </c>
      <c r="AL16" s="131"/>
      <c r="AM16" s="169"/>
      <c r="AN16" s="169"/>
      <c r="AO16" s="180">
        <f>AR16-AS16</f>
        <v>0</v>
      </c>
      <c r="AP16" s="27" t="e">
        <f>AO16/AS16</f>
        <v>#DIV/0!</v>
      </c>
      <c r="AQ16" s="171"/>
      <c r="AR16" s="372"/>
      <c r="AS16" s="372"/>
      <c r="AT16" s="372">
        <v>0</v>
      </c>
      <c r="AU16" s="163">
        <v>0</v>
      </c>
      <c r="AV16" s="499">
        <v>108</v>
      </c>
      <c r="AW16" s="501">
        <v>186</v>
      </c>
      <c r="AX16" s="164">
        <v>586</v>
      </c>
      <c r="AY16" s="37">
        <v>75</v>
      </c>
      <c r="AZ16" s="37">
        <v>0</v>
      </c>
      <c r="BA16" s="37">
        <v>0</v>
      </c>
      <c r="BB16" s="3"/>
      <c r="BC16" s="3"/>
      <c r="BD16" s="3"/>
      <c r="BG16" s="3"/>
    </row>
    <row r="17" spans="1:59" ht="12.75" customHeight="1" x14ac:dyDescent="0.2">
      <c r="A17" s="7"/>
      <c r="B17" s="6"/>
      <c r="C17" s="172" t="e">
        <f>I17-M17</f>
        <v>#REF!</v>
      </c>
      <c r="D17" s="111" t="e">
        <f>IF(OR((C17/M17)&gt;3,(C17/M17)&lt;-3),"n.m.",(C17/M17))</f>
        <v>#REF!</v>
      </c>
      <c r="E17" s="350"/>
      <c r="F17" s="174" t="e">
        <f t="shared" ref="F17:M17" si="0">SUM(F14:F16)</f>
        <v>#REF!</v>
      </c>
      <c r="G17" s="174" t="e">
        <f t="shared" si="0"/>
        <v>#REF!</v>
      </c>
      <c r="H17" s="174" t="e">
        <f t="shared" si="0"/>
        <v>#REF!</v>
      </c>
      <c r="I17" s="175" t="e">
        <f t="shared" si="0"/>
        <v>#REF!</v>
      </c>
      <c r="J17" s="174" t="e">
        <f t="shared" si="0"/>
        <v>#REF!</v>
      </c>
      <c r="K17" s="174" t="e">
        <f t="shared" si="0"/>
        <v>#REF!</v>
      </c>
      <c r="L17" s="174" t="e">
        <f t="shared" si="0"/>
        <v>#REF!</v>
      </c>
      <c r="M17" s="175" t="e">
        <f t="shared" si="0"/>
        <v>#REF!</v>
      </c>
      <c r="N17" s="174" t="e">
        <f>SUM(N14:N15)</f>
        <v>#REF!</v>
      </c>
      <c r="O17" s="174" t="e">
        <f t="shared" ref="O17:U17" si="1">SUM(O14:O16)</f>
        <v>#REF!</v>
      </c>
      <c r="P17" s="174" t="e">
        <f t="shared" si="1"/>
        <v>#REF!</v>
      </c>
      <c r="Q17" s="175" t="e">
        <f t="shared" si="1"/>
        <v>#REF!</v>
      </c>
      <c r="R17" s="174">
        <f t="shared" si="1"/>
        <v>29198</v>
      </c>
      <c r="S17" s="174">
        <f t="shared" si="1"/>
        <v>34173</v>
      </c>
      <c r="T17" s="174">
        <f t="shared" si="1"/>
        <v>21093</v>
      </c>
      <c r="U17" s="175">
        <f t="shared" si="1"/>
        <v>26706</v>
      </c>
      <c r="V17" s="174">
        <v>20284</v>
      </c>
      <c r="W17" s="174">
        <v>22817</v>
      </c>
      <c r="X17" s="174">
        <v>30137</v>
      </c>
      <c r="Y17" s="175">
        <v>27179</v>
      </c>
      <c r="Z17" s="174">
        <v>17212</v>
      </c>
      <c r="AA17" s="174">
        <v>16533</v>
      </c>
      <c r="AB17" s="174">
        <v>18284</v>
      </c>
      <c r="AC17" s="174">
        <v>25621</v>
      </c>
      <c r="AD17" s="173">
        <v>24069</v>
      </c>
      <c r="AE17" s="174">
        <v>23107</v>
      </c>
      <c r="AF17" s="174">
        <v>20654</v>
      </c>
      <c r="AG17" s="174">
        <v>26374</v>
      </c>
      <c r="AH17" s="173">
        <v>19835</v>
      </c>
      <c r="AI17" s="175">
        <v>18613</v>
      </c>
      <c r="AJ17" s="175">
        <v>18745</v>
      </c>
      <c r="AK17" s="175">
        <v>23985</v>
      </c>
      <c r="AL17" s="131"/>
      <c r="AM17" s="174" t="e">
        <f>SUM(AM14:AM16)</f>
        <v>#REF!</v>
      </c>
      <c r="AN17" s="174" t="e">
        <f>SUM(AN14:AN16)</f>
        <v>#REF!</v>
      </c>
      <c r="AO17" s="174" t="e">
        <f>AR17-AS17</f>
        <v>#REF!</v>
      </c>
      <c r="AP17" s="111" t="e">
        <f>AO17/AS17</f>
        <v>#REF!</v>
      </c>
      <c r="AQ17" s="171"/>
      <c r="AR17" s="374" t="e">
        <f>SUM(AR14:AR15)</f>
        <v>#REF!</v>
      </c>
      <c r="AS17" s="374" t="e">
        <f>SUM(AS14:AS15)</f>
        <v>#REF!</v>
      </c>
      <c r="AT17" s="374">
        <v>111170</v>
      </c>
      <c r="AU17" s="173">
        <v>100417</v>
      </c>
      <c r="AV17" s="130">
        <v>77650</v>
      </c>
      <c r="AW17" s="174">
        <v>94204</v>
      </c>
      <c r="AX17" s="173">
        <v>80673</v>
      </c>
      <c r="AY17" s="130">
        <f>SUM(AY14:AY15)</f>
        <v>19961</v>
      </c>
      <c r="AZ17" s="219">
        <v>0</v>
      </c>
      <c r="BA17" s="219">
        <v>0</v>
      </c>
      <c r="BB17" s="23"/>
      <c r="BC17" s="3"/>
      <c r="BD17" s="3"/>
      <c r="BG17" s="3"/>
    </row>
    <row r="18" spans="1:59" ht="12.75" customHeight="1" x14ac:dyDescent="0.2">
      <c r="A18" s="85" t="s">
        <v>5</v>
      </c>
      <c r="B18" s="6"/>
      <c r="C18" s="168"/>
      <c r="D18" s="27"/>
      <c r="E18" s="350"/>
      <c r="F18" s="500"/>
      <c r="G18" s="500"/>
      <c r="H18" s="500"/>
      <c r="I18" s="501"/>
      <c r="J18" s="500"/>
      <c r="K18" s="500"/>
      <c r="L18" s="500"/>
      <c r="M18" s="501"/>
      <c r="N18" s="460"/>
      <c r="O18" s="460"/>
      <c r="P18" s="160"/>
      <c r="Q18" s="164"/>
      <c r="R18" s="160"/>
      <c r="S18" s="160"/>
      <c r="T18" s="160"/>
      <c r="U18" s="164"/>
      <c r="V18" s="160"/>
      <c r="W18" s="160"/>
      <c r="X18" s="160"/>
      <c r="Y18" s="164"/>
      <c r="Z18" s="160"/>
      <c r="AA18" s="160"/>
      <c r="AB18" s="160"/>
      <c r="AC18" s="164"/>
      <c r="AD18" s="160"/>
      <c r="AE18" s="160"/>
      <c r="AF18" s="160"/>
      <c r="AG18" s="164"/>
      <c r="AH18" s="129"/>
      <c r="AI18" s="164"/>
      <c r="AJ18" s="164"/>
      <c r="AK18" s="164"/>
      <c r="AL18" s="131"/>
      <c r="AM18" s="169"/>
      <c r="AN18" s="169"/>
      <c r="AO18" s="180"/>
      <c r="AP18" s="27"/>
      <c r="AQ18" s="171"/>
      <c r="AR18" s="372"/>
      <c r="AS18" s="372"/>
      <c r="AT18" s="372"/>
      <c r="AU18" s="163"/>
      <c r="AV18" s="499"/>
      <c r="AW18" s="501"/>
      <c r="AX18" s="164"/>
      <c r="AY18" s="37"/>
      <c r="AZ18" s="37"/>
      <c r="BA18" s="37"/>
      <c r="BB18" s="3"/>
      <c r="BC18" s="3"/>
      <c r="BD18" s="3"/>
      <c r="BG18" s="3"/>
    </row>
    <row r="19" spans="1:59" s="480" customFormat="1" ht="12.75" customHeight="1" x14ac:dyDescent="0.2">
      <c r="A19" s="408"/>
      <c r="B19" s="6" t="s">
        <v>292</v>
      </c>
      <c r="C19" s="168">
        <f t="shared" ref="C19:C39" si="2">I19-M19</f>
        <v>7177</v>
      </c>
      <c r="D19" s="498">
        <f t="shared" ref="D19:D30" si="3">IF(OR((C19/M19)&gt;3,(C19/M19)&lt;-3),"n.m.",(C19/M19))</f>
        <v>0.39081899368329343</v>
      </c>
      <c r="E19" s="497"/>
      <c r="F19" s="500"/>
      <c r="G19" s="500"/>
      <c r="H19" s="500"/>
      <c r="I19" s="501">
        <v>25541</v>
      </c>
      <c r="J19" s="500">
        <v>23698</v>
      </c>
      <c r="K19" s="500">
        <v>18976</v>
      </c>
      <c r="L19" s="500">
        <v>19839</v>
      </c>
      <c r="M19" s="501">
        <v>18364</v>
      </c>
      <c r="N19" s="500">
        <v>12319</v>
      </c>
      <c r="O19" s="500">
        <v>8587</v>
      </c>
      <c r="P19" s="500">
        <v>9084</v>
      </c>
      <c r="Q19" s="501">
        <v>13578</v>
      </c>
      <c r="R19" s="500">
        <v>15037</v>
      </c>
      <c r="S19" s="500">
        <v>18002</v>
      </c>
      <c r="T19" s="500">
        <v>10237</v>
      </c>
      <c r="U19" s="501"/>
      <c r="V19" s="500"/>
      <c r="W19" s="500"/>
      <c r="X19" s="500"/>
      <c r="Y19" s="501"/>
      <c r="Z19" s="500"/>
      <c r="AA19" s="500"/>
      <c r="AB19" s="500"/>
      <c r="AC19" s="501"/>
      <c r="AD19" s="500"/>
      <c r="AE19" s="500"/>
      <c r="AF19" s="500"/>
      <c r="AG19" s="501"/>
      <c r="AH19" s="499"/>
      <c r="AI19" s="501"/>
      <c r="AJ19" s="501"/>
      <c r="AK19" s="501"/>
      <c r="AL19" s="131"/>
      <c r="AM19" s="494">
        <f t="shared" ref="AM19:AM33" si="4">SUM(K19:M19)</f>
        <v>57179</v>
      </c>
      <c r="AN19" s="494">
        <f t="shared" ref="AN19:AN33" si="5">SUM(O19:Q19)</f>
        <v>31249</v>
      </c>
      <c r="AO19" s="180">
        <f t="shared" ref="AO19:AO35" si="6">AR19-AS19</f>
        <v>37309</v>
      </c>
      <c r="AP19" s="498">
        <f t="shared" ref="AP19:AP26" si="7">AO19/AS19</f>
        <v>0.85633951524054353</v>
      </c>
      <c r="AQ19" s="171"/>
      <c r="AR19" s="372">
        <f>SUM(J19:M19)</f>
        <v>80877</v>
      </c>
      <c r="AS19" s="372">
        <v>43568</v>
      </c>
      <c r="AT19" s="372">
        <v>56785</v>
      </c>
      <c r="AU19" s="490">
        <v>54488</v>
      </c>
      <c r="AV19" s="499">
        <v>35876</v>
      </c>
      <c r="AW19" s="501">
        <v>49543</v>
      </c>
      <c r="AX19" s="501"/>
      <c r="AY19" s="37"/>
      <c r="AZ19" s="37"/>
      <c r="BA19" s="37"/>
      <c r="BB19" s="481"/>
      <c r="BC19" s="481"/>
      <c r="BD19" s="481"/>
      <c r="BG19" s="481"/>
    </row>
    <row r="20" spans="1:59" s="480" customFormat="1" ht="12.75" customHeight="1" x14ac:dyDescent="0.2">
      <c r="A20" s="408"/>
      <c r="B20" s="6" t="s">
        <v>293</v>
      </c>
      <c r="C20" s="176">
        <f t="shared" si="2"/>
        <v>-79</v>
      </c>
      <c r="D20" s="92">
        <f t="shared" si="3"/>
        <v>-8.5405405405405407E-2</v>
      </c>
      <c r="E20" s="497"/>
      <c r="F20" s="166"/>
      <c r="G20" s="166"/>
      <c r="H20" s="166"/>
      <c r="I20" s="167">
        <v>846</v>
      </c>
      <c r="J20" s="166">
        <v>803</v>
      </c>
      <c r="K20" s="166">
        <v>207</v>
      </c>
      <c r="L20" s="166">
        <v>506</v>
      </c>
      <c r="M20" s="167">
        <v>925</v>
      </c>
      <c r="N20" s="166">
        <v>1237</v>
      </c>
      <c r="O20" s="166">
        <v>1164</v>
      </c>
      <c r="P20" s="166">
        <v>942</v>
      </c>
      <c r="Q20" s="167">
        <v>1100</v>
      </c>
      <c r="R20" s="166">
        <v>327</v>
      </c>
      <c r="S20" s="166">
        <v>390</v>
      </c>
      <c r="T20" s="166">
        <v>1291</v>
      </c>
      <c r="U20" s="501"/>
      <c r="V20" s="500"/>
      <c r="W20" s="500"/>
      <c r="X20" s="500"/>
      <c r="Y20" s="501"/>
      <c r="Z20" s="500"/>
      <c r="AA20" s="500"/>
      <c r="AB20" s="500"/>
      <c r="AC20" s="501"/>
      <c r="AD20" s="500"/>
      <c r="AE20" s="500"/>
      <c r="AF20" s="500"/>
      <c r="AG20" s="501"/>
      <c r="AH20" s="499"/>
      <c r="AI20" s="501"/>
      <c r="AJ20" s="501"/>
      <c r="AK20" s="501"/>
      <c r="AL20" s="131"/>
      <c r="AM20" s="243">
        <f t="shared" si="4"/>
        <v>1638</v>
      </c>
      <c r="AN20" s="243">
        <f t="shared" si="5"/>
        <v>3206</v>
      </c>
      <c r="AO20" s="240">
        <f t="shared" si="6"/>
        <v>-2002</v>
      </c>
      <c r="AP20" s="92">
        <f t="shared" si="7"/>
        <v>-0.45059644384424941</v>
      </c>
      <c r="AQ20" s="171"/>
      <c r="AR20" s="373">
        <f>SUM(J20:M20)</f>
        <v>2441</v>
      </c>
      <c r="AS20" s="373">
        <v>4443</v>
      </c>
      <c r="AT20" s="373">
        <v>2859</v>
      </c>
      <c r="AU20" s="165">
        <v>585</v>
      </c>
      <c r="AV20" s="134">
        <v>151</v>
      </c>
      <c r="AW20" s="167">
        <v>-803</v>
      </c>
      <c r="AX20" s="501"/>
      <c r="AY20" s="37"/>
      <c r="AZ20" s="37"/>
      <c r="BA20" s="37"/>
      <c r="BB20" s="481"/>
      <c r="BC20" s="481"/>
      <c r="BD20" s="481"/>
      <c r="BG20" s="481"/>
    </row>
    <row r="21" spans="1:59" ht="12.75" customHeight="1" x14ac:dyDescent="0.2">
      <c r="A21" s="7"/>
      <c r="B21" s="482" t="s">
        <v>211</v>
      </c>
      <c r="C21" s="168">
        <f t="shared" si="2"/>
        <v>7098</v>
      </c>
      <c r="D21" s="27">
        <f t="shared" si="3"/>
        <v>0.36798175125719323</v>
      </c>
      <c r="E21" s="350"/>
      <c r="F21" s="500">
        <f t="shared" ref="F21:K21" si="8">SUM(F19:F20)</f>
        <v>0</v>
      </c>
      <c r="G21" s="500">
        <f t="shared" si="8"/>
        <v>0</v>
      </c>
      <c r="H21" s="500">
        <f t="shared" si="8"/>
        <v>0</v>
      </c>
      <c r="I21" s="501">
        <f t="shared" si="8"/>
        <v>26387</v>
      </c>
      <c r="J21" s="500">
        <f t="shared" si="8"/>
        <v>24501</v>
      </c>
      <c r="K21" s="500">
        <f t="shared" si="8"/>
        <v>19183</v>
      </c>
      <c r="L21" s="500">
        <v>20345</v>
      </c>
      <c r="M21" s="501">
        <v>19289</v>
      </c>
      <c r="N21" s="460">
        <v>13556</v>
      </c>
      <c r="O21" s="460">
        <v>9751</v>
      </c>
      <c r="P21" s="160">
        <v>10026</v>
      </c>
      <c r="Q21" s="164">
        <v>14678</v>
      </c>
      <c r="R21" s="160">
        <v>15364</v>
      </c>
      <c r="S21" s="160">
        <v>18392</v>
      </c>
      <c r="T21" s="160">
        <v>11528</v>
      </c>
      <c r="U21" s="164">
        <v>14360</v>
      </c>
      <c r="V21" s="160">
        <v>11389</v>
      </c>
      <c r="W21" s="160">
        <v>13270</v>
      </c>
      <c r="X21" s="160">
        <v>16681</v>
      </c>
      <c r="Y21" s="164">
        <v>13733</v>
      </c>
      <c r="Z21" s="160">
        <v>8513</v>
      </c>
      <c r="AA21" s="160">
        <v>8108</v>
      </c>
      <c r="AB21" s="160">
        <v>8420</v>
      </c>
      <c r="AC21" s="164">
        <v>10986</v>
      </c>
      <c r="AD21" s="160">
        <v>14475</v>
      </c>
      <c r="AE21" s="160">
        <v>12378</v>
      </c>
      <c r="AF21" s="160">
        <v>9511</v>
      </c>
      <c r="AG21" s="164">
        <v>12376</v>
      </c>
      <c r="AH21" s="129">
        <v>10496</v>
      </c>
      <c r="AI21" s="164">
        <v>9820</v>
      </c>
      <c r="AJ21" s="164">
        <v>9342</v>
      </c>
      <c r="AK21" s="164">
        <v>12902</v>
      </c>
      <c r="AL21" s="131"/>
      <c r="AM21" s="235">
        <f t="shared" si="4"/>
        <v>58817</v>
      </c>
      <c r="AN21" s="235">
        <f t="shared" si="5"/>
        <v>34455</v>
      </c>
      <c r="AO21" s="180">
        <f t="shared" si="6"/>
        <v>35307</v>
      </c>
      <c r="AP21" s="27">
        <f t="shared" si="7"/>
        <v>0.73539397221470082</v>
      </c>
      <c r="AQ21" s="171"/>
      <c r="AR21" s="372">
        <f>SUM(AR19:AR20)</f>
        <v>83318</v>
      </c>
      <c r="AS21" s="372">
        <f t="shared" ref="AS21:AS33" si="9">SUM(N21:Q21)</f>
        <v>48011</v>
      </c>
      <c r="AT21" s="372">
        <f>SUM(R21:U21)</f>
        <v>59644</v>
      </c>
      <c r="AU21" s="163">
        <v>55073</v>
      </c>
      <c r="AV21" s="499">
        <v>36027</v>
      </c>
      <c r="AW21" s="501">
        <v>48740</v>
      </c>
      <c r="AX21" s="164">
        <v>42560</v>
      </c>
      <c r="AY21" s="37">
        <v>9134</v>
      </c>
      <c r="AZ21" s="37">
        <v>0</v>
      </c>
      <c r="BA21" s="37">
        <v>0</v>
      </c>
      <c r="BB21" s="3"/>
      <c r="BC21" s="3"/>
      <c r="BD21" s="3"/>
      <c r="BG21" s="3"/>
    </row>
    <row r="22" spans="1:59" ht="12.75" customHeight="1" x14ac:dyDescent="0.2">
      <c r="A22" s="7"/>
      <c r="B22" s="44" t="s">
        <v>64</v>
      </c>
      <c r="C22" s="168">
        <f t="shared" si="2"/>
        <v>-186</v>
      </c>
      <c r="D22" s="27">
        <f t="shared" si="3"/>
        <v>-7.2542901716068642E-2</v>
      </c>
      <c r="E22" s="350"/>
      <c r="F22" s="500"/>
      <c r="G22" s="500"/>
      <c r="H22" s="500"/>
      <c r="I22" s="501">
        <v>2378</v>
      </c>
      <c r="J22" s="500">
        <v>3061</v>
      </c>
      <c r="K22" s="500">
        <v>2093</v>
      </c>
      <c r="L22" s="500">
        <v>2346</v>
      </c>
      <c r="M22" s="501">
        <v>2564</v>
      </c>
      <c r="N22" s="460">
        <v>1303</v>
      </c>
      <c r="O22" s="460">
        <f>1457-408</f>
        <v>1049</v>
      </c>
      <c r="P22" s="160">
        <v>1128</v>
      </c>
      <c r="Q22" s="164">
        <v>1092</v>
      </c>
      <c r="R22" s="160">
        <v>1169</v>
      </c>
      <c r="S22" s="160">
        <v>1250</v>
      </c>
      <c r="T22" s="160">
        <v>1315</v>
      </c>
      <c r="U22" s="164">
        <v>1187</v>
      </c>
      <c r="V22" s="160">
        <v>952</v>
      </c>
      <c r="W22" s="160">
        <v>1190</v>
      </c>
      <c r="X22" s="160">
        <v>1119</v>
      </c>
      <c r="Y22" s="164">
        <v>1085</v>
      </c>
      <c r="Z22" s="160">
        <v>1198</v>
      </c>
      <c r="AA22" s="160">
        <v>1224</v>
      </c>
      <c r="AB22" s="160">
        <v>1226</v>
      </c>
      <c r="AC22" s="164">
        <v>1513</v>
      </c>
      <c r="AD22" s="160">
        <v>980</v>
      </c>
      <c r="AE22" s="160">
        <v>1018</v>
      </c>
      <c r="AF22" s="160">
        <v>1257</v>
      </c>
      <c r="AG22" s="164">
        <v>1228</v>
      </c>
      <c r="AH22" s="129">
        <v>1329</v>
      </c>
      <c r="AI22" s="164">
        <v>1212</v>
      </c>
      <c r="AJ22" s="164">
        <v>815</v>
      </c>
      <c r="AK22" s="164">
        <v>1754</v>
      </c>
      <c r="AL22" s="131"/>
      <c r="AM22" s="235">
        <f t="shared" si="4"/>
        <v>7003</v>
      </c>
      <c r="AN22" s="235">
        <f t="shared" si="5"/>
        <v>3269</v>
      </c>
      <c r="AO22" s="180">
        <f t="shared" si="6"/>
        <v>5492</v>
      </c>
      <c r="AP22" s="27">
        <f t="shared" si="7"/>
        <v>1.2012248468941382</v>
      </c>
      <c r="AQ22" s="169"/>
      <c r="AR22" s="372">
        <f t="shared" ref="AR22:AR33" si="10">SUM(J22:M22)</f>
        <v>10064</v>
      </c>
      <c r="AS22" s="372">
        <f t="shared" si="9"/>
        <v>4572</v>
      </c>
      <c r="AT22" s="372">
        <f t="shared" ref="AT22:AT30" si="11">SUM(R22:U22)</f>
        <v>4921</v>
      </c>
      <c r="AU22" s="163">
        <v>4346</v>
      </c>
      <c r="AV22" s="499">
        <v>5161</v>
      </c>
      <c r="AW22" s="501">
        <v>4483</v>
      </c>
      <c r="AX22" s="164">
        <v>5110</v>
      </c>
      <c r="AY22" s="37">
        <v>1613</v>
      </c>
      <c r="AZ22" s="37">
        <v>0</v>
      </c>
      <c r="BA22" s="37">
        <v>0</v>
      </c>
      <c r="BB22" s="3"/>
      <c r="BC22" s="3"/>
      <c r="BD22" s="3"/>
      <c r="BG22" s="3"/>
    </row>
    <row r="23" spans="1:59" ht="12.75" hidden="1" customHeight="1" x14ac:dyDescent="0.2">
      <c r="A23" s="7"/>
      <c r="B23" s="6" t="s">
        <v>195</v>
      </c>
      <c r="C23" s="168">
        <f t="shared" si="2"/>
        <v>0</v>
      </c>
      <c r="D23" s="27" t="e">
        <f t="shared" si="3"/>
        <v>#DIV/0!</v>
      </c>
      <c r="E23" s="350"/>
      <c r="F23" s="507"/>
      <c r="G23" s="507"/>
      <c r="H23" s="507"/>
      <c r="I23" s="26"/>
      <c r="J23" s="507"/>
      <c r="K23" s="507"/>
      <c r="L23" s="507"/>
      <c r="M23" s="26"/>
      <c r="N23" s="28"/>
      <c r="O23" s="28"/>
      <c r="P23" s="28"/>
      <c r="Q23" s="26"/>
      <c r="R23" s="28"/>
      <c r="S23" s="28"/>
      <c r="T23" s="28"/>
      <c r="U23" s="26"/>
      <c r="V23" s="28">
        <v>0</v>
      </c>
      <c r="W23" s="28">
        <v>0</v>
      </c>
      <c r="X23" s="28">
        <v>0</v>
      </c>
      <c r="Y23" s="26">
        <v>0</v>
      </c>
      <c r="Z23" s="28">
        <v>0</v>
      </c>
      <c r="AA23" s="28">
        <v>0</v>
      </c>
      <c r="AB23" s="28">
        <v>0</v>
      </c>
      <c r="AC23" s="26">
        <v>0</v>
      </c>
      <c r="AD23" s="160"/>
      <c r="AE23" s="160"/>
      <c r="AF23" s="160"/>
      <c r="AG23" s="164"/>
      <c r="AH23" s="129"/>
      <c r="AI23" s="164"/>
      <c r="AJ23" s="164"/>
      <c r="AK23" s="164"/>
      <c r="AL23" s="131"/>
      <c r="AM23" s="235">
        <f t="shared" si="4"/>
        <v>0</v>
      </c>
      <c r="AN23" s="235">
        <f t="shared" si="5"/>
        <v>0</v>
      </c>
      <c r="AO23" s="180">
        <f t="shared" si="6"/>
        <v>0</v>
      </c>
      <c r="AP23" s="27" t="e">
        <f t="shared" si="7"/>
        <v>#DIV/0!</v>
      </c>
      <c r="AQ23" s="169"/>
      <c r="AR23" s="372">
        <f t="shared" si="10"/>
        <v>0</v>
      </c>
      <c r="AS23" s="372">
        <f t="shared" si="9"/>
        <v>0</v>
      </c>
      <c r="AT23" s="372">
        <f t="shared" si="11"/>
        <v>0</v>
      </c>
      <c r="AU23" s="37">
        <v>0</v>
      </c>
      <c r="AV23" s="37">
        <v>0</v>
      </c>
      <c r="AW23" s="26">
        <v>0</v>
      </c>
      <c r="AX23" s="37">
        <v>0</v>
      </c>
      <c r="AY23" s="37">
        <v>0</v>
      </c>
      <c r="AZ23" s="37"/>
      <c r="BA23" s="37"/>
      <c r="BB23" s="3"/>
      <c r="BC23" s="3"/>
      <c r="BD23" s="3"/>
      <c r="BG23" s="3"/>
    </row>
    <row r="24" spans="1:59" ht="12.75" customHeight="1" x14ac:dyDescent="0.2">
      <c r="A24" s="7"/>
      <c r="B24" s="44" t="s">
        <v>93</v>
      </c>
      <c r="C24" s="168">
        <f t="shared" si="2"/>
        <v>159</v>
      </c>
      <c r="D24" s="498">
        <f t="shared" si="3"/>
        <v>2.7642559109874825E-2</v>
      </c>
      <c r="E24" s="350"/>
      <c r="F24" s="500"/>
      <c r="G24" s="500"/>
      <c r="H24" s="500"/>
      <c r="I24" s="501">
        <v>5911</v>
      </c>
      <c r="J24" s="500">
        <v>4004</v>
      </c>
      <c r="K24" s="500">
        <v>3742</v>
      </c>
      <c r="L24" s="500">
        <v>4472</v>
      </c>
      <c r="M24" s="501">
        <v>5752</v>
      </c>
      <c r="N24" s="460">
        <v>583</v>
      </c>
      <c r="O24" s="460">
        <v>1133</v>
      </c>
      <c r="P24" s="160">
        <v>1609</v>
      </c>
      <c r="Q24" s="164">
        <v>1135</v>
      </c>
      <c r="R24" s="160">
        <v>1024</v>
      </c>
      <c r="S24" s="160">
        <v>963</v>
      </c>
      <c r="T24" s="160">
        <v>1025</v>
      </c>
      <c r="U24" s="164">
        <v>1102</v>
      </c>
      <c r="V24" s="160">
        <v>1490</v>
      </c>
      <c r="W24" s="160">
        <v>1581</v>
      </c>
      <c r="X24" s="160">
        <v>1493</v>
      </c>
      <c r="Y24" s="164">
        <v>2002</v>
      </c>
      <c r="Z24" s="160">
        <v>1887</v>
      </c>
      <c r="AA24" s="160">
        <v>1909</v>
      </c>
      <c r="AB24" s="160">
        <v>2613</v>
      </c>
      <c r="AC24" s="164">
        <v>2363</v>
      </c>
      <c r="AD24" s="160">
        <v>1899</v>
      </c>
      <c r="AE24" s="160">
        <v>2030</v>
      </c>
      <c r="AF24" s="160">
        <v>2443</v>
      </c>
      <c r="AG24" s="164">
        <v>2277</v>
      </c>
      <c r="AH24" s="129">
        <v>2198</v>
      </c>
      <c r="AI24" s="164">
        <v>2557</v>
      </c>
      <c r="AJ24" s="164">
        <v>1957</v>
      </c>
      <c r="AK24" s="164">
        <v>2280</v>
      </c>
      <c r="AL24" s="131"/>
      <c r="AM24" s="235">
        <f t="shared" si="4"/>
        <v>13966</v>
      </c>
      <c r="AN24" s="235">
        <f t="shared" si="5"/>
        <v>3877</v>
      </c>
      <c r="AO24" s="180">
        <f t="shared" si="6"/>
        <v>13510</v>
      </c>
      <c r="AP24" s="27">
        <f t="shared" si="7"/>
        <v>3.0291479820627805</v>
      </c>
      <c r="AQ24" s="171"/>
      <c r="AR24" s="372">
        <f t="shared" si="10"/>
        <v>17970</v>
      </c>
      <c r="AS24" s="372">
        <f t="shared" si="9"/>
        <v>4460</v>
      </c>
      <c r="AT24" s="372">
        <f t="shared" si="11"/>
        <v>4114</v>
      </c>
      <c r="AU24" s="163">
        <v>6566</v>
      </c>
      <c r="AV24" s="499">
        <v>8772</v>
      </c>
      <c r="AW24" s="501">
        <v>8649</v>
      </c>
      <c r="AX24" s="164">
        <v>8992</v>
      </c>
      <c r="AY24" s="37">
        <v>2026</v>
      </c>
      <c r="AZ24" s="37">
        <v>0</v>
      </c>
      <c r="BA24" s="37">
        <v>0</v>
      </c>
      <c r="BB24" s="3"/>
      <c r="BC24" s="3"/>
      <c r="BD24" s="3"/>
      <c r="BG24" s="3"/>
    </row>
    <row r="25" spans="1:59" ht="12.75" customHeight="1" x14ac:dyDescent="0.2">
      <c r="A25" s="7"/>
      <c r="B25" s="44" t="s">
        <v>66</v>
      </c>
      <c r="C25" s="168">
        <f t="shared" si="2"/>
        <v>-294</v>
      </c>
      <c r="D25" s="27">
        <f t="shared" si="3"/>
        <v>-0.12991604065399912</v>
      </c>
      <c r="E25" s="350"/>
      <c r="F25" s="500"/>
      <c r="G25" s="500"/>
      <c r="H25" s="500"/>
      <c r="I25" s="501">
        <v>1969</v>
      </c>
      <c r="J25" s="500">
        <v>1846</v>
      </c>
      <c r="K25" s="500">
        <v>1927</v>
      </c>
      <c r="L25" s="500">
        <v>2385</v>
      </c>
      <c r="M25" s="501">
        <v>2263</v>
      </c>
      <c r="N25" s="460">
        <v>1345</v>
      </c>
      <c r="O25" s="460">
        <v>1204</v>
      </c>
      <c r="P25" s="160">
        <v>1323</v>
      </c>
      <c r="Q25" s="164">
        <v>1159</v>
      </c>
      <c r="R25" s="160">
        <v>1182</v>
      </c>
      <c r="S25" s="160">
        <v>1109</v>
      </c>
      <c r="T25" s="160">
        <v>1096</v>
      </c>
      <c r="U25" s="164">
        <v>1064</v>
      </c>
      <c r="V25" s="160">
        <v>1151</v>
      </c>
      <c r="W25" s="160">
        <v>1134</v>
      </c>
      <c r="X25" s="160">
        <v>1299</v>
      </c>
      <c r="Y25" s="164">
        <v>1228</v>
      </c>
      <c r="Z25" s="160">
        <v>1402</v>
      </c>
      <c r="AA25" s="160">
        <v>1383</v>
      </c>
      <c r="AB25" s="160">
        <v>1259</v>
      </c>
      <c r="AC25" s="164">
        <v>1097</v>
      </c>
      <c r="AD25" s="160">
        <v>1274</v>
      </c>
      <c r="AE25" s="160">
        <v>1255</v>
      </c>
      <c r="AF25" s="160">
        <v>1169</v>
      </c>
      <c r="AG25" s="164">
        <v>1269</v>
      </c>
      <c r="AH25" s="129">
        <v>1500</v>
      </c>
      <c r="AI25" s="164">
        <v>907</v>
      </c>
      <c r="AJ25" s="164">
        <v>929</v>
      </c>
      <c r="AK25" s="164">
        <v>908</v>
      </c>
      <c r="AL25" s="131"/>
      <c r="AM25" s="235">
        <f t="shared" si="4"/>
        <v>6575</v>
      </c>
      <c r="AN25" s="235">
        <f t="shared" si="5"/>
        <v>3686</v>
      </c>
      <c r="AO25" s="180">
        <f t="shared" si="6"/>
        <v>3390</v>
      </c>
      <c r="AP25" s="27">
        <f t="shared" si="7"/>
        <v>0.67382230172927848</v>
      </c>
      <c r="AQ25" s="171"/>
      <c r="AR25" s="372">
        <f t="shared" si="10"/>
        <v>8421</v>
      </c>
      <c r="AS25" s="372">
        <f t="shared" si="9"/>
        <v>5031</v>
      </c>
      <c r="AT25" s="372">
        <f t="shared" si="11"/>
        <v>4451</v>
      </c>
      <c r="AU25" s="163">
        <v>4812</v>
      </c>
      <c r="AV25" s="499">
        <v>5141</v>
      </c>
      <c r="AW25" s="501">
        <v>4967</v>
      </c>
      <c r="AX25" s="164">
        <v>4244</v>
      </c>
      <c r="AY25" s="37">
        <v>1003</v>
      </c>
      <c r="AZ25" s="37">
        <v>0</v>
      </c>
      <c r="BA25" s="37">
        <v>0</v>
      </c>
      <c r="BB25" s="3"/>
      <c r="BC25" s="3"/>
      <c r="BD25" s="3"/>
      <c r="BG25" s="3"/>
    </row>
    <row r="26" spans="1:59" ht="12.75" customHeight="1" x14ac:dyDescent="0.2">
      <c r="A26" s="7"/>
      <c r="B26" s="44" t="s">
        <v>67</v>
      </c>
      <c r="C26" s="168">
        <f t="shared" si="2"/>
        <v>-852</v>
      </c>
      <c r="D26" s="27">
        <f t="shared" si="3"/>
        <v>-0.25014679976512039</v>
      </c>
      <c r="E26" s="350"/>
      <c r="F26" s="500"/>
      <c r="G26" s="500"/>
      <c r="H26" s="500"/>
      <c r="I26" s="501">
        <v>2554</v>
      </c>
      <c r="J26" s="500">
        <v>2531</v>
      </c>
      <c r="K26" s="500">
        <v>3293</v>
      </c>
      <c r="L26" s="500">
        <v>3084</v>
      </c>
      <c r="M26" s="501">
        <v>3406</v>
      </c>
      <c r="N26" s="460">
        <v>1588</v>
      </c>
      <c r="O26" s="460">
        <v>1370</v>
      </c>
      <c r="P26" s="160">
        <v>1346</v>
      </c>
      <c r="Q26" s="164">
        <v>1266</v>
      </c>
      <c r="R26" s="160">
        <v>1248</v>
      </c>
      <c r="S26" s="160">
        <v>1372</v>
      </c>
      <c r="T26" s="160">
        <v>1428</v>
      </c>
      <c r="U26" s="164">
        <v>1425</v>
      </c>
      <c r="V26" s="160">
        <v>1242</v>
      </c>
      <c r="W26" s="160">
        <v>1344</v>
      </c>
      <c r="X26" s="160">
        <v>1220</v>
      </c>
      <c r="Y26" s="164">
        <v>1202</v>
      </c>
      <c r="Z26" s="160">
        <v>1431</v>
      </c>
      <c r="AA26" s="160">
        <v>1735</v>
      </c>
      <c r="AB26" s="160">
        <v>1172</v>
      </c>
      <c r="AC26" s="164">
        <v>723</v>
      </c>
      <c r="AD26" s="160">
        <v>771</v>
      </c>
      <c r="AE26" s="160">
        <v>615</v>
      </c>
      <c r="AF26" s="160">
        <v>571</v>
      </c>
      <c r="AG26" s="164">
        <v>619</v>
      </c>
      <c r="AH26" s="129">
        <v>605</v>
      </c>
      <c r="AI26" s="164">
        <v>585</v>
      </c>
      <c r="AJ26" s="164">
        <v>494</v>
      </c>
      <c r="AK26" s="164">
        <v>600</v>
      </c>
      <c r="AL26" s="131"/>
      <c r="AM26" s="235">
        <f t="shared" si="4"/>
        <v>9783</v>
      </c>
      <c r="AN26" s="235">
        <f t="shared" si="5"/>
        <v>3982</v>
      </c>
      <c r="AO26" s="180">
        <f t="shared" si="6"/>
        <v>6744</v>
      </c>
      <c r="AP26" s="27">
        <f t="shared" si="7"/>
        <v>1.2107719928186715</v>
      </c>
      <c r="AQ26" s="171"/>
      <c r="AR26" s="372">
        <f>SUM(J26:M26)</f>
        <v>12314</v>
      </c>
      <c r="AS26" s="372">
        <f t="shared" si="9"/>
        <v>5570</v>
      </c>
      <c r="AT26" s="372">
        <f t="shared" si="11"/>
        <v>5473</v>
      </c>
      <c r="AU26" s="163">
        <v>5008</v>
      </c>
      <c r="AV26" s="499">
        <v>5061</v>
      </c>
      <c r="AW26" s="501">
        <v>2576</v>
      </c>
      <c r="AX26" s="164">
        <v>2284</v>
      </c>
      <c r="AY26" s="37">
        <v>496</v>
      </c>
      <c r="AZ26" s="37">
        <v>0</v>
      </c>
      <c r="BA26" s="37">
        <v>0</v>
      </c>
      <c r="BB26" s="3"/>
      <c r="BC26" s="3"/>
      <c r="BD26" s="3"/>
      <c r="BG26" s="3"/>
    </row>
    <row r="27" spans="1:59" ht="12.75" customHeight="1" x14ac:dyDescent="0.2">
      <c r="A27" s="7"/>
      <c r="B27" s="44" t="s">
        <v>62</v>
      </c>
      <c r="C27" s="168">
        <f t="shared" si="2"/>
        <v>675</v>
      </c>
      <c r="D27" s="498">
        <f t="shared" si="3"/>
        <v>1.1925795053003534</v>
      </c>
      <c r="E27" s="350"/>
      <c r="F27" s="500"/>
      <c r="G27" s="500"/>
      <c r="H27" s="500"/>
      <c r="I27" s="501">
        <v>1241</v>
      </c>
      <c r="J27" s="500">
        <v>397</v>
      </c>
      <c r="K27" s="500">
        <f>448-2</f>
        <v>446</v>
      </c>
      <c r="L27" s="500">
        <v>505</v>
      </c>
      <c r="M27" s="501">
        <v>566</v>
      </c>
      <c r="N27" s="460">
        <v>98</v>
      </c>
      <c r="O27" s="460">
        <v>66</v>
      </c>
      <c r="P27" s="160">
        <v>56</v>
      </c>
      <c r="Q27" s="164">
        <v>38</v>
      </c>
      <c r="R27" s="160">
        <v>40</v>
      </c>
      <c r="S27" s="160">
        <v>51</v>
      </c>
      <c r="T27" s="160">
        <v>31</v>
      </c>
      <c r="U27" s="164">
        <v>59</v>
      </c>
      <c r="V27" s="160">
        <v>429</v>
      </c>
      <c r="W27" s="160">
        <v>179</v>
      </c>
      <c r="X27" s="160">
        <v>200</v>
      </c>
      <c r="Y27" s="164">
        <v>1080</v>
      </c>
      <c r="Z27" s="160">
        <v>1120</v>
      </c>
      <c r="AA27" s="160">
        <v>884</v>
      </c>
      <c r="AB27" s="160">
        <v>584</v>
      </c>
      <c r="AC27" s="164">
        <v>486</v>
      </c>
      <c r="AD27" s="160">
        <v>474</v>
      </c>
      <c r="AE27" s="160">
        <v>456</v>
      </c>
      <c r="AF27" s="160">
        <v>479</v>
      </c>
      <c r="AG27" s="164">
        <v>321</v>
      </c>
      <c r="AH27" s="129">
        <v>139</v>
      </c>
      <c r="AI27" s="164">
        <v>102</v>
      </c>
      <c r="AJ27" s="164">
        <v>80</v>
      </c>
      <c r="AK27" s="164">
        <v>94</v>
      </c>
      <c r="AL27" s="131"/>
      <c r="AM27" s="235">
        <f t="shared" si="4"/>
        <v>1517</v>
      </c>
      <c r="AN27" s="235">
        <f t="shared" si="5"/>
        <v>160</v>
      </c>
      <c r="AO27" s="180">
        <f t="shared" si="6"/>
        <v>1656</v>
      </c>
      <c r="AP27" s="498" t="str">
        <f>IF(OR((AO27/AS27)&gt;3,(AO27/AS27)&lt;-3),"n.m.",(AO27/AS27))</f>
        <v>n.m.</v>
      </c>
      <c r="AQ27" s="171"/>
      <c r="AR27" s="372">
        <f t="shared" si="10"/>
        <v>1914</v>
      </c>
      <c r="AS27" s="372">
        <f t="shared" si="9"/>
        <v>258</v>
      </c>
      <c r="AT27" s="372">
        <f t="shared" si="11"/>
        <v>181</v>
      </c>
      <c r="AU27" s="163">
        <v>1888</v>
      </c>
      <c r="AV27" s="499">
        <v>3074</v>
      </c>
      <c r="AW27" s="501">
        <v>1730</v>
      </c>
      <c r="AX27" s="164">
        <v>415</v>
      </c>
      <c r="AY27" s="37">
        <v>89</v>
      </c>
      <c r="AZ27" s="37">
        <v>0</v>
      </c>
      <c r="BA27" s="37">
        <v>0</v>
      </c>
      <c r="BB27" s="3"/>
      <c r="BC27" s="3"/>
      <c r="BD27" s="3"/>
      <c r="BG27" s="3"/>
    </row>
    <row r="28" spans="1:59" ht="12.75" customHeight="1" x14ac:dyDescent="0.2">
      <c r="A28" s="7"/>
      <c r="B28" s="44" t="s">
        <v>90</v>
      </c>
      <c r="C28" s="168">
        <f t="shared" si="2"/>
        <v>-369</v>
      </c>
      <c r="D28" s="27">
        <f t="shared" si="3"/>
        <v>-7.5383043922369761E-2</v>
      </c>
      <c r="E28" s="350"/>
      <c r="F28" s="500"/>
      <c r="G28" s="500"/>
      <c r="H28" s="500"/>
      <c r="I28" s="501">
        <v>4526</v>
      </c>
      <c r="J28" s="500">
        <v>4140</v>
      </c>
      <c r="K28" s="500">
        <v>4280</v>
      </c>
      <c r="L28" s="500">
        <v>4005</v>
      </c>
      <c r="M28" s="501">
        <v>4895</v>
      </c>
      <c r="N28" s="460">
        <v>3536</v>
      </c>
      <c r="O28" s="460">
        <v>3132</v>
      </c>
      <c r="P28" s="160">
        <v>3311</v>
      </c>
      <c r="Q28" s="164">
        <v>3098</v>
      </c>
      <c r="R28" s="160">
        <v>2771</v>
      </c>
      <c r="S28" s="160">
        <v>3144</v>
      </c>
      <c r="T28" s="160">
        <v>2704</v>
      </c>
      <c r="U28" s="164">
        <v>2959</v>
      </c>
      <c r="V28" s="160">
        <v>1586</v>
      </c>
      <c r="W28" s="160">
        <v>2341</v>
      </c>
      <c r="X28" s="160">
        <v>2368</v>
      </c>
      <c r="Y28" s="164">
        <v>2597</v>
      </c>
      <c r="Z28" s="160">
        <v>2329</v>
      </c>
      <c r="AA28" s="160">
        <v>2527</v>
      </c>
      <c r="AB28" s="160">
        <v>3913</v>
      </c>
      <c r="AC28" s="164">
        <v>3848</v>
      </c>
      <c r="AD28" s="160">
        <v>3196</v>
      </c>
      <c r="AE28" s="160">
        <v>2461</v>
      </c>
      <c r="AF28" s="160">
        <v>3688</v>
      </c>
      <c r="AG28" s="164">
        <v>3089</v>
      </c>
      <c r="AH28" s="129">
        <v>3359</v>
      </c>
      <c r="AI28" s="164">
        <v>2751</v>
      </c>
      <c r="AJ28" s="164">
        <v>2734</v>
      </c>
      <c r="AK28" s="164">
        <v>2277</v>
      </c>
      <c r="AL28" s="131"/>
      <c r="AM28" s="235">
        <f t="shared" si="4"/>
        <v>13180</v>
      </c>
      <c r="AN28" s="235">
        <f t="shared" si="5"/>
        <v>9541</v>
      </c>
      <c r="AO28" s="180">
        <f t="shared" si="6"/>
        <v>4243</v>
      </c>
      <c r="AP28" s="498">
        <f>IF(OR((AO28/AS28)&gt;3,(AO28/AS28)&lt;-3),"n.m.",(AO28/AS28))</f>
        <v>0.32446279727766308</v>
      </c>
      <c r="AQ28" s="171"/>
      <c r="AR28" s="372">
        <f t="shared" si="10"/>
        <v>17320</v>
      </c>
      <c r="AS28" s="372">
        <f t="shared" si="9"/>
        <v>13077</v>
      </c>
      <c r="AT28" s="372">
        <f t="shared" si="11"/>
        <v>11578</v>
      </c>
      <c r="AU28" s="163">
        <v>8892</v>
      </c>
      <c r="AV28" s="499">
        <v>12617</v>
      </c>
      <c r="AW28" s="501">
        <v>12434</v>
      </c>
      <c r="AX28" s="164">
        <v>11121</v>
      </c>
      <c r="AY28" s="37">
        <v>1787</v>
      </c>
      <c r="AZ28" s="37">
        <v>0</v>
      </c>
      <c r="BA28" s="37">
        <v>0</v>
      </c>
      <c r="BB28" s="3"/>
      <c r="BC28" s="3"/>
      <c r="BD28" s="3"/>
      <c r="BG28" s="3"/>
    </row>
    <row r="29" spans="1:59" ht="12.75" customHeight="1" x14ac:dyDescent="0.2">
      <c r="A29" s="7"/>
      <c r="B29" s="44" t="s">
        <v>69</v>
      </c>
      <c r="C29" s="168">
        <f t="shared" si="2"/>
        <v>-180</v>
      </c>
      <c r="D29" s="27">
        <f t="shared" si="3"/>
        <v>-0.40723981900452488</v>
      </c>
      <c r="E29" s="350"/>
      <c r="F29" s="500"/>
      <c r="G29" s="500"/>
      <c r="H29" s="500"/>
      <c r="I29" s="501">
        <v>262</v>
      </c>
      <c r="J29" s="500">
        <v>201</v>
      </c>
      <c r="K29" s="500">
        <v>213</v>
      </c>
      <c r="L29" s="500">
        <v>406</v>
      </c>
      <c r="M29" s="501">
        <v>442</v>
      </c>
      <c r="N29" s="460">
        <v>552</v>
      </c>
      <c r="O29" s="460">
        <v>320</v>
      </c>
      <c r="P29" s="160">
        <v>313</v>
      </c>
      <c r="Q29" s="164">
        <v>243</v>
      </c>
      <c r="R29" s="160">
        <v>201</v>
      </c>
      <c r="S29" s="160">
        <v>258</v>
      </c>
      <c r="T29" s="160">
        <v>276</v>
      </c>
      <c r="U29" s="164">
        <v>262</v>
      </c>
      <c r="V29" s="160">
        <v>279</v>
      </c>
      <c r="W29" s="160">
        <v>287</v>
      </c>
      <c r="X29" s="160">
        <v>277</v>
      </c>
      <c r="Y29" s="164">
        <v>281</v>
      </c>
      <c r="Z29" s="160">
        <v>298</v>
      </c>
      <c r="AA29" s="160">
        <v>295</v>
      </c>
      <c r="AB29" s="160">
        <v>259</v>
      </c>
      <c r="AC29" s="164">
        <v>246</v>
      </c>
      <c r="AD29" s="160">
        <v>298</v>
      </c>
      <c r="AE29" s="160">
        <v>296</v>
      </c>
      <c r="AF29" s="160">
        <v>280</v>
      </c>
      <c r="AG29" s="164">
        <v>232</v>
      </c>
      <c r="AH29" s="129">
        <v>180</v>
      </c>
      <c r="AI29" s="164">
        <v>199</v>
      </c>
      <c r="AJ29" s="164">
        <v>155</v>
      </c>
      <c r="AK29" s="164">
        <v>173</v>
      </c>
      <c r="AL29" s="131"/>
      <c r="AM29" s="235">
        <f t="shared" si="4"/>
        <v>1061</v>
      </c>
      <c r="AN29" s="235">
        <f t="shared" si="5"/>
        <v>876</v>
      </c>
      <c r="AO29" s="180">
        <f t="shared" si="6"/>
        <v>-166</v>
      </c>
      <c r="AP29" s="498">
        <f>IF(OR((AO29/AS29)&gt;3,(AO29/AS29)&lt;-3),"n.m.",(AO29/AS29))</f>
        <v>-0.11624649859943978</v>
      </c>
      <c r="AQ29" s="171"/>
      <c r="AR29" s="372">
        <f t="shared" si="10"/>
        <v>1262</v>
      </c>
      <c r="AS29" s="372">
        <f t="shared" si="9"/>
        <v>1428</v>
      </c>
      <c r="AT29" s="372">
        <f t="shared" si="11"/>
        <v>997</v>
      </c>
      <c r="AU29" s="163">
        <v>1124</v>
      </c>
      <c r="AV29" s="499">
        <v>1098</v>
      </c>
      <c r="AW29" s="501">
        <v>1106</v>
      </c>
      <c r="AX29" s="164">
        <v>707</v>
      </c>
      <c r="AY29" s="37">
        <v>178</v>
      </c>
      <c r="AZ29" s="37">
        <v>0</v>
      </c>
      <c r="BA29" s="37">
        <v>0</v>
      </c>
      <c r="BB29" s="3"/>
      <c r="BC29" s="3"/>
      <c r="BD29" s="3"/>
      <c r="BG29" s="3"/>
    </row>
    <row r="30" spans="1:59" ht="12.75" customHeight="1" x14ac:dyDescent="0.2">
      <c r="A30" s="7"/>
      <c r="B30" s="44" t="s">
        <v>70</v>
      </c>
      <c r="C30" s="168">
        <f t="shared" si="2"/>
        <v>-975</v>
      </c>
      <c r="D30" s="27">
        <f t="shared" si="3"/>
        <v>-0.5855855855855856</v>
      </c>
      <c r="E30" s="350"/>
      <c r="F30" s="500"/>
      <c r="G30" s="500"/>
      <c r="H30" s="500"/>
      <c r="I30" s="501">
        <v>690</v>
      </c>
      <c r="J30" s="500">
        <v>762</v>
      </c>
      <c r="K30" s="500">
        <v>1031</v>
      </c>
      <c r="L30" s="500">
        <v>1301</v>
      </c>
      <c r="M30" s="501">
        <v>1665</v>
      </c>
      <c r="N30" s="460">
        <v>1123</v>
      </c>
      <c r="O30" s="460">
        <v>1040</v>
      </c>
      <c r="P30" s="160">
        <v>1228</v>
      </c>
      <c r="Q30" s="164">
        <v>1193</v>
      </c>
      <c r="R30" s="160">
        <v>516</v>
      </c>
      <c r="S30" s="160">
        <v>1213</v>
      </c>
      <c r="T30" s="160">
        <v>1026</v>
      </c>
      <c r="U30" s="164">
        <v>301</v>
      </c>
      <c r="V30" s="160">
        <v>418</v>
      </c>
      <c r="W30" s="160">
        <v>899</v>
      </c>
      <c r="X30" s="160">
        <v>1030</v>
      </c>
      <c r="Y30" s="164">
        <v>1730</v>
      </c>
      <c r="Z30" s="160">
        <v>2204</v>
      </c>
      <c r="AA30" s="160">
        <v>3246</v>
      </c>
      <c r="AB30" s="160">
        <v>2719</v>
      </c>
      <c r="AC30" s="164">
        <v>3341</v>
      </c>
      <c r="AD30" s="160">
        <v>5333</v>
      </c>
      <c r="AE30" s="160">
        <v>3240</v>
      </c>
      <c r="AF30" s="160">
        <v>4438</v>
      </c>
      <c r="AG30" s="164">
        <v>3867</v>
      </c>
      <c r="AH30" s="129">
        <v>3233</v>
      </c>
      <c r="AI30" s="164">
        <v>2112</v>
      </c>
      <c r="AJ30" s="164">
        <v>2716</v>
      </c>
      <c r="AK30" s="164">
        <v>809</v>
      </c>
      <c r="AL30" s="131"/>
      <c r="AM30" s="235">
        <f t="shared" si="4"/>
        <v>3997</v>
      </c>
      <c r="AN30" s="235">
        <f t="shared" si="5"/>
        <v>3461</v>
      </c>
      <c r="AO30" s="180">
        <f t="shared" si="6"/>
        <v>175</v>
      </c>
      <c r="AP30" s="498">
        <f>IF(OR((AO30/AS30)&gt;3,(AO30/AS30)&lt;-3),"n.m.",(AO30/AS30))</f>
        <v>3.8176265270506111E-2</v>
      </c>
      <c r="AQ30" s="171"/>
      <c r="AR30" s="372">
        <f t="shared" si="10"/>
        <v>4759</v>
      </c>
      <c r="AS30" s="372">
        <f t="shared" si="9"/>
        <v>4584</v>
      </c>
      <c r="AT30" s="372">
        <f t="shared" si="11"/>
        <v>3056</v>
      </c>
      <c r="AU30" s="163">
        <v>4077</v>
      </c>
      <c r="AV30" s="499">
        <v>11510</v>
      </c>
      <c r="AW30" s="501">
        <v>16878</v>
      </c>
      <c r="AX30" s="164">
        <v>8870</v>
      </c>
      <c r="AY30" s="37">
        <v>554</v>
      </c>
      <c r="AZ30" s="37">
        <v>0</v>
      </c>
      <c r="BA30" s="37">
        <v>0</v>
      </c>
      <c r="BB30" s="3"/>
      <c r="BC30" s="3"/>
      <c r="BD30" s="3"/>
      <c r="BG30" s="3"/>
    </row>
    <row r="31" spans="1:59" ht="12.75" customHeight="1" x14ac:dyDescent="0.2">
      <c r="A31" s="7"/>
      <c r="B31" s="6" t="s">
        <v>164</v>
      </c>
      <c r="C31" s="168">
        <f t="shared" si="2"/>
        <v>0</v>
      </c>
      <c r="D31" s="26">
        <v>0</v>
      </c>
      <c r="E31" s="350"/>
      <c r="F31" s="507"/>
      <c r="G31" s="507"/>
      <c r="H31" s="507"/>
      <c r="I31" s="26">
        <v>0</v>
      </c>
      <c r="J31" s="507">
        <v>0</v>
      </c>
      <c r="K31" s="507">
        <v>2985</v>
      </c>
      <c r="L31" s="507">
        <v>3820</v>
      </c>
      <c r="M31" s="26">
        <v>0</v>
      </c>
      <c r="N31" s="28">
        <v>2758</v>
      </c>
      <c r="O31" s="28">
        <v>408</v>
      </c>
      <c r="P31" s="28">
        <v>0</v>
      </c>
      <c r="Q31" s="26">
        <v>0</v>
      </c>
      <c r="R31" s="28">
        <v>0</v>
      </c>
      <c r="S31" s="28">
        <v>0</v>
      </c>
      <c r="T31" s="28">
        <v>0</v>
      </c>
      <c r="U31" s="26">
        <v>0</v>
      </c>
      <c r="V31" s="28">
        <v>0</v>
      </c>
      <c r="W31" s="28">
        <v>0</v>
      </c>
      <c r="X31" s="28">
        <v>0</v>
      </c>
      <c r="Y31" s="26">
        <v>0</v>
      </c>
      <c r="Z31" s="100">
        <v>0</v>
      </c>
      <c r="AA31" s="160">
        <v>3623</v>
      </c>
      <c r="AB31" s="100">
        <v>0</v>
      </c>
      <c r="AC31" s="101">
        <v>0</v>
      </c>
      <c r="AD31" s="100">
        <v>0</v>
      </c>
      <c r="AE31" s="100">
        <v>0</v>
      </c>
      <c r="AF31" s="100">
        <v>0</v>
      </c>
      <c r="AG31" s="101">
        <v>0</v>
      </c>
      <c r="AH31" s="102">
        <v>0</v>
      </c>
      <c r="AI31" s="101">
        <v>0</v>
      </c>
      <c r="AJ31" s="164"/>
      <c r="AK31" s="164"/>
      <c r="AL31" s="131"/>
      <c r="AM31" s="28">
        <f t="shared" si="4"/>
        <v>6805</v>
      </c>
      <c r="AN31" s="28">
        <f t="shared" si="5"/>
        <v>408</v>
      </c>
      <c r="AO31" s="180">
        <f t="shared" si="6"/>
        <v>3639</v>
      </c>
      <c r="AP31" s="498" t="s">
        <v>41</v>
      </c>
      <c r="AQ31" s="171"/>
      <c r="AR31" s="372">
        <f t="shared" si="10"/>
        <v>6805</v>
      </c>
      <c r="AS31" s="372">
        <f t="shared" si="9"/>
        <v>3166</v>
      </c>
      <c r="AT31" s="396">
        <v>0</v>
      </c>
      <c r="AU31" s="37">
        <v>0</v>
      </c>
      <c r="AV31" s="499">
        <v>3623</v>
      </c>
      <c r="AW31" s="26">
        <v>0</v>
      </c>
      <c r="AX31" s="37">
        <v>0</v>
      </c>
      <c r="AY31" s="37">
        <v>0</v>
      </c>
      <c r="AZ31" s="37">
        <v>0</v>
      </c>
      <c r="BA31" s="37">
        <v>0</v>
      </c>
      <c r="BB31" s="3"/>
      <c r="BC31" s="3"/>
      <c r="BD31" s="3"/>
      <c r="BG31" s="3"/>
    </row>
    <row r="32" spans="1:59" s="480" customFormat="1" ht="12.75" customHeight="1" x14ac:dyDescent="0.2">
      <c r="A32" s="7"/>
      <c r="B32" s="6" t="s">
        <v>185</v>
      </c>
      <c r="C32" s="168">
        <f t="shared" si="2"/>
        <v>0</v>
      </c>
      <c r="D32" s="26">
        <v>0</v>
      </c>
      <c r="E32" s="497"/>
      <c r="F32" s="507"/>
      <c r="G32" s="507"/>
      <c r="H32" s="507"/>
      <c r="I32" s="26">
        <v>0</v>
      </c>
      <c r="J32" s="507">
        <v>0</v>
      </c>
      <c r="K32" s="507">
        <v>0</v>
      </c>
      <c r="L32" s="507">
        <v>0</v>
      </c>
      <c r="M32" s="26">
        <v>0</v>
      </c>
      <c r="N32" s="507">
        <v>437</v>
      </c>
      <c r="O32" s="507">
        <v>0</v>
      </c>
      <c r="P32" s="507">
        <v>0</v>
      </c>
      <c r="Q32" s="26">
        <v>0</v>
      </c>
      <c r="R32" s="507">
        <v>0</v>
      </c>
      <c r="S32" s="507">
        <v>0</v>
      </c>
      <c r="T32" s="507">
        <v>0</v>
      </c>
      <c r="U32" s="26">
        <v>0</v>
      </c>
      <c r="V32" s="507">
        <v>0</v>
      </c>
      <c r="W32" s="507"/>
      <c r="X32" s="507"/>
      <c r="Y32" s="26"/>
      <c r="Z32" s="507"/>
      <c r="AA32" s="500"/>
      <c r="AB32" s="507"/>
      <c r="AC32" s="26"/>
      <c r="AD32" s="507"/>
      <c r="AE32" s="507"/>
      <c r="AF32" s="507"/>
      <c r="AG32" s="507"/>
      <c r="AH32" s="37"/>
      <c r="AI32" s="26"/>
      <c r="AJ32" s="501"/>
      <c r="AK32" s="501"/>
      <c r="AL32" s="131"/>
      <c r="AM32" s="507">
        <f t="shared" si="4"/>
        <v>0</v>
      </c>
      <c r="AN32" s="507">
        <f t="shared" si="5"/>
        <v>0</v>
      </c>
      <c r="AO32" s="180">
        <f t="shared" si="6"/>
        <v>-437</v>
      </c>
      <c r="AP32" s="498">
        <v>0</v>
      </c>
      <c r="AQ32" s="171"/>
      <c r="AR32" s="396">
        <f t="shared" si="10"/>
        <v>0</v>
      </c>
      <c r="AS32" s="372">
        <f t="shared" si="9"/>
        <v>437</v>
      </c>
      <c r="AT32" s="396">
        <v>0</v>
      </c>
      <c r="AU32" s="37">
        <v>0</v>
      </c>
      <c r="AV32" s="37">
        <v>0</v>
      </c>
      <c r="AW32" s="26">
        <v>0</v>
      </c>
      <c r="AX32" s="37"/>
      <c r="AY32" s="37"/>
      <c r="AZ32" s="37"/>
      <c r="BA32" s="37"/>
      <c r="BB32" s="481"/>
      <c r="BC32" s="481"/>
      <c r="BD32" s="481"/>
      <c r="BG32" s="481"/>
    </row>
    <row r="33" spans="1:59" ht="12.75" customHeight="1" x14ac:dyDescent="0.2">
      <c r="A33" s="7"/>
      <c r="B33" s="6" t="s">
        <v>162</v>
      </c>
      <c r="C33" s="168">
        <f t="shared" si="2"/>
        <v>0</v>
      </c>
      <c r="D33" s="26">
        <v>0</v>
      </c>
      <c r="E33" s="350"/>
      <c r="F33" s="100"/>
      <c r="G33" s="100"/>
      <c r="H33" s="100"/>
      <c r="I33" s="26">
        <v>0</v>
      </c>
      <c r="J33" s="100">
        <v>0</v>
      </c>
      <c r="K33" s="100">
        <v>0</v>
      </c>
      <c r="L33" s="100">
        <v>0</v>
      </c>
      <c r="M33" s="26">
        <v>0</v>
      </c>
      <c r="N33" s="28">
        <v>0</v>
      </c>
      <c r="O33" s="100">
        <v>0</v>
      </c>
      <c r="P33" s="100">
        <v>0</v>
      </c>
      <c r="Q33" s="26">
        <v>0</v>
      </c>
      <c r="R33" s="28">
        <v>0</v>
      </c>
      <c r="S33" s="100">
        <v>0</v>
      </c>
      <c r="T33" s="28">
        <v>0</v>
      </c>
      <c r="U33" s="26">
        <v>0</v>
      </c>
      <c r="V33" s="28">
        <v>0</v>
      </c>
      <c r="W33" s="28">
        <v>0</v>
      </c>
      <c r="X33" s="28">
        <v>0</v>
      </c>
      <c r="Y33" s="26">
        <v>0</v>
      </c>
      <c r="Z33" s="28">
        <v>0</v>
      </c>
      <c r="AA33" s="160">
        <v>27566</v>
      </c>
      <c r="AB33" s="28">
        <v>0</v>
      </c>
      <c r="AC33" s="26">
        <v>0</v>
      </c>
      <c r="AD33" s="28">
        <v>0</v>
      </c>
      <c r="AE33" s="28">
        <v>0</v>
      </c>
      <c r="AF33" s="28">
        <v>0</v>
      </c>
      <c r="AG33" s="28">
        <v>0</v>
      </c>
      <c r="AH33" s="37">
        <v>0</v>
      </c>
      <c r="AI33" s="26">
        <v>0</v>
      </c>
      <c r="AJ33" s="164"/>
      <c r="AK33" s="164"/>
      <c r="AL33" s="131"/>
      <c r="AM33" s="28">
        <f t="shared" si="4"/>
        <v>0</v>
      </c>
      <c r="AN33" s="100">
        <f t="shared" si="5"/>
        <v>0</v>
      </c>
      <c r="AO33" s="180">
        <f t="shared" si="6"/>
        <v>0</v>
      </c>
      <c r="AP33" s="348" t="s">
        <v>198</v>
      </c>
      <c r="AQ33" s="171"/>
      <c r="AR33" s="396">
        <f t="shared" si="10"/>
        <v>0</v>
      </c>
      <c r="AS33" s="396">
        <f t="shared" si="9"/>
        <v>0</v>
      </c>
      <c r="AT33" s="396">
        <v>0</v>
      </c>
      <c r="AU33" s="37">
        <v>0</v>
      </c>
      <c r="AV33" s="499">
        <v>27566</v>
      </c>
      <c r="AW33" s="26">
        <v>0</v>
      </c>
      <c r="AX33" s="37">
        <v>0</v>
      </c>
      <c r="AY33" s="37">
        <v>0</v>
      </c>
      <c r="AZ33" s="37">
        <v>0</v>
      </c>
      <c r="BA33" s="37">
        <v>0</v>
      </c>
      <c r="BB33" s="3"/>
      <c r="BC33" s="3"/>
      <c r="BD33" s="3"/>
      <c r="BG33" s="3"/>
    </row>
    <row r="34" spans="1:59" ht="12.75" customHeight="1" x14ac:dyDescent="0.2">
      <c r="A34" s="7"/>
      <c r="B34" s="6"/>
      <c r="C34" s="173">
        <f t="shared" si="2"/>
        <v>5076</v>
      </c>
      <c r="D34" s="111">
        <f>IF(OR((C34/M34)&gt;3,(C34/M34)&lt;-3),"n.m.",(C34/M34))</f>
        <v>0.12428382547377699</v>
      </c>
      <c r="E34" s="350"/>
      <c r="F34" s="161">
        <f t="shared" ref="F34:N34" si="12">SUM(F21:F33)</f>
        <v>0</v>
      </c>
      <c r="G34" s="161">
        <f t="shared" si="12"/>
        <v>0</v>
      </c>
      <c r="H34" s="161">
        <f t="shared" si="12"/>
        <v>0</v>
      </c>
      <c r="I34" s="175">
        <f t="shared" si="12"/>
        <v>45918</v>
      </c>
      <c r="J34" s="161">
        <f t="shared" si="12"/>
        <v>41443</v>
      </c>
      <c r="K34" s="161">
        <f t="shared" si="12"/>
        <v>39193</v>
      </c>
      <c r="L34" s="161">
        <f t="shared" si="12"/>
        <v>42669</v>
      </c>
      <c r="M34" s="175">
        <f t="shared" si="12"/>
        <v>40842</v>
      </c>
      <c r="N34" s="161">
        <f t="shared" si="12"/>
        <v>26879</v>
      </c>
      <c r="O34" s="161">
        <f>SUM(O24:O33,O21:O22)</f>
        <v>19473</v>
      </c>
      <c r="P34" s="161">
        <f t="shared" ref="P34:U34" si="13">SUM(P21:P33)</f>
        <v>20340</v>
      </c>
      <c r="Q34" s="175">
        <f t="shared" si="13"/>
        <v>23902</v>
      </c>
      <c r="R34" s="161">
        <f t="shared" si="13"/>
        <v>23515</v>
      </c>
      <c r="S34" s="161">
        <f t="shared" si="13"/>
        <v>27752</v>
      </c>
      <c r="T34" s="174">
        <f t="shared" si="13"/>
        <v>20429</v>
      </c>
      <c r="U34" s="175">
        <f t="shared" si="13"/>
        <v>22719</v>
      </c>
      <c r="V34" s="174">
        <v>18936</v>
      </c>
      <c r="W34" s="161">
        <v>22225</v>
      </c>
      <c r="X34" s="174">
        <v>25687</v>
      </c>
      <c r="Y34" s="175">
        <v>24938</v>
      </c>
      <c r="Z34" s="174">
        <v>20382</v>
      </c>
      <c r="AA34" s="161">
        <v>52500</v>
      </c>
      <c r="AB34" s="174">
        <v>22165</v>
      </c>
      <c r="AC34" s="175">
        <v>24603</v>
      </c>
      <c r="AD34" s="174">
        <v>28700</v>
      </c>
      <c r="AE34" s="161">
        <v>23749</v>
      </c>
      <c r="AF34" s="161">
        <v>23836</v>
      </c>
      <c r="AG34" s="175">
        <v>25278</v>
      </c>
      <c r="AH34" s="130">
        <v>23039</v>
      </c>
      <c r="AI34" s="175">
        <v>20245</v>
      </c>
      <c r="AJ34" s="175">
        <v>19222</v>
      </c>
      <c r="AK34" s="175">
        <v>21797</v>
      </c>
      <c r="AL34" s="131"/>
      <c r="AM34" s="174">
        <f>SUM(AM21:AM33)</f>
        <v>122704</v>
      </c>
      <c r="AN34" s="174">
        <f>SUM(AN21:AN33)</f>
        <v>63715</v>
      </c>
      <c r="AO34" s="174">
        <f t="shared" si="6"/>
        <v>73553</v>
      </c>
      <c r="AP34" s="111">
        <f>AO34/AS34</f>
        <v>0.8118970351237389</v>
      </c>
      <c r="AQ34" s="171"/>
      <c r="AR34" s="130">
        <f>SUM(AR21:AR33)</f>
        <v>164147</v>
      </c>
      <c r="AS34" s="130">
        <f>SUM(AS21:AS33)</f>
        <v>90594</v>
      </c>
      <c r="AT34" s="130">
        <f>SUM(AT21:AT33)</f>
        <v>94415</v>
      </c>
      <c r="AU34" s="130">
        <v>91786</v>
      </c>
      <c r="AV34" s="175">
        <v>119650</v>
      </c>
      <c r="AW34" s="175">
        <v>101563</v>
      </c>
      <c r="AX34" s="175">
        <v>84303</v>
      </c>
      <c r="AY34" s="219">
        <v>16880</v>
      </c>
      <c r="AZ34" s="219">
        <v>0</v>
      </c>
      <c r="BA34" s="219">
        <v>0</v>
      </c>
      <c r="BB34" s="3"/>
      <c r="BC34" s="3"/>
      <c r="BD34" s="3"/>
      <c r="BG34" s="3"/>
    </row>
    <row r="35" spans="1:59" s="480" customFormat="1" ht="12.75" customHeight="1" thickBot="1" x14ac:dyDescent="0.25">
      <c r="A35" s="3208" t="s">
        <v>326</v>
      </c>
      <c r="B35" s="3209"/>
      <c r="C35" s="177" t="e">
        <f t="shared" si="2"/>
        <v>#REF!</v>
      </c>
      <c r="D35" s="120" t="e">
        <f>-IF(OR((C35/M35)&gt;3,(C35/M35)&lt;-3),"n.m.",(C35/M35))</f>
        <v>#REF!</v>
      </c>
      <c r="E35" s="497"/>
      <c r="F35" s="178" t="e">
        <f t="shared" ref="F35:M35" si="14">+F17-F34</f>
        <v>#REF!</v>
      </c>
      <c r="G35" s="178" t="e">
        <f t="shared" si="14"/>
        <v>#REF!</v>
      </c>
      <c r="H35" s="178" t="e">
        <f t="shared" si="14"/>
        <v>#REF!</v>
      </c>
      <c r="I35" s="179" t="e">
        <f t="shared" si="14"/>
        <v>#REF!</v>
      </c>
      <c r="J35" s="178" t="e">
        <f t="shared" si="14"/>
        <v>#REF!</v>
      </c>
      <c r="K35" s="178" t="e">
        <f t="shared" si="14"/>
        <v>#REF!</v>
      </c>
      <c r="L35" s="178" t="e">
        <f t="shared" si="14"/>
        <v>#REF!</v>
      </c>
      <c r="M35" s="179" t="e">
        <f t="shared" si="14"/>
        <v>#REF!</v>
      </c>
      <c r="N35" s="178" t="e">
        <f>N17-N34</f>
        <v>#REF!</v>
      </c>
      <c r="O35" s="178" t="e">
        <f t="shared" ref="O35:U35" si="15">O17-O34</f>
        <v>#REF!</v>
      </c>
      <c r="P35" s="178" t="e">
        <f t="shared" si="15"/>
        <v>#REF!</v>
      </c>
      <c r="Q35" s="179" t="e">
        <f t="shared" si="15"/>
        <v>#REF!</v>
      </c>
      <c r="R35" s="178">
        <f t="shared" si="15"/>
        <v>5683</v>
      </c>
      <c r="S35" s="178">
        <f t="shared" si="15"/>
        <v>6421</v>
      </c>
      <c r="T35" s="178">
        <f t="shared" si="15"/>
        <v>664</v>
      </c>
      <c r="U35" s="179">
        <f t="shared" si="15"/>
        <v>3987</v>
      </c>
      <c r="V35" s="178">
        <v>1348</v>
      </c>
      <c r="W35" s="178">
        <v>592</v>
      </c>
      <c r="X35" s="178">
        <v>4450</v>
      </c>
      <c r="Y35" s="179">
        <v>2241</v>
      </c>
      <c r="Z35" s="178">
        <v>-3170</v>
      </c>
      <c r="AA35" s="178">
        <v>-35967</v>
      </c>
      <c r="AB35" s="178">
        <v>-3881</v>
      </c>
      <c r="AC35" s="179">
        <v>1018</v>
      </c>
      <c r="AD35" s="178">
        <v>-4631</v>
      </c>
      <c r="AE35" s="161"/>
      <c r="AF35" s="161"/>
      <c r="AG35" s="162"/>
      <c r="AH35" s="499"/>
      <c r="AI35" s="162"/>
      <c r="AJ35" s="162"/>
      <c r="AK35" s="162"/>
      <c r="AL35" s="131"/>
      <c r="AM35" s="453" t="e">
        <f>AM17-AM34</f>
        <v>#REF!</v>
      </c>
      <c r="AN35" s="239" t="e">
        <f>AN17-AN34</f>
        <v>#REF!</v>
      </c>
      <c r="AO35" s="239" t="e">
        <f t="shared" si="6"/>
        <v>#REF!</v>
      </c>
      <c r="AP35" s="120" t="e">
        <f>-IF(OR((AO35/AS35)&gt;3,(AO35/AS35)&lt;-3),"n.m.",(AO35/AS35))</f>
        <v>#REF!</v>
      </c>
      <c r="AQ35" s="171"/>
      <c r="AR35" s="242" t="e">
        <f>AR17-AR34</f>
        <v>#REF!</v>
      </c>
      <c r="AS35" s="242" t="e">
        <f>AS17-AS34</f>
        <v>#REF!</v>
      </c>
      <c r="AT35" s="242">
        <f>AT17-AT34</f>
        <v>16755</v>
      </c>
      <c r="AU35" s="136">
        <v>8631</v>
      </c>
      <c r="AV35" s="136">
        <v>-42000</v>
      </c>
      <c r="AW35" s="136">
        <v>-7359</v>
      </c>
      <c r="AX35" s="136">
        <v>-3630</v>
      </c>
      <c r="AY35" s="220">
        <f>AY17-AY34</f>
        <v>3081</v>
      </c>
      <c r="AZ35" s="220">
        <f>AZ17-AZ34</f>
        <v>0</v>
      </c>
      <c r="BA35" s="312"/>
      <c r="BB35" s="23"/>
      <c r="BC35" s="481"/>
      <c r="BD35" s="481"/>
      <c r="BG35" s="481"/>
    </row>
    <row r="36" spans="1:59" s="480" customFormat="1" ht="12.75" customHeight="1" thickTop="1" x14ac:dyDescent="0.2">
      <c r="A36" s="7"/>
      <c r="B36" s="275"/>
      <c r="C36" s="500"/>
      <c r="D36" s="498"/>
      <c r="E36" s="498"/>
      <c r="F36" s="500"/>
      <c r="G36" s="500"/>
      <c r="H36" s="500"/>
      <c r="I36" s="501"/>
      <c r="J36" s="500"/>
      <c r="K36" s="500"/>
      <c r="L36" s="500"/>
      <c r="M36" s="501"/>
      <c r="N36" s="500"/>
      <c r="O36" s="500"/>
      <c r="P36" s="500"/>
      <c r="Q36" s="501"/>
      <c r="R36" s="500"/>
      <c r="S36" s="500"/>
      <c r="T36" s="500"/>
      <c r="U36" s="501"/>
      <c r="V36" s="500"/>
      <c r="W36" s="500"/>
      <c r="X36" s="500"/>
      <c r="Y36" s="501"/>
      <c r="Z36" s="500"/>
      <c r="AA36" s="500"/>
      <c r="AB36" s="500"/>
      <c r="AC36" s="501"/>
      <c r="AD36" s="501"/>
      <c r="AE36" s="500"/>
      <c r="AF36" s="500"/>
      <c r="AG36" s="500"/>
      <c r="AH36" s="500"/>
      <c r="AI36" s="500"/>
      <c r="AJ36" s="500"/>
      <c r="AK36" s="500"/>
      <c r="AL36" s="329"/>
      <c r="AM36" s="169"/>
      <c r="AN36" s="169"/>
      <c r="AO36" s="180"/>
      <c r="AP36" s="498"/>
      <c r="AQ36" s="329"/>
      <c r="AR36" s="562"/>
      <c r="AS36" s="562"/>
      <c r="AT36" s="562"/>
      <c r="AU36" s="552"/>
      <c r="AV36" s="552"/>
      <c r="AW36" s="501"/>
      <c r="AX36" s="501"/>
      <c r="AY36" s="26"/>
      <c r="AZ36" s="26"/>
      <c r="BA36" s="99"/>
      <c r="BB36" s="481"/>
      <c r="BC36" s="481"/>
      <c r="BD36" s="481"/>
      <c r="BG36" s="481"/>
    </row>
    <row r="37" spans="1:59" s="480" customFormat="1" ht="12.75" hidden="1" customHeight="1" outlineLevel="1" x14ac:dyDescent="0.2">
      <c r="A37" s="7"/>
      <c r="B37" s="275" t="s">
        <v>329</v>
      </c>
      <c r="C37" s="168">
        <f t="shared" si="2"/>
        <v>831</v>
      </c>
      <c r="D37" s="498" t="s">
        <v>41</v>
      </c>
      <c r="E37" s="498"/>
      <c r="F37" s="500"/>
      <c r="G37" s="500"/>
      <c r="H37" s="500"/>
      <c r="I37" s="501">
        <f>+-'7 Canada'!I39</f>
        <v>831</v>
      </c>
      <c r="J37" s="525">
        <v>0</v>
      </c>
      <c r="K37" s="525">
        <v>0</v>
      </c>
      <c r="L37" s="525">
        <v>0</v>
      </c>
      <c r="M37" s="542">
        <v>0</v>
      </c>
      <c r="N37" s="525">
        <v>0</v>
      </c>
      <c r="O37" s="525">
        <v>0</v>
      </c>
      <c r="P37" s="525">
        <v>0</v>
      </c>
      <c r="Q37" s="542">
        <v>0</v>
      </c>
      <c r="R37" s="139"/>
      <c r="S37" s="139"/>
      <c r="T37" s="139"/>
      <c r="U37" s="143"/>
      <c r="V37" s="139"/>
      <c r="W37" s="139"/>
      <c r="X37" s="139"/>
      <c r="Y37" s="143"/>
      <c r="Z37" s="139"/>
      <c r="AA37" s="139"/>
      <c r="AB37" s="139"/>
      <c r="AC37" s="143"/>
      <c r="AD37" s="143"/>
      <c r="AE37" s="249"/>
      <c r="AF37" s="249"/>
      <c r="AG37" s="147"/>
      <c r="AH37" s="147"/>
      <c r="AI37" s="147"/>
      <c r="AJ37" s="147"/>
      <c r="AK37" s="147"/>
      <c r="AL37" s="107"/>
      <c r="AM37" s="483"/>
      <c r="AN37" s="483"/>
      <c r="AO37" s="507"/>
      <c r="AP37" s="498"/>
      <c r="AQ37" s="107"/>
      <c r="AR37" s="549">
        <v>0</v>
      </c>
      <c r="AS37" s="549">
        <v>0</v>
      </c>
      <c r="AT37" s="549">
        <v>0</v>
      </c>
      <c r="AU37" s="549">
        <v>0</v>
      </c>
      <c r="AV37" s="549">
        <v>0</v>
      </c>
      <c r="AW37" s="501">
        <v>960</v>
      </c>
      <c r="AX37" s="501">
        <v>-1614</v>
      </c>
      <c r="AY37" s="26">
        <v>1728</v>
      </c>
      <c r="AZ37" s="26">
        <v>0</v>
      </c>
      <c r="BA37" s="99"/>
      <c r="BB37" s="481"/>
      <c r="BC37" s="481"/>
      <c r="BD37" s="481"/>
      <c r="BG37" s="481"/>
    </row>
    <row r="38" spans="1:59" s="480" customFormat="1" ht="12.75" hidden="1" customHeight="1" outlineLevel="1" x14ac:dyDescent="0.2">
      <c r="A38" s="7"/>
      <c r="B38" s="275" t="s">
        <v>327</v>
      </c>
      <c r="C38" s="176">
        <f t="shared" si="2"/>
        <v>-98</v>
      </c>
      <c r="D38" s="92" t="s">
        <v>41</v>
      </c>
      <c r="E38" s="498"/>
      <c r="F38" s="500"/>
      <c r="G38" s="500"/>
      <c r="H38" s="500"/>
      <c r="I38" s="167">
        <v>-98</v>
      </c>
      <c r="J38" s="564">
        <v>0</v>
      </c>
      <c r="K38" s="564">
        <v>0</v>
      </c>
      <c r="L38" s="564">
        <v>0</v>
      </c>
      <c r="M38" s="565">
        <v>0</v>
      </c>
      <c r="N38" s="564">
        <v>0</v>
      </c>
      <c r="O38" s="564">
        <v>0</v>
      </c>
      <c r="P38" s="564">
        <v>0</v>
      </c>
      <c r="Q38" s="565">
        <v>0</v>
      </c>
      <c r="R38" s="139"/>
      <c r="S38" s="139"/>
      <c r="T38" s="139"/>
      <c r="U38" s="143"/>
      <c r="V38" s="139"/>
      <c r="W38" s="139"/>
      <c r="X38" s="139"/>
      <c r="Y38" s="143"/>
      <c r="Z38" s="139"/>
      <c r="AA38" s="139"/>
      <c r="AB38" s="139"/>
      <c r="AC38" s="143"/>
      <c r="AD38" s="139"/>
      <c r="AE38" s="139"/>
      <c r="AF38" s="139"/>
      <c r="AG38" s="139"/>
      <c r="AH38" s="139"/>
      <c r="AI38" s="139"/>
      <c r="AJ38" s="139"/>
      <c r="AK38" s="139"/>
      <c r="AL38" s="107"/>
      <c r="AM38" s="483"/>
      <c r="AN38" s="483"/>
      <c r="AO38" s="507"/>
      <c r="AP38" s="498"/>
      <c r="AQ38" s="483"/>
      <c r="AR38" s="566">
        <v>0</v>
      </c>
      <c r="AS38" s="566">
        <v>0</v>
      </c>
      <c r="AT38" s="566">
        <v>0</v>
      </c>
      <c r="AU38" s="566">
        <v>0</v>
      </c>
      <c r="AV38" s="566">
        <v>0</v>
      </c>
      <c r="AW38" s="501"/>
      <c r="AX38" s="501"/>
      <c r="AY38" s="26"/>
      <c r="AZ38" s="26"/>
      <c r="BA38" s="99"/>
      <c r="BB38" s="481"/>
      <c r="BC38" s="481"/>
      <c r="BD38" s="481"/>
      <c r="BG38" s="481"/>
    </row>
    <row r="39" spans="1:59" s="480" customFormat="1" ht="12.75" customHeight="1" collapsed="1" x14ac:dyDescent="0.2">
      <c r="A39" s="7"/>
      <c r="B39" s="6" t="s">
        <v>332</v>
      </c>
      <c r="C39" s="168">
        <f t="shared" si="2"/>
        <v>733</v>
      </c>
      <c r="D39" s="498" t="s">
        <v>41</v>
      </c>
      <c r="E39" s="498"/>
      <c r="F39" s="139"/>
      <c r="G39" s="139"/>
      <c r="H39" s="139"/>
      <c r="I39" s="143">
        <f>+I37+I38</f>
        <v>733</v>
      </c>
      <c r="J39" s="525">
        <v>0</v>
      </c>
      <c r="K39" s="525">
        <v>0</v>
      </c>
      <c r="L39" s="525">
        <v>0</v>
      </c>
      <c r="M39" s="542">
        <v>0</v>
      </c>
      <c r="N39" s="525">
        <v>0</v>
      </c>
      <c r="O39" s="525">
        <v>0</v>
      </c>
      <c r="P39" s="525">
        <v>0</v>
      </c>
      <c r="Q39" s="542">
        <v>0</v>
      </c>
      <c r="R39" s="139"/>
      <c r="S39" s="139"/>
      <c r="T39" s="139"/>
      <c r="U39" s="143"/>
      <c r="V39" s="139"/>
      <c r="W39" s="139"/>
      <c r="X39" s="139"/>
      <c r="Y39" s="143"/>
      <c r="Z39" s="139"/>
      <c r="AA39" s="139"/>
      <c r="AB39" s="139"/>
      <c r="AC39" s="143"/>
      <c r="AD39" s="143"/>
      <c r="AE39" s="249"/>
      <c r="AF39" s="249"/>
      <c r="AG39" s="147"/>
      <c r="AH39" s="147"/>
      <c r="AI39" s="147"/>
      <c r="AJ39" s="147"/>
      <c r="AK39" s="147"/>
      <c r="AL39" s="107"/>
      <c r="AM39" s="483"/>
      <c r="AN39" s="483"/>
      <c r="AO39" s="507"/>
      <c r="AP39" s="498"/>
      <c r="AQ39" s="107"/>
      <c r="AR39" s="549">
        <v>0</v>
      </c>
      <c r="AS39" s="549">
        <v>0</v>
      </c>
      <c r="AT39" s="549">
        <v>0</v>
      </c>
      <c r="AU39" s="549">
        <v>0</v>
      </c>
      <c r="AV39" s="549">
        <v>0</v>
      </c>
      <c r="AW39" s="501"/>
      <c r="AX39" s="501"/>
      <c r="AY39" s="507"/>
      <c r="AZ39" s="26"/>
      <c r="BA39" s="99"/>
      <c r="BB39" s="483"/>
      <c r="BC39" s="483"/>
      <c r="BG39" s="481"/>
    </row>
    <row r="40" spans="1:59" s="480" customFormat="1" ht="12.75" customHeight="1" x14ac:dyDescent="0.2">
      <c r="A40" s="7"/>
      <c r="B40" s="6"/>
      <c r="C40" s="490"/>
      <c r="D40" s="498"/>
      <c r="E40" s="497"/>
      <c r="F40" s="500"/>
      <c r="G40" s="500"/>
      <c r="H40" s="500"/>
      <c r="I40" s="501"/>
      <c r="J40" s="500"/>
      <c r="K40" s="500"/>
      <c r="L40" s="500"/>
      <c r="M40" s="501"/>
      <c r="N40" s="500"/>
      <c r="O40" s="500"/>
      <c r="P40" s="500"/>
      <c r="Q40" s="501"/>
      <c r="R40" s="500"/>
      <c r="S40" s="500"/>
      <c r="T40" s="500"/>
      <c r="U40" s="501"/>
      <c r="V40" s="500"/>
      <c r="W40" s="500"/>
      <c r="X40" s="500"/>
      <c r="Y40" s="501"/>
      <c r="Z40" s="500"/>
      <c r="AA40" s="166"/>
      <c r="AB40" s="166"/>
      <c r="AC40" s="167"/>
      <c r="AD40" s="500"/>
      <c r="AE40" s="500"/>
      <c r="AF40" s="500"/>
      <c r="AG40" s="501"/>
      <c r="AH40" s="499"/>
      <c r="AI40" s="501"/>
      <c r="AJ40" s="501"/>
      <c r="AK40" s="501"/>
      <c r="AL40" s="131"/>
      <c r="AM40" s="169"/>
      <c r="AN40" s="169"/>
      <c r="AO40" s="180"/>
      <c r="AP40" s="498"/>
      <c r="AQ40" s="171"/>
      <c r="AR40" s="190"/>
      <c r="AS40" s="190"/>
      <c r="AT40" s="190"/>
      <c r="AU40" s="134"/>
      <c r="AV40" s="134"/>
      <c r="AW40" s="499"/>
      <c r="AX40" s="499"/>
      <c r="AY40" s="37"/>
      <c r="AZ40" s="37"/>
      <c r="BA40" s="224"/>
      <c r="BB40" s="481"/>
      <c r="BC40" s="481"/>
      <c r="BD40" s="481"/>
      <c r="BG40" s="481"/>
    </row>
    <row r="41" spans="1:59" s="53" customFormat="1" ht="12.75" customHeight="1" thickBot="1" x14ac:dyDescent="0.25">
      <c r="A41" s="3208" t="s">
        <v>72</v>
      </c>
      <c r="B41" s="3209"/>
      <c r="C41" s="268" t="e">
        <f>I41-M41</f>
        <v>#REF!</v>
      </c>
      <c r="D41" s="120" t="e">
        <f>IF(OR((C41/M41)&gt;3,(C41/M41)&lt;-3),"n.m.",(C41/M41))</f>
        <v>#REF!</v>
      </c>
      <c r="E41" s="497"/>
      <c r="F41" s="178"/>
      <c r="G41" s="178"/>
      <c r="H41" s="178"/>
      <c r="I41" s="179" t="e">
        <f>+I35-I37-I38</f>
        <v>#REF!</v>
      </c>
      <c r="J41" s="178" t="e">
        <f t="shared" ref="J41:Q41" si="16">+J35-J37-J38</f>
        <v>#REF!</v>
      </c>
      <c r="K41" s="178" t="e">
        <f t="shared" si="16"/>
        <v>#REF!</v>
      </c>
      <c r="L41" s="178" t="e">
        <f t="shared" si="16"/>
        <v>#REF!</v>
      </c>
      <c r="M41" s="179" t="e">
        <f t="shared" si="16"/>
        <v>#REF!</v>
      </c>
      <c r="N41" s="178" t="e">
        <f t="shared" si="16"/>
        <v>#REF!</v>
      </c>
      <c r="O41" s="178" t="e">
        <f t="shared" si="16"/>
        <v>#REF!</v>
      </c>
      <c r="P41" s="178" t="e">
        <f t="shared" si="16"/>
        <v>#REF!</v>
      </c>
      <c r="Q41" s="179" t="e">
        <f t="shared" si="16"/>
        <v>#REF!</v>
      </c>
      <c r="R41" s="178"/>
      <c r="S41" s="178"/>
      <c r="T41" s="178"/>
      <c r="U41" s="179"/>
      <c r="V41" s="178">
        <v>1348</v>
      </c>
      <c r="W41" s="178">
        <v>592</v>
      </c>
      <c r="X41" s="178">
        <v>4517</v>
      </c>
      <c r="Y41" s="179">
        <v>2142</v>
      </c>
      <c r="Z41" s="178">
        <v>-3222</v>
      </c>
      <c r="AA41" s="274">
        <v>-35967</v>
      </c>
      <c r="AB41" s="274">
        <v>-3881</v>
      </c>
      <c r="AC41" s="276">
        <v>756</v>
      </c>
      <c r="AD41" s="178">
        <v>-4551</v>
      </c>
      <c r="AE41" s="178">
        <v>-642</v>
      </c>
      <c r="AF41" s="178">
        <v>-3182</v>
      </c>
      <c r="AG41" s="179">
        <v>1096</v>
      </c>
      <c r="AH41" s="136">
        <v>-3204</v>
      </c>
      <c r="AI41" s="179">
        <v>-1632</v>
      </c>
      <c r="AJ41" s="179">
        <v>-477</v>
      </c>
      <c r="AK41" s="179">
        <v>2188</v>
      </c>
      <c r="AL41" s="131"/>
      <c r="AM41" s="169"/>
      <c r="AN41" s="169"/>
      <c r="AO41" s="239">
        <v>8599</v>
      </c>
      <c r="AP41" s="120" t="e">
        <v>#DIV/0!</v>
      </c>
      <c r="AQ41" s="171"/>
      <c r="AR41" s="242" t="e">
        <f>+AR35-AR37-AR38</f>
        <v>#REF!</v>
      </c>
      <c r="AS41" s="242" t="e">
        <f>+AS35-AS37-AS38</f>
        <v>#REF!</v>
      </c>
      <c r="AT41" s="242">
        <f>+AT35-AT37-AT38</f>
        <v>16755</v>
      </c>
      <c r="AU41" s="136">
        <f>+AU35-AU37-AU38</f>
        <v>8631</v>
      </c>
      <c r="AV41" s="136">
        <f>+AV35-AV37-AV38</f>
        <v>-42000</v>
      </c>
      <c r="AW41" s="136">
        <v>-8319</v>
      </c>
      <c r="AX41" s="136">
        <v>-2016</v>
      </c>
      <c r="AY41" s="220">
        <f>AY35-AY37</f>
        <v>1353</v>
      </c>
      <c r="AZ41" s="220">
        <f>AZ35-AZ37</f>
        <v>0</v>
      </c>
      <c r="BA41" s="220">
        <v>0</v>
      </c>
      <c r="BB41" s="481"/>
      <c r="BC41" s="137"/>
      <c r="BD41" s="137"/>
      <c r="BG41" s="137"/>
    </row>
    <row r="42" spans="1:59" s="53" customFormat="1" ht="12.75" customHeight="1" thickTop="1" x14ac:dyDescent="0.2">
      <c r="A42" s="86"/>
      <c r="B42" s="85"/>
      <c r="C42" s="160"/>
      <c r="D42" s="35"/>
      <c r="E42" s="35"/>
      <c r="F42" s="500"/>
      <c r="G42" s="500"/>
      <c r="H42" s="500"/>
      <c r="I42" s="500"/>
      <c r="J42" s="500"/>
      <c r="K42" s="500"/>
      <c r="L42" s="500"/>
      <c r="M42" s="500"/>
      <c r="N42" s="460"/>
      <c r="O42" s="4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71"/>
      <c r="AM42" s="171"/>
      <c r="AN42" s="171"/>
      <c r="AO42" s="160"/>
      <c r="AP42" s="35"/>
      <c r="AQ42" s="171"/>
      <c r="AR42" s="169"/>
      <c r="AS42" s="169"/>
      <c r="AT42" s="169"/>
      <c r="AU42" s="160"/>
      <c r="AV42" s="532"/>
      <c r="AW42" s="531"/>
      <c r="AX42" s="160"/>
      <c r="AY42" s="28"/>
      <c r="AZ42" s="28"/>
      <c r="BA42" s="28"/>
      <c r="BB42" s="481"/>
      <c r="BC42" s="137"/>
      <c r="BD42" s="137"/>
      <c r="BG42" s="137"/>
    </row>
    <row r="43" spans="1:59" s="53" customFormat="1" ht="12.75" customHeight="1" x14ac:dyDescent="0.2">
      <c r="A43" s="6" t="s">
        <v>294</v>
      </c>
      <c r="B43" s="408"/>
      <c r="C43" s="154" t="e">
        <f t="shared" ref="C43:C49" si="17">((I43-M43)*100)</f>
        <v>#REF!</v>
      </c>
      <c r="D43" s="508"/>
      <c r="E43" s="508"/>
      <c r="F43" s="259" t="e">
        <f t="shared" ref="F43:I44" si="18">+F19/F$17</f>
        <v>#REF!</v>
      </c>
      <c r="G43" s="259" t="e">
        <f t="shared" si="18"/>
        <v>#REF!</v>
      </c>
      <c r="H43" s="259" t="e">
        <f t="shared" si="18"/>
        <v>#REF!</v>
      </c>
      <c r="I43" s="259" t="e">
        <f t="shared" si="18"/>
        <v>#REF!</v>
      </c>
      <c r="J43" s="259" t="e">
        <f t="shared" ref="J43:L44" si="19">+J19/J$17</f>
        <v>#REF!</v>
      </c>
      <c r="K43" s="259" t="e">
        <f t="shared" si="19"/>
        <v>#REF!</v>
      </c>
      <c r="L43" s="259" t="e">
        <f t="shared" si="19"/>
        <v>#REF!</v>
      </c>
      <c r="M43" s="259" t="e">
        <f t="shared" ref="M43:T43" si="20">+M19/M$17</f>
        <v>#REF!</v>
      </c>
      <c r="N43" s="259" t="e">
        <f t="shared" si="20"/>
        <v>#REF!</v>
      </c>
      <c r="O43" s="259" t="e">
        <f t="shared" si="20"/>
        <v>#REF!</v>
      </c>
      <c r="P43" s="259" t="e">
        <f t="shared" si="20"/>
        <v>#REF!</v>
      </c>
      <c r="Q43" s="259" t="e">
        <f t="shared" si="20"/>
        <v>#REF!</v>
      </c>
      <c r="R43" s="259">
        <f t="shared" si="20"/>
        <v>0.51500102746763476</v>
      </c>
      <c r="S43" s="259">
        <f t="shared" si="20"/>
        <v>0.52679015597108825</v>
      </c>
      <c r="T43" s="259">
        <f t="shared" si="20"/>
        <v>0.48532688569667665</v>
      </c>
      <c r="U43" s="500"/>
      <c r="V43" s="500"/>
      <c r="W43" s="500"/>
      <c r="X43" s="500"/>
      <c r="Y43" s="500"/>
      <c r="Z43" s="500"/>
      <c r="AA43" s="500"/>
      <c r="AB43" s="500"/>
      <c r="AC43" s="500"/>
      <c r="AD43" s="500"/>
      <c r="AE43" s="500"/>
      <c r="AF43" s="500"/>
      <c r="AG43" s="500"/>
      <c r="AH43" s="500"/>
      <c r="AI43" s="500"/>
      <c r="AJ43" s="500"/>
      <c r="AK43" s="500"/>
      <c r="AL43" s="171"/>
      <c r="AM43" s="259" t="e">
        <f>+AM19/AM$17</f>
        <v>#REF!</v>
      </c>
      <c r="AN43" s="259" t="e">
        <f>+AN19/AN$17</f>
        <v>#REF!</v>
      </c>
      <c r="AO43" s="385" t="e">
        <f t="shared" ref="AO43:AO49" si="21">(AR43-AS43)*100</f>
        <v>#REF!</v>
      </c>
      <c r="AP43" s="508"/>
      <c r="AQ43" s="171"/>
      <c r="AR43" s="259" t="e">
        <f t="shared" ref="AR43:AW44" si="22">+AR19/AR$17</f>
        <v>#REF!</v>
      </c>
      <c r="AS43" s="259" t="e">
        <f t="shared" si="22"/>
        <v>#REF!</v>
      </c>
      <c r="AT43" s="259">
        <f t="shared" si="22"/>
        <v>0.51079427903211294</v>
      </c>
      <c r="AU43" s="259">
        <f t="shared" si="22"/>
        <v>0.54261728591772307</v>
      </c>
      <c r="AV43" s="259">
        <f t="shared" si="22"/>
        <v>0.46202189311010944</v>
      </c>
      <c r="AW43" s="259">
        <f t="shared" si="22"/>
        <v>0.52591185087682046</v>
      </c>
      <c r="AX43" s="500"/>
      <c r="AY43" s="507"/>
      <c r="AZ43" s="507"/>
      <c r="BA43" s="507"/>
      <c r="BB43" s="481"/>
      <c r="BC43" s="137"/>
      <c r="BD43" s="137"/>
      <c r="BG43" s="137"/>
    </row>
    <row r="44" spans="1:59" s="53" customFormat="1" ht="12.75" customHeight="1" x14ac:dyDescent="0.2">
      <c r="A44" s="6" t="s">
        <v>295</v>
      </c>
      <c r="B44" s="408"/>
      <c r="C44" s="154" t="e">
        <f t="shared" si="17"/>
        <v>#REF!</v>
      </c>
      <c r="D44" s="508"/>
      <c r="E44" s="508"/>
      <c r="F44" s="259" t="e">
        <f t="shared" si="18"/>
        <v>#REF!</v>
      </c>
      <c r="G44" s="259" t="e">
        <f t="shared" si="18"/>
        <v>#REF!</v>
      </c>
      <c r="H44" s="259" t="e">
        <f t="shared" si="18"/>
        <v>#REF!</v>
      </c>
      <c r="I44" s="259" t="e">
        <f t="shared" si="18"/>
        <v>#REF!</v>
      </c>
      <c r="J44" s="259" t="e">
        <f t="shared" si="19"/>
        <v>#REF!</v>
      </c>
      <c r="K44" s="259" t="e">
        <f t="shared" si="19"/>
        <v>#REF!</v>
      </c>
      <c r="L44" s="259" t="e">
        <f t="shared" si="19"/>
        <v>#REF!</v>
      </c>
      <c r="M44" s="259" t="e">
        <f t="shared" ref="M44:T44" si="23">+M20/M$17</f>
        <v>#REF!</v>
      </c>
      <c r="N44" s="259" t="e">
        <f t="shared" si="23"/>
        <v>#REF!</v>
      </c>
      <c r="O44" s="259" t="e">
        <f t="shared" si="23"/>
        <v>#REF!</v>
      </c>
      <c r="P44" s="259" t="e">
        <f t="shared" si="23"/>
        <v>#REF!</v>
      </c>
      <c r="Q44" s="259" t="e">
        <f t="shared" si="23"/>
        <v>#REF!</v>
      </c>
      <c r="R44" s="259">
        <f t="shared" si="23"/>
        <v>1.1199397218987602E-2</v>
      </c>
      <c r="S44" s="259">
        <f t="shared" si="23"/>
        <v>1.1412518655078571E-2</v>
      </c>
      <c r="T44" s="259">
        <f t="shared" si="23"/>
        <v>6.1205139145688141E-2</v>
      </c>
      <c r="U44" s="500"/>
      <c r="V44" s="500"/>
      <c r="W44" s="500"/>
      <c r="X44" s="500"/>
      <c r="Y44" s="500"/>
      <c r="Z44" s="500"/>
      <c r="AA44" s="500"/>
      <c r="AB44" s="500"/>
      <c r="AC44" s="500"/>
      <c r="AD44" s="500"/>
      <c r="AE44" s="500"/>
      <c r="AF44" s="500"/>
      <c r="AG44" s="500"/>
      <c r="AH44" s="500"/>
      <c r="AI44" s="500"/>
      <c r="AJ44" s="500"/>
      <c r="AK44" s="500"/>
      <c r="AL44" s="171"/>
      <c r="AM44" s="259" t="e">
        <f>+AM20/AM$17</f>
        <v>#REF!</v>
      </c>
      <c r="AN44" s="259" t="e">
        <f>+AN20/AN$17</f>
        <v>#REF!</v>
      </c>
      <c r="AO44" s="385" t="e">
        <f t="shared" si="21"/>
        <v>#REF!</v>
      </c>
      <c r="AP44" s="508"/>
      <c r="AQ44" s="171"/>
      <c r="AR44" s="259" t="e">
        <f t="shared" si="22"/>
        <v>#REF!</v>
      </c>
      <c r="AS44" s="259" t="e">
        <f t="shared" si="22"/>
        <v>#REF!</v>
      </c>
      <c r="AT44" s="259">
        <f t="shared" si="22"/>
        <v>2.5717369794009175E-2</v>
      </c>
      <c r="AU44" s="259">
        <f t="shared" si="22"/>
        <v>5.8257068026330199E-3</v>
      </c>
      <c r="AV44" s="259">
        <f t="shared" si="22"/>
        <v>1.9446233097231167E-3</v>
      </c>
      <c r="AW44" s="32">
        <f t="shared" si="22"/>
        <v>-8.524054180289585E-3</v>
      </c>
      <c r="AX44" s="500"/>
      <c r="AY44" s="507"/>
      <c r="AZ44" s="507"/>
      <c r="BA44" s="507"/>
      <c r="BB44" s="481"/>
      <c r="BC44" s="137"/>
      <c r="BD44" s="137"/>
      <c r="BG44" s="137"/>
    </row>
    <row r="45" spans="1:59" s="53" customFormat="1" ht="12.75" customHeight="1" x14ac:dyDescent="0.2">
      <c r="A45" s="88" t="s">
        <v>74</v>
      </c>
      <c r="B45" s="85"/>
      <c r="C45" s="154" t="e">
        <f t="shared" si="17"/>
        <v>#REF!</v>
      </c>
      <c r="D45" s="32"/>
      <c r="E45" s="32"/>
      <c r="F45" s="32" t="e">
        <f t="shared" ref="F45:K45" si="24">F21/F17</f>
        <v>#REF!</v>
      </c>
      <c r="G45" s="32" t="e">
        <f t="shared" si="24"/>
        <v>#REF!</v>
      </c>
      <c r="H45" s="32" t="e">
        <f t="shared" si="24"/>
        <v>#REF!</v>
      </c>
      <c r="I45" s="32" t="e">
        <f t="shared" si="24"/>
        <v>#REF!</v>
      </c>
      <c r="J45" s="32" t="e">
        <f t="shared" si="24"/>
        <v>#REF!</v>
      </c>
      <c r="K45" s="32" t="e">
        <f t="shared" si="24"/>
        <v>#REF!</v>
      </c>
      <c r="L45" s="32" t="e">
        <f t="shared" ref="L45:Q45" si="25">L21/L17</f>
        <v>#REF!</v>
      </c>
      <c r="M45" s="32" t="e">
        <f t="shared" si="25"/>
        <v>#REF!</v>
      </c>
      <c r="N45" s="32" t="e">
        <f t="shared" si="25"/>
        <v>#REF!</v>
      </c>
      <c r="O45" s="32" t="e">
        <f t="shared" si="25"/>
        <v>#REF!</v>
      </c>
      <c r="P45" s="32" t="e">
        <f t="shared" si="25"/>
        <v>#REF!</v>
      </c>
      <c r="Q45" s="32" t="e">
        <f t="shared" si="25"/>
        <v>#REF!</v>
      </c>
      <c r="R45" s="32">
        <f>R21/R17</f>
        <v>0.52620042468662243</v>
      </c>
      <c r="S45" s="32">
        <f>S21/S17</f>
        <v>0.53820267462616689</v>
      </c>
      <c r="T45" s="32">
        <f>T21/T17</f>
        <v>0.54653202484236474</v>
      </c>
      <c r="U45" s="32">
        <f>U21/U17</f>
        <v>0.53770688234853592</v>
      </c>
      <c r="V45" s="32">
        <v>0.56147702622756857</v>
      </c>
      <c r="W45" s="32">
        <v>0.58158390673620541</v>
      </c>
      <c r="X45" s="32">
        <v>0.55350565749742842</v>
      </c>
      <c r="Y45" s="32">
        <v>0.50527981161926483</v>
      </c>
      <c r="Z45" s="32">
        <v>0.49459679293516151</v>
      </c>
      <c r="AA45" s="32">
        <v>0.49041311316760416</v>
      </c>
      <c r="AB45" s="32">
        <v>0.45988311759244088</v>
      </c>
      <c r="AC45" s="32">
        <v>0.42878888411849653</v>
      </c>
      <c r="AD45" s="32">
        <v>0.60099999999999998</v>
      </c>
      <c r="AE45" s="32">
        <v>0.53500000000000003</v>
      </c>
      <c r="AF45" s="32">
        <v>0.45900000000000002</v>
      </c>
      <c r="AG45" s="32">
        <v>0.46800000000000003</v>
      </c>
      <c r="AH45" s="32">
        <v>0.52700000000000002</v>
      </c>
      <c r="AI45" s="32">
        <v>0.52800000000000002</v>
      </c>
      <c r="AJ45" s="32">
        <v>0.498</v>
      </c>
      <c r="AK45" s="32">
        <v>0.53800000000000003</v>
      </c>
      <c r="AL45" s="32"/>
      <c r="AM45" s="32" t="e">
        <f>AM21/AM17</f>
        <v>#REF!</v>
      </c>
      <c r="AN45" s="32" t="e">
        <f>AN21/AN17</f>
        <v>#REF!</v>
      </c>
      <c r="AO45" s="385" t="e">
        <f t="shared" si="21"/>
        <v>#REF!</v>
      </c>
      <c r="AP45" s="362"/>
      <c r="AQ45" s="32"/>
      <c r="AR45" s="32" t="e">
        <f>AR21/AR17</f>
        <v>#REF!</v>
      </c>
      <c r="AS45" s="32" t="e">
        <f>AS21/AS17</f>
        <v>#REF!</v>
      </c>
      <c r="AT45" s="32">
        <f>AT21/AT17</f>
        <v>0.53651164882612212</v>
      </c>
      <c r="AU45" s="32">
        <v>0.54844299272035613</v>
      </c>
      <c r="AV45" s="32">
        <v>0.46396651641983261</v>
      </c>
      <c r="AW45" s="32">
        <v>0.51636825934950736</v>
      </c>
      <c r="AX45" s="32">
        <v>0.52400000000000002</v>
      </c>
      <c r="AY45" s="222">
        <v>0.45600000000000002</v>
      </c>
      <c r="AZ45" s="222">
        <v>0</v>
      </c>
      <c r="BA45" s="222">
        <v>0</v>
      </c>
      <c r="BB45" s="3"/>
      <c r="BC45" s="137"/>
      <c r="BD45" s="137"/>
      <c r="BG45" s="137"/>
    </row>
    <row r="46" spans="1:59" s="53" customFormat="1" ht="12.75" customHeight="1" x14ac:dyDescent="0.2">
      <c r="A46" s="485" t="s">
        <v>287</v>
      </c>
      <c r="B46" s="85"/>
      <c r="C46" s="154" t="e">
        <f t="shared" si="17"/>
        <v>#REF!</v>
      </c>
      <c r="D46" s="32"/>
      <c r="E46" s="32"/>
      <c r="F46" s="32" t="e">
        <f t="shared" ref="F46:K46" si="26">(F21+F22)/F17</f>
        <v>#REF!</v>
      </c>
      <c r="G46" s="32" t="e">
        <f t="shared" si="26"/>
        <v>#REF!</v>
      </c>
      <c r="H46" s="32" t="e">
        <f t="shared" si="26"/>
        <v>#REF!</v>
      </c>
      <c r="I46" s="32" t="e">
        <f t="shared" si="26"/>
        <v>#REF!</v>
      </c>
      <c r="J46" s="32" t="e">
        <f t="shared" si="26"/>
        <v>#REF!</v>
      </c>
      <c r="K46" s="32" t="e">
        <f t="shared" si="26"/>
        <v>#REF!</v>
      </c>
      <c r="L46" s="32" t="e">
        <f t="shared" ref="L46:Q46" si="27">(L21+L22)/L17</f>
        <v>#REF!</v>
      </c>
      <c r="M46" s="32" t="e">
        <f t="shared" si="27"/>
        <v>#REF!</v>
      </c>
      <c r="N46" s="32" t="e">
        <f t="shared" si="27"/>
        <v>#REF!</v>
      </c>
      <c r="O46" s="32" t="e">
        <f t="shared" si="27"/>
        <v>#REF!</v>
      </c>
      <c r="P46" s="32" t="e">
        <f t="shared" si="27"/>
        <v>#REF!</v>
      </c>
      <c r="Q46" s="32" t="e">
        <f t="shared" si="27"/>
        <v>#REF!</v>
      </c>
      <c r="R46" s="32">
        <f>(R21+R22)/R17</f>
        <v>0.56623741352147405</v>
      </c>
      <c r="S46" s="32">
        <f>(S21+S22)/S17</f>
        <v>0.57478126005911101</v>
      </c>
      <c r="T46" s="32">
        <f>(T21+T22)/T17</f>
        <v>0.60887498222159009</v>
      </c>
      <c r="U46" s="32">
        <f>(U21+U22)/U17</f>
        <v>0.58215382311091135</v>
      </c>
      <c r="V46" s="32">
        <v>0.60841056990731612</v>
      </c>
      <c r="W46" s="32">
        <v>0.63373800236665645</v>
      </c>
      <c r="X46" s="32">
        <v>0.59063609516541127</v>
      </c>
      <c r="Y46" s="32">
        <v>0.54520033849663341</v>
      </c>
      <c r="Z46" s="32">
        <v>0.5641993957703928</v>
      </c>
      <c r="AA46" s="32">
        <v>0.56444686384806142</v>
      </c>
      <c r="AB46" s="32">
        <v>0.52684472117537828</v>
      </c>
      <c r="AC46" s="32">
        <v>0.48784200460559696</v>
      </c>
      <c r="AD46" s="32">
        <v>0.64100000000000001</v>
      </c>
      <c r="AE46" s="32">
        <v>0.57899999999999996</v>
      </c>
      <c r="AF46" s="32">
        <v>0.51900000000000002</v>
      </c>
      <c r="AG46" s="32">
        <v>0.51500000000000001</v>
      </c>
      <c r="AH46" s="32">
        <v>0.59399999999999997</v>
      </c>
      <c r="AI46" s="32">
        <v>0.59299999999999997</v>
      </c>
      <c r="AJ46" s="32">
        <v>0.54200000000000004</v>
      </c>
      <c r="AK46" s="32">
        <v>0.61099999999999999</v>
      </c>
      <c r="AL46" s="32"/>
      <c r="AM46" s="32" t="e">
        <f>(AM21+AM22)/AM17</f>
        <v>#REF!</v>
      </c>
      <c r="AN46" s="32" t="e">
        <f>(AN21+AN22)/AN17</f>
        <v>#REF!</v>
      </c>
      <c r="AO46" s="385" t="e">
        <f t="shared" si="21"/>
        <v>#REF!</v>
      </c>
      <c r="AP46" s="362"/>
      <c r="AQ46" s="32"/>
      <c r="AR46" s="32" t="e">
        <f>(AR21+AR22)/AR17</f>
        <v>#REF!</v>
      </c>
      <c r="AS46" s="32" t="e">
        <f>(AS21+AS22)/AS17</f>
        <v>#REF!</v>
      </c>
      <c r="AT46" s="32">
        <f>(AT21+AT22)/AT17</f>
        <v>0.58077718809031209</v>
      </c>
      <c r="AU46" s="32">
        <v>0.59172251710367763</v>
      </c>
      <c r="AV46" s="32">
        <v>0.53043142305215707</v>
      </c>
      <c r="AW46" s="32">
        <v>0.56386269731963135</v>
      </c>
      <c r="AX46" s="32">
        <v>0.58699999999999997</v>
      </c>
      <c r="AY46" s="222">
        <v>0.53600000000000003</v>
      </c>
      <c r="AZ46" s="222">
        <v>0</v>
      </c>
      <c r="BA46" s="222">
        <v>0</v>
      </c>
      <c r="BB46" s="3"/>
      <c r="BC46" s="137"/>
      <c r="BD46" s="137"/>
      <c r="BG46" s="137"/>
    </row>
    <row r="47" spans="1:59" s="53" customFormat="1" ht="12.75" customHeight="1" x14ac:dyDescent="0.2">
      <c r="A47" s="88" t="s">
        <v>75</v>
      </c>
      <c r="B47" s="85"/>
      <c r="C47" s="154" t="e">
        <f t="shared" si="17"/>
        <v>#REF!</v>
      </c>
      <c r="D47" s="32"/>
      <c r="E47" s="32"/>
      <c r="F47" s="32" t="e">
        <f t="shared" ref="F47:S47" si="28">(F34-F21-F22)/F17</f>
        <v>#REF!</v>
      </c>
      <c r="G47" s="32" t="e">
        <f t="shared" si="28"/>
        <v>#REF!</v>
      </c>
      <c r="H47" s="32" t="e">
        <f t="shared" si="28"/>
        <v>#REF!</v>
      </c>
      <c r="I47" s="32" t="e">
        <f t="shared" si="28"/>
        <v>#REF!</v>
      </c>
      <c r="J47" s="32" t="e">
        <f t="shared" si="28"/>
        <v>#REF!</v>
      </c>
      <c r="K47" s="32" t="e">
        <f t="shared" si="28"/>
        <v>#REF!</v>
      </c>
      <c r="L47" s="32" t="e">
        <f t="shared" si="28"/>
        <v>#REF!</v>
      </c>
      <c r="M47" s="32" t="e">
        <f t="shared" si="28"/>
        <v>#REF!</v>
      </c>
      <c r="N47" s="32" t="e">
        <f t="shared" si="28"/>
        <v>#REF!</v>
      </c>
      <c r="O47" s="32" t="e">
        <f t="shared" si="28"/>
        <v>#REF!</v>
      </c>
      <c r="P47" s="32" t="e">
        <f t="shared" si="28"/>
        <v>#REF!</v>
      </c>
      <c r="Q47" s="32" t="e">
        <f t="shared" si="28"/>
        <v>#REF!</v>
      </c>
      <c r="R47" s="32">
        <f t="shared" si="28"/>
        <v>0.23912596753202275</v>
      </c>
      <c r="S47" s="32">
        <f t="shared" si="28"/>
        <v>0.23732186228894156</v>
      </c>
      <c r="T47" s="32">
        <f>(T24+T25+T26+T27+T28+T29+T30+T31+T33)/T17</f>
        <v>0.35964537998388091</v>
      </c>
      <c r="U47" s="32">
        <f>(U24+U25+U26+U27+U28+U29+U30+U31+U33)/U17</f>
        <v>0.26855388302254174</v>
      </c>
      <c r="V47" s="32">
        <v>0.32513310984026816</v>
      </c>
      <c r="W47" s="32">
        <v>0.34031643073147216</v>
      </c>
      <c r="X47" s="32">
        <v>0.26170488104323592</v>
      </c>
      <c r="Y47" s="32">
        <v>0.37234629677324405</v>
      </c>
      <c r="Z47" s="32">
        <v>0.61997443643969319</v>
      </c>
      <c r="AA47" s="32">
        <v>2.6110203834754735</v>
      </c>
      <c r="AB47" s="32">
        <v>0.68376208422087503</v>
      </c>
      <c r="AC47" s="32">
        <v>0.47242496389680338</v>
      </c>
      <c r="AD47" s="32">
        <v>0.55000000000000004</v>
      </c>
      <c r="AE47" s="32">
        <v>0.44799999999999995</v>
      </c>
      <c r="AF47" s="32">
        <v>0.63</v>
      </c>
      <c r="AG47" s="32">
        <v>0.44199999999999995</v>
      </c>
      <c r="AH47" s="32">
        <v>0.56300000000000006</v>
      </c>
      <c r="AI47" s="32">
        <v>0.495</v>
      </c>
      <c r="AJ47" s="32">
        <v>0.48299999999999987</v>
      </c>
      <c r="AK47" s="32">
        <v>0.29800000000000004</v>
      </c>
      <c r="AL47" s="32"/>
      <c r="AM47" s="32" t="e">
        <f>(AM34-AM21-AM22)/AM17</f>
        <v>#REF!</v>
      </c>
      <c r="AN47" s="32" t="e">
        <f>(AN34-AN21-AN22)/AN17</f>
        <v>#REF!</v>
      </c>
      <c r="AO47" s="385" t="e">
        <f t="shared" si="21"/>
        <v>#REF!</v>
      </c>
      <c r="AP47" s="362"/>
      <c r="AQ47" s="32"/>
      <c r="AR47" s="32" t="e">
        <f>(AR24+AR25+AR26+AR27+AR28+AR29+AR30+AR31+AR33)/AR17</f>
        <v>#REF!</v>
      </c>
      <c r="AS47" s="32" t="e">
        <f>(AS24+AS25+AS26+AS27+AS28+AS29+AS30+AS31+AS33)/AS17</f>
        <v>#REF!</v>
      </c>
      <c r="AT47" s="32">
        <f>(AT24+AT25+AT26+AT27+AT28+AT29+AT30+AT31+AT33)/AT17</f>
        <v>0.26850769092381038</v>
      </c>
      <c r="AU47" s="32">
        <v>0.32232590099285979</v>
      </c>
      <c r="AV47" s="32">
        <v>1.0104571796522859</v>
      </c>
      <c r="AW47" s="32">
        <v>0.51213052230109124</v>
      </c>
      <c r="AX47" s="32">
        <v>0.45</v>
      </c>
      <c r="AY47" s="222">
        <v>0.30599999999999994</v>
      </c>
      <c r="AZ47" s="222">
        <v>0</v>
      </c>
      <c r="BA47" s="222">
        <v>0</v>
      </c>
      <c r="BB47" s="3"/>
      <c r="BC47" s="137"/>
      <c r="BD47" s="137"/>
      <c r="BG47" s="137"/>
    </row>
    <row r="48" spans="1:59" s="53" customFormat="1" ht="12.75" customHeight="1" x14ac:dyDescent="0.2">
      <c r="A48" s="88" t="s">
        <v>76</v>
      </c>
      <c r="B48" s="85"/>
      <c r="C48" s="154" t="e">
        <f t="shared" si="17"/>
        <v>#REF!</v>
      </c>
      <c r="D48" s="32"/>
      <c r="E48" s="32"/>
      <c r="F48" s="32" t="e">
        <f t="shared" ref="F48:N48" si="29">F34/F17</f>
        <v>#REF!</v>
      </c>
      <c r="G48" s="32" t="e">
        <f t="shared" si="29"/>
        <v>#REF!</v>
      </c>
      <c r="H48" s="32" t="e">
        <f t="shared" si="29"/>
        <v>#REF!</v>
      </c>
      <c r="I48" s="32" t="e">
        <f t="shared" si="29"/>
        <v>#REF!</v>
      </c>
      <c r="J48" s="32" t="e">
        <f t="shared" si="29"/>
        <v>#REF!</v>
      </c>
      <c r="K48" s="32" t="e">
        <f t="shared" si="29"/>
        <v>#REF!</v>
      </c>
      <c r="L48" s="32" t="e">
        <f t="shared" si="29"/>
        <v>#REF!</v>
      </c>
      <c r="M48" s="32" t="e">
        <f t="shared" si="29"/>
        <v>#REF!</v>
      </c>
      <c r="N48" s="32" t="e">
        <f t="shared" si="29"/>
        <v>#REF!</v>
      </c>
      <c r="O48" s="32" t="e">
        <f t="shared" ref="O48:U48" si="30">O34/O17</f>
        <v>#REF!</v>
      </c>
      <c r="P48" s="32" t="e">
        <f t="shared" si="30"/>
        <v>#REF!</v>
      </c>
      <c r="Q48" s="32" t="e">
        <f t="shared" si="30"/>
        <v>#REF!</v>
      </c>
      <c r="R48" s="32">
        <f t="shared" si="30"/>
        <v>0.80536338105349681</v>
      </c>
      <c r="S48" s="32">
        <f t="shared" si="30"/>
        <v>0.8121031223480526</v>
      </c>
      <c r="T48" s="32">
        <f t="shared" si="30"/>
        <v>0.968520362205471</v>
      </c>
      <c r="U48" s="32">
        <f t="shared" si="30"/>
        <v>0.85070770613345315</v>
      </c>
      <c r="V48" s="32">
        <v>0.93354367974758434</v>
      </c>
      <c r="W48" s="32">
        <v>0.97405443309812856</v>
      </c>
      <c r="X48" s="32">
        <v>0.85234097620864713</v>
      </c>
      <c r="Y48" s="32">
        <v>0.91654663526987745</v>
      </c>
      <c r="Z48" s="32">
        <v>1.1841738322100861</v>
      </c>
      <c r="AA48" s="32">
        <v>3.1754672473235348</v>
      </c>
      <c r="AB48" s="32">
        <v>1.2106068053962533</v>
      </c>
      <c r="AC48" s="32">
        <v>0.96026696850240034</v>
      </c>
      <c r="AD48" s="32">
        <v>1.1910000000000001</v>
      </c>
      <c r="AE48" s="32">
        <v>1.0269999999999999</v>
      </c>
      <c r="AF48" s="32">
        <v>1.149</v>
      </c>
      <c r="AG48" s="32">
        <v>0.95699999999999996</v>
      </c>
      <c r="AH48" s="32">
        <v>1.157</v>
      </c>
      <c r="AI48" s="32">
        <v>1.0880000000000001</v>
      </c>
      <c r="AJ48" s="32">
        <v>1.0249999999999999</v>
      </c>
      <c r="AK48" s="32">
        <v>0.90900000000000003</v>
      </c>
      <c r="AL48" s="32"/>
      <c r="AM48" s="32" t="e">
        <f>AM34/AM17</f>
        <v>#REF!</v>
      </c>
      <c r="AN48" s="32" t="e">
        <f>AN34/AN17</f>
        <v>#REF!</v>
      </c>
      <c r="AO48" s="385" t="e">
        <f t="shared" si="21"/>
        <v>#REF!</v>
      </c>
      <c r="AP48" s="362"/>
      <c r="AQ48" s="32"/>
      <c r="AR48" s="32" t="e">
        <f>AR34/AR17</f>
        <v>#REF!</v>
      </c>
      <c r="AS48" s="32" t="e">
        <f>AS34/AS17</f>
        <v>#REF!</v>
      </c>
      <c r="AT48" s="32">
        <f>AT34/AT17</f>
        <v>0.84928487901412253</v>
      </c>
      <c r="AU48" s="32">
        <v>0.91404841809653747</v>
      </c>
      <c r="AV48" s="32">
        <v>1.5408886027044431</v>
      </c>
      <c r="AW48" s="32">
        <v>1.0759932196207225</v>
      </c>
      <c r="AX48" s="32">
        <v>1.0369999999999999</v>
      </c>
      <c r="AY48" s="222">
        <v>0.84199999999999997</v>
      </c>
      <c r="AZ48" s="222">
        <v>0</v>
      </c>
      <c r="BA48" s="222">
        <v>0</v>
      </c>
      <c r="BB48" s="3"/>
      <c r="BC48" s="137"/>
      <c r="BD48" s="137"/>
      <c r="BG48" s="137"/>
    </row>
    <row r="49" spans="1:59" s="53" customFormat="1" ht="12.75" customHeight="1" x14ac:dyDescent="0.2">
      <c r="A49" s="88" t="s">
        <v>77</v>
      </c>
      <c r="B49" s="85"/>
      <c r="C49" s="154" t="e">
        <f t="shared" si="17"/>
        <v>#REF!</v>
      </c>
      <c r="D49" s="32"/>
      <c r="E49" s="32"/>
      <c r="F49" s="32" t="e">
        <f t="shared" ref="F49:N49" si="31">F35/F17</f>
        <v>#REF!</v>
      </c>
      <c r="G49" s="32" t="e">
        <f t="shared" si="31"/>
        <v>#REF!</v>
      </c>
      <c r="H49" s="32" t="e">
        <f t="shared" si="31"/>
        <v>#REF!</v>
      </c>
      <c r="I49" s="32" t="e">
        <f t="shared" si="31"/>
        <v>#REF!</v>
      </c>
      <c r="J49" s="32" t="e">
        <f t="shared" si="31"/>
        <v>#REF!</v>
      </c>
      <c r="K49" s="32" t="e">
        <f t="shared" si="31"/>
        <v>#REF!</v>
      </c>
      <c r="L49" s="32" t="e">
        <f t="shared" si="31"/>
        <v>#REF!</v>
      </c>
      <c r="M49" s="32" t="e">
        <f t="shared" si="31"/>
        <v>#REF!</v>
      </c>
      <c r="N49" s="32" t="e">
        <f t="shared" si="31"/>
        <v>#REF!</v>
      </c>
      <c r="O49" s="32" t="e">
        <f t="shared" ref="O49:U49" si="32">O35/O17</f>
        <v>#REF!</v>
      </c>
      <c r="P49" s="32" t="e">
        <f t="shared" si="32"/>
        <v>#REF!</v>
      </c>
      <c r="Q49" s="32" t="e">
        <f t="shared" si="32"/>
        <v>#REF!</v>
      </c>
      <c r="R49" s="32">
        <f t="shared" si="32"/>
        <v>0.19463661894650319</v>
      </c>
      <c r="S49" s="32">
        <f t="shared" si="32"/>
        <v>0.18789687765194743</v>
      </c>
      <c r="T49" s="32">
        <f t="shared" si="32"/>
        <v>3.1479637794528989E-2</v>
      </c>
      <c r="U49" s="32">
        <f t="shared" si="32"/>
        <v>0.14929229386654685</v>
      </c>
      <c r="V49" s="32">
        <v>6.6456320252415699E-2</v>
      </c>
      <c r="W49" s="32">
        <v>2.5945566901871411E-2</v>
      </c>
      <c r="X49" s="32">
        <v>0.14765902379135282</v>
      </c>
      <c r="Y49" s="32">
        <v>8.2453364730122519E-2</v>
      </c>
      <c r="Z49" s="32">
        <v>-0.18417383221008599</v>
      </c>
      <c r="AA49" s="32">
        <v>-2.1754672473235348</v>
      </c>
      <c r="AB49" s="32">
        <v>-0.21226208707066288</v>
      </c>
      <c r="AC49" s="32">
        <v>3.9733031497599623E-2</v>
      </c>
      <c r="AD49" s="32">
        <v>-0.19240516847397066</v>
      </c>
      <c r="AE49" s="32">
        <v>-2.6999999999999913E-2</v>
      </c>
      <c r="AF49" s="32">
        <v>-0.14900000000000002</v>
      </c>
      <c r="AG49" s="32">
        <v>4.3000000000000038E-2</v>
      </c>
      <c r="AH49" s="32">
        <v>-0.15700000000000003</v>
      </c>
      <c r="AI49" s="32">
        <v>-8.8000000000000078E-2</v>
      </c>
      <c r="AJ49" s="32">
        <v>-2.4999999999999911E-2</v>
      </c>
      <c r="AK49" s="32">
        <v>9.099999999999997E-2</v>
      </c>
      <c r="AL49" s="32"/>
      <c r="AM49" s="32" t="e">
        <f>AM35/AM17</f>
        <v>#REF!</v>
      </c>
      <c r="AN49" s="32" t="e">
        <f>AN35/AN17</f>
        <v>#REF!</v>
      </c>
      <c r="AO49" s="385" t="e">
        <f t="shared" si="21"/>
        <v>#REF!</v>
      </c>
      <c r="AP49" s="362"/>
      <c r="AQ49" s="32"/>
      <c r="AR49" s="32" t="e">
        <f>AR35/AR17</f>
        <v>#REF!</v>
      </c>
      <c r="AS49" s="32" t="e">
        <f>AS35/AS17</f>
        <v>#REF!</v>
      </c>
      <c r="AT49" s="32">
        <f>AT35/AT17</f>
        <v>0.1507151209858775</v>
      </c>
      <c r="AU49" s="32">
        <v>8.5951581903462568E-2</v>
      </c>
      <c r="AV49" s="32">
        <v>-0.54088860270444306</v>
      </c>
      <c r="AW49" s="32">
        <v>-7.8117702008407286E-2</v>
      </c>
      <c r="AX49" s="32">
        <v>-4.4996467219515821E-2</v>
      </c>
      <c r="AY49" s="222">
        <f>AY35/AY17</f>
        <v>0.15435098441961825</v>
      </c>
      <c r="AZ49" s="222">
        <v>0</v>
      </c>
      <c r="BA49" s="222">
        <v>0</v>
      </c>
      <c r="BB49" s="3"/>
      <c r="BC49" s="137"/>
      <c r="BD49" s="137"/>
      <c r="BG49" s="137"/>
    </row>
    <row r="50" spans="1:59" s="53" customFormat="1" ht="12.75" customHeight="1" x14ac:dyDescent="0.2">
      <c r="A50" s="86"/>
      <c r="B50" s="85"/>
      <c r="C50" s="32"/>
      <c r="D50" s="32"/>
      <c r="E50" s="32"/>
      <c r="F50" s="32"/>
      <c r="G50" s="32"/>
      <c r="H50" s="32"/>
      <c r="I50" s="482"/>
      <c r="J50" s="32"/>
      <c r="K50" s="32"/>
      <c r="L50" s="32"/>
      <c r="M50" s="482"/>
      <c r="N50" s="32"/>
      <c r="O50" s="32"/>
      <c r="P50" s="32"/>
      <c r="Q50" s="44"/>
      <c r="R50" s="32"/>
      <c r="S50" s="32"/>
      <c r="T50" s="32"/>
      <c r="U50" s="44"/>
      <c r="V50" s="32"/>
      <c r="W50" s="32"/>
      <c r="X50" s="32"/>
      <c r="Y50" s="44"/>
      <c r="Z50" s="32"/>
      <c r="AA50" s="32"/>
      <c r="AB50" s="32"/>
      <c r="AC50" s="44"/>
      <c r="AD50" s="44"/>
      <c r="AE50" s="44"/>
      <c r="AF50" s="44"/>
      <c r="AG50" s="44"/>
      <c r="AH50" s="44"/>
      <c r="AI50" s="44"/>
      <c r="AJ50" s="44"/>
      <c r="AK50" s="44"/>
      <c r="AL50" s="32"/>
      <c r="AM50" s="32"/>
      <c r="AN50" s="32"/>
      <c r="AO50" s="362">
        <f>AR50-AS50</f>
        <v>0</v>
      </c>
      <c r="AP50" s="362"/>
      <c r="AQ50" s="32"/>
      <c r="AR50" s="362"/>
      <c r="AS50" s="362"/>
      <c r="AT50" s="362"/>
      <c r="AU50" s="32"/>
      <c r="AV50" s="32"/>
      <c r="AW50" s="44"/>
      <c r="AX50" s="44"/>
      <c r="AY50" s="222"/>
      <c r="AZ50" s="222"/>
      <c r="BA50" s="222"/>
      <c r="BB50" s="3"/>
      <c r="BC50" s="137"/>
      <c r="BD50" s="137"/>
      <c r="BG50" s="137"/>
    </row>
    <row r="51" spans="1:59" s="53" customFormat="1" ht="12.75" customHeight="1" x14ac:dyDescent="0.2">
      <c r="A51" s="44" t="s">
        <v>89</v>
      </c>
      <c r="B51" s="85"/>
      <c r="C51" s="108">
        <f>I51-M51</f>
        <v>-40</v>
      </c>
      <c r="D51" s="508">
        <f>IF(OR((C51/M51)&gt;3,(C51/M51)&lt;-3),"n.m.",(C51/M51))</f>
        <v>-0.13157894736842105</v>
      </c>
      <c r="E51" s="35"/>
      <c r="F51" s="119"/>
      <c r="G51" s="119"/>
      <c r="H51" s="119"/>
      <c r="I51" s="119">
        <f>+'15 Misc Operating Stats'!AD22</f>
        <v>264</v>
      </c>
      <c r="J51" s="119">
        <f>+'15 Misc Operating Stats'!AE22</f>
        <v>253</v>
      </c>
      <c r="K51" s="119">
        <f>+'15 Misc Operating Stats'!AF22</f>
        <v>259</v>
      </c>
      <c r="L51" s="119">
        <f>+'15 Misc Operating Stats'!AG22</f>
        <v>252</v>
      </c>
      <c r="M51" s="119">
        <f>+'15 Misc Operating Stats'!AH22</f>
        <v>304</v>
      </c>
      <c r="N51" s="119">
        <f>'15 Misc Operating Stats'!AI22</f>
        <v>302</v>
      </c>
      <c r="O51" s="119">
        <f>'15 Misc Operating Stats'!AJ22</f>
        <v>176</v>
      </c>
      <c r="P51" s="119">
        <f>'15 Misc Operating Stats'!AK22</f>
        <v>186</v>
      </c>
      <c r="Q51" s="119">
        <f>'15 Misc Operating Stats'!AL22</f>
        <v>180</v>
      </c>
      <c r="R51" s="119">
        <v>175</v>
      </c>
      <c r="S51" s="119">
        <v>175</v>
      </c>
      <c r="T51" s="119">
        <v>178</v>
      </c>
      <c r="U51" s="119">
        <v>169</v>
      </c>
      <c r="V51" s="119">
        <v>163</v>
      </c>
      <c r="W51" s="119">
        <v>162</v>
      </c>
      <c r="X51" s="119">
        <v>157</v>
      </c>
      <c r="Y51" s="119">
        <v>152</v>
      </c>
      <c r="Z51" s="91">
        <v>151</v>
      </c>
      <c r="AA51" s="44">
        <v>152</v>
      </c>
      <c r="AB51" s="44">
        <v>176</v>
      </c>
      <c r="AC51" s="44">
        <v>169</v>
      </c>
      <c r="AD51" s="44">
        <v>163</v>
      </c>
      <c r="AE51" s="44">
        <v>161</v>
      </c>
      <c r="AF51" s="44">
        <v>162</v>
      </c>
      <c r="AG51" s="44">
        <v>170</v>
      </c>
      <c r="AH51" s="44">
        <v>163</v>
      </c>
      <c r="AI51" s="44">
        <v>170</v>
      </c>
      <c r="AJ51" s="44">
        <v>164</v>
      </c>
      <c r="AK51" s="44">
        <v>154</v>
      </c>
      <c r="AL51" s="171"/>
      <c r="AM51" s="443">
        <f>K51</f>
        <v>259</v>
      </c>
      <c r="AN51" s="443">
        <f>O51</f>
        <v>176</v>
      </c>
      <c r="AO51" s="397">
        <f>AR51-AS51</f>
        <v>-49</v>
      </c>
      <c r="AP51" s="35">
        <f>AO51/AS51</f>
        <v>-0.16225165562913907</v>
      </c>
      <c r="AQ51" s="171"/>
      <c r="AR51" s="382">
        <f>J51</f>
        <v>253</v>
      </c>
      <c r="AS51" s="382">
        <f>N51</f>
        <v>302</v>
      </c>
      <c r="AT51" s="382">
        <v>175</v>
      </c>
      <c r="AU51" s="119">
        <v>163</v>
      </c>
      <c r="AV51" s="119">
        <v>151</v>
      </c>
      <c r="AW51" s="119">
        <v>163</v>
      </c>
      <c r="AX51" s="119">
        <v>163</v>
      </c>
      <c r="AY51" s="216">
        <v>150</v>
      </c>
      <c r="AZ51" s="216">
        <v>0</v>
      </c>
      <c r="BA51" s="216">
        <v>0</v>
      </c>
      <c r="BB51" s="3"/>
      <c r="BC51" s="137"/>
      <c r="BD51" s="137"/>
      <c r="BG51" s="137"/>
    </row>
    <row r="52" spans="1:59" s="53" customFormat="1" ht="12.75" customHeight="1" x14ac:dyDescent="0.2">
      <c r="A52" s="44"/>
      <c r="B52" s="85"/>
      <c r="C52" s="108"/>
      <c r="D52" s="35"/>
      <c r="E52" s="35"/>
      <c r="F52" s="482"/>
      <c r="G52" s="482"/>
      <c r="H52" s="482"/>
      <c r="I52" s="482"/>
      <c r="J52" s="482"/>
      <c r="K52" s="482"/>
      <c r="L52" s="482"/>
      <c r="M52" s="482"/>
      <c r="N52" s="91"/>
      <c r="O52" s="44"/>
      <c r="P52" s="44"/>
      <c r="Q52" s="44"/>
      <c r="R52" s="91"/>
      <c r="S52" s="44"/>
      <c r="T52" s="44"/>
      <c r="U52" s="44"/>
      <c r="V52" s="91"/>
      <c r="W52" s="44"/>
      <c r="X52" s="44"/>
      <c r="Y52" s="44"/>
      <c r="Z52" s="91"/>
      <c r="AA52" s="44"/>
      <c r="AB52" s="44"/>
      <c r="AC52" s="44"/>
      <c r="AD52" s="44"/>
      <c r="AE52" s="44"/>
      <c r="AF52" s="44"/>
      <c r="AG52" s="44"/>
      <c r="AH52" s="44"/>
      <c r="AI52" s="44"/>
      <c r="AJ52" s="44"/>
      <c r="AK52" s="44"/>
      <c r="AL52" s="171"/>
      <c r="AM52" s="171"/>
      <c r="AN52" s="171"/>
      <c r="AO52" s="63"/>
      <c r="AP52" s="35"/>
      <c r="AQ52" s="171"/>
      <c r="AR52" s="63"/>
      <c r="AS52" s="63"/>
      <c r="AT52" s="63"/>
      <c r="AU52" s="30"/>
      <c r="AV52" s="30"/>
      <c r="AW52" s="44"/>
      <c r="AX52" s="44"/>
      <c r="AY52" s="216"/>
      <c r="AZ52" s="216"/>
      <c r="BA52" s="216"/>
      <c r="BB52" s="3"/>
      <c r="BC52" s="137"/>
      <c r="BD52" s="137"/>
      <c r="BG52" s="137"/>
    </row>
    <row r="53" spans="1:59" ht="18" customHeight="1" x14ac:dyDescent="0.2">
      <c r="A53" s="10" t="s">
        <v>250</v>
      </c>
      <c r="B53" s="414"/>
      <c r="C53" s="44"/>
      <c r="D53" s="44"/>
      <c r="E53" s="91"/>
      <c r="F53" s="483"/>
      <c r="G53" s="483"/>
      <c r="H53" s="483"/>
      <c r="I53" s="483"/>
      <c r="J53" s="483"/>
      <c r="K53" s="483"/>
      <c r="L53" s="483"/>
      <c r="M53" s="483"/>
      <c r="N53" s="91"/>
      <c r="O53" s="91"/>
      <c r="P53" s="91"/>
      <c r="Q53" s="91"/>
      <c r="R53" s="91"/>
      <c r="S53" s="91"/>
      <c r="T53" s="91"/>
      <c r="U53" s="91"/>
      <c r="V53" s="91"/>
      <c r="W53" s="91"/>
      <c r="X53" s="91"/>
      <c r="Y53" s="91"/>
      <c r="Z53" s="91"/>
      <c r="AA53" s="91"/>
      <c r="AB53" s="91"/>
      <c r="AC53" s="91"/>
      <c r="AD53" s="91"/>
      <c r="AE53" s="91"/>
      <c r="AF53" s="44"/>
      <c r="AG53" s="44"/>
      <c r="AH53" s="44"/>
      <c r="AI53" s="44"/>
      <c r="AJ53" s="44"/>
      <c r="AK53" s="44"/>
      <c r="AL53" s="44"/>
      <c r="AM53" s="44"/>
      <c r="AN53" s="44"/>
      <c r="AO53" s="370"/>
      <c r="AP53" s="370"/>
      <c r="AQ53" s="44"/>
      <c r="AR53" s="370"/>
      <c r="AS53" s="370"/>
      <c r="AT53" s="370"/>
      <c r="AU53" s="44"/>
      <c r="AV53" s="44"/>
      <c r="AW53" s="44"/>
      <c r="AX53" s="44"/>
      <c r="AY53" s="221"/>
      <c r="AZ53" s="221"/>
      <c r="BA53" s="221"/>
      <c r="BB53" s="3"/>
      <c r="BC53" s="3"/>
      <c r="BD53" s="3"/>
      <c r="BG53" s="3"/>
    </row>
    <row r="54" spans="1:59" ht="12.75" customHeight="1" x14ac:dyDescent="0.2">
      <c r="A54" s="123"/>
      <c r="B54" s="6"/>
      <c r="C54" s="44"/>
      <c r="D54" s="44"/>
      <c r="E54" s="91"/>
      <c r="F54" s="483"/>
      <c r="G54" s="483"/>
      <c r="H54" s="483"/>
      <c r="I54" s="483"/>
      <c r="J54" s="483"/>
      <c r="K54" s="483"/>
      <c r="L54" s="483"/>
      <c r="M54" s="483"/>
      <c r="N54" s="265"/>
      <c r="O54" s="91"/>
      <c r="P54" s="91"/>
      <c r="Q54" s="91"/>
      <c r="R54" s="265"/>
      <c r="S54" s="91"/>
      <c r="T54" s="265"/>
      <c r="U54" s="91"/>
      <c r="V54" s="265"/>
      <c r="W54" s="91"/>
      <c r="X54" s="265"/>
      <c r="Y54" s="91"/>
      <c r="Z54" s="265"/>
      <c r="AA54" s="91"/>
      <c r="AB54" s="91"/>
      <c r="AC54" s="91"/>
      <c r="AD54" s="91"/>
      <c r="AE54" s="91"/>
      <c r="AF54" s="44"/>
      <c r="AG54" s="44"/>
      <c r="AH54" s="44"/>
      <c r="AI54" s="44"/>
      <c r="AJ54" s="44"/>
      <c r="AK54" s="44"/>
      <c r="AL54" s="44"/>
      <c r="AM54" s="44"/>
      <c r="AN54" s="44"/>
      <c r="AO54" s="370"/>
      <c r="AP54" s="370"/>
      <c r="AQ54" s="44"/>
      <c r="AR54" s="370"/>
      <c r="AS54" s="370"/>
      <c r="AT54" s="370"/>
      <c r="AU54" s="44"/>
      <c r="AV54" s="44"/>
      <c r="AW54" s="44"/>
      <c r="AX54" s="44"/>
      <c r="AY54" s="221"/>
      <c r="AZ54" s="221"/>
      <c r="BA54" s="221"/>
      <c r="BB54" s="3"/>
      <c r="BC54" s="3"/>
      <c r="BD54" s="3"/>
      <c r="BG54" s="3"/>
    </row>
    <row r="55" spans="1:59" ht="12.75" customHeight="1" x14ac:dyDescent="0.2">
      <c r="A55" s="5"/>
      <c r="B55" s="6"/>
      <c r="C55" s="3204" t="s">
        <v>312</v>
      </c>
      <c r="D55" s="3205"/>
      <c r="E55" s="184"/>
      <c r="F55" s="273"/>
      <c r="G55" s="273"/>
      <c r="H55" s="273"/>
      <c r="I55" s="17"/>
      <c r="J55" s="273"/>
      <c r="K55" s="273"/>
      <c r="L55" s="273"/>
      <c r="M55" s="17"/>
      <c r="N55" s="15"/>
      <c r="O55" s="16"/>
      <c r="P55" s="273"/>
      <c r="Q55" s="17"/>
      <c r="R55" s="15"/>
      <c r="S55" s="16"/>
      <c r="T55" s="273"/>
      <c r="U55" s="17"/>
      <c r="V55" s="481"/>
      <c r="W55" s="16"/>
      <c r="X55" s="2"/>
      <c r="Y55" s="17"/>
      <c r="Z55" s="16"/>
      <c r="AA55" s="481"/>
      <c r="AB55" s="273"/>
      <c r="AC55" s="17"/>
      <c r="AD55" s="16"/>
      <c r="AE55" s="16"/>
      <c r="AF55" s="16"/>
      <c r="AG55" s="16"/>
      <c r="AH55" s="20"/>
      <c r="AI55" s="17"/>
      <c r="AJ55" s="17"/>
      <c r="AK55" s="17"/>
      <c r="AL55" s="22"/>
      <c r="AM55" s="445" t="s">
        <v>299</v>
      </c>
      <c r="AN55" s="433"/>
      <c r="AO55" s="433" t="s">
        <v>284</v>
      </c>
      <c r="AP55" s="434"/>
      <c r="AQ55" s="13"/>
      <c r="AR55" s="530"/>
      <c r="AS55" s="464"/>
      <c r="AT55" s="402"/>
      <c r="AU55" s="46"/>
      <c r="AV55" s="46"/>
      <c r="AW55" s="126"/>
      <c r="AX55" s="124"/>
      <c r="AY55" s="46"/>
      <c r="AZ55" s="46"/>
      <c r="BA55" s="464"/>
      <c r="BB55" s="23"/>
      <c r="BC55" s="3"/>
      <c r="BD55" s="3"/>
      <c r="BG55" s="3"/>
    </row>
    <row r="56" spans="1:59" ht="12.75" customHeight="1" x14ac:dyDescent="0.2">
      <c r="A56" s="5" t="s">
        <v>96</v>
      </c>
      <c r="B56" s="6"/>
      <c r="C56" s="3201" t="s">
        <v>38</v>
      </c>
      <c r="D56" s="3202"/>
      <c r="E56" s="355"/>
      <c r="F56" s="19" t="s">
        <v>315</v>
      </c>
      <c r="G56" s="19" t="s">
        <v>314</v>
      </c>
      <c r="H56" s="19" t="s">
        <v>313</v>
      </c>
      <c r="I56" s="12" t="s">
        <v>311</v>
      </c>
      <c r="J56" s="19" t="s">
        <v>270</v>
      </c>
      <c r="K56" s="19" t="s">
        <v>271</v>
      </c>
      <c r="L56" s="19" t="s">
        <v>272</v>
      </c>
      <c r="M56" s="12" t="s">
        <v>273</v>
      </c>
      <c r="N56" s="18" t="s">
        <v>223</v>
      </c>
      <c r="O56" s="19" t="s">
        <v>224</v>
      </c>
      <c r="P56" s="19" t="s">
        <v>225</v>
      </c>
      <c r="Q56" s="12" t="s">
        <v>222</v>
      </c>
      <c r="R56" s="18" t="s">
        <v>189</v>
      </c>
      <c r="S56" s="19" t="s">
        <v>190</v>
      </c>
      <c r="T56" s="19" t="s">
        <v>191</v>
      </c>
      <c r="U56" s="12" t="s">
        <v>192</v>
      </c>
      <c r="V56" s="19" t="s">
        <v>121</v>
      </c>
      <c r="W56" s="19" t="s">
        <v>120</v>
      </c>
      <c r="X56" s="19" t="s">
        <v>119</v>
      </c>
      <c r="Y56" s="12" t="s">
        <v>118</v>
      </c>
      <c r="Z56" s="19" t="s">
        <v>81</v>
      </c>
      <c r="AA56" s="19" t="s">
        <v>82</v>
      </c>
      <c r="AB56" s="19" t="s">
        <v>83</v>
      </c>
      <c r="AC56" s="12" t="s">
        <v>29</v>
      </c>
      <c r="AD56" s="19" t="s">
        <v>30</v>
      </c>
      <c r="AE56" s="19" t="s">
        <v>31</v>
      </c>
      <c r="AF56" s="19" t="s">
        <v>32</v>
      </c>
      <c r="AG56" s="19" t="s">
        <v>33</v>
      </c>
      <c r="AH56" s="21" t="s">
        <v>34</v>
      </c>
      <c r="AI56" s="12" t="s">
        <v>35</v>
      </c>
      <c r="AJ56" s="12" t="s">
        <v>36</v>
      </c>
      <c r="AK56" s="12" t="s">
        <v>37</v>
      </c>
      <c r="AL56" s="184"/>
      <c r="AM56" s="19" t="s">
        <v>271</v>
      </c>
      <c r="AN56" s="19" t="s">
        <v>224</v>
      </c>
      <c r="AO56" s="3206" t="s">
        <v>38</v>
      </c>
      <c r="AP56" s="3207"/>
      <c r="AQ56" s="127"/>
      <c r="AR56" s="21" t="s">
        <v>275</v>
      </c>
      <c r="AS56" s="158" t="s">
        <v>227</v>
      </c>
      <c r="AT56" s="158" t="s">
        <v>123</v>
      </c>
      <c r="AU56" s="18" t="s">
        <v>122</v>
      </c>
      <c r="AV56" s="18" t="s">
        <v>42</v>
      </c>
      <c r="AW56" s="18" t="s">
        <v>39</v>
      </c>
      <c r="AX56" s="21" t="s">
        <v>40</v>
      </c>
      <c r="AY56" s="21" t="s">
        <v>142</v>
      </c>
      <c r="AZ56" s="21" t="s">
        <v>143</v>
      </c>
      <c r="BA56" s="18" t="s">
        <v>144</v>
      </c>
      <c r="BB56" s="23"/>
      <c r="BC56" s="3"/>
      <c r="BD56" s="3"/>
      <c r="BG56" s="3"/>
    </row>
    <row r="57" spans="1:59" ht="12.75" customHeight="1" x14ac:dyDescent="0.2">
      <c r="A57" s="90"/>
      <c r="B57" s="91" t="s">
        <v>4</v>
      </c>
      <c r="C57" s="262" t="e">
        <f>I57-M57</f>
        <v>#REF!</v>
      </c>
      <c r="D57" s="498" t="e">
        <f>IF(OR((C57/M57)&gt;3,(C57/M57)&lt;-3),"n.m.",(C57/M57))</f>
        <v>#REF!</v>
      </c>
      <c r="E57" s="47"/>
      <c r="F57" s="494" t="e">
        <f t="shared" ref="F57:M57" si="33">+F17</f>
        <v>#REF!</v>
      </c>
      <c r="G57" s="494" t="e">
        <f t="shared" si="33"/>
        <v>#REF!</v>
      </c>
      <c r="H57" s="494" t="e">
        <f t="shared" si="33"/>
        <v>#REF!</v>
      </c>
      <c r="I57" s="495" t="e">
        <f t="shared" si="33"/>
        <v>#REF!</v>
      </c>
      <c r="J57" s="494" t="e">
        <f t="shared" si="33"/>
        <v>#REF!</v>
      </c>
      <c r="K57" s="494" t="e">
        <f t="shared" si="33"/>
        <v>#REF!</v>
      </c>
      <c r="L57" s="494" t="e">
        <f t="shared" si="33"/>
        <v>#REF!</v>
      </c>
      <c r="M57" s="495" t="e">
        <f t="shared" si="33"/>
        <v>#REF!</v>
      </c>
      <c r="N57" s="235" t="e">
        <f t="shared" ref="N57:U57" si="34">N17</f>
        <v>#REF!</v>
      </c>
      <c r="O57" s="235" t="e">
        <f t="shared" si="34"/>
        <v>#REF!</v>
      </c>
      <c r="P57" s="235" t="e">
        <f t="shared" si="34"/>
        <v>#REF!</v>
      </c>
      <c r="Q57" s="252" t="e">
        <f t="shared" si="34"/>
        <v>#REF!</v>
      </c>
      <c r="R57" s="235">
        <f t="shared" si="34"/>
        <v>29198</v>
      </c>
      <c r="S57" s="235">
        <f t="shared" si="34"/>
        <v>34173</v>
      </c>
      <c r="T57" s="235">
        <f t="shared" si="34"/>
        <v>21093</v>
      </c>
      <c r="U57" s="252">
        <f t="shared" si="34"/>
        <v>26706</v>
      </c>
      <c r="V57" s="235">
        <v>20284</v>
      </c>
      <c r="W57" s="235">
        <v>22817</v>
      </c>
      <c r="X57" s="235">
        <v>30137</v>
      </c>
      <c r="Y57" s="252">
        <v>27179</v>
      </c>
      <c r="Z57" s="245">
        <v>17212</v>
      </c>
      <c r="AA57" s="235">
        <v>16533</v>
      </c>
      <c r="AB57" s="235">
        <v>18284</v>
      </c>
      <c r="AC57" s="252">
        <v>25621</v>
      </c>
      <c r="AD57" s="161">
        <v>24069</v>
      </c>
      <c r="AE57" s="161">
        <v>23107</v>
      </c>
      <c r="AF57" s="161">
        <v>20654</v>
      </c>
      <c r="AG57" s="162">
        <v>26374</v>
      </c>
      <c r="AH57" s="183">
        <v>19835</v>
      </c>
      <c r="AI57" s="162">
        <v>18613</v>
      </c>
      <c r="AJ57" s="162">
        <v>7372</v>
      </c>
      <c r="AK57" s="162">
        <v>8735</v>
      </c>
      <c r="AL57" s="47"/>
      <c r="AM57" s="235" t="e">
        <f>SUM(K57:M57)</f>
        <v>#REF!</v>
      </c>
      <c r="AN57" s="235" t="e">
        <f>SUM(O57:Q57)</f>
        <v>#REF!</v>
      </c>
      <c r="AO57" s="386" t="e">
        <f>AR57-AS57</f>
        <v>#REF!</v>
      </c>
      <c r="AP57" s="387" t="e">
        <f>AO57/AS57</f>
        <v>#REF!</v>
      </c>
      <c r="AQ57" s="44"/>
      <c r="AR57" s="372" t="e">
        <f>SUM(J57:M57)</f>
        <v>#REF!</v>
      </c>
      <c r="AS57" s="380" t="e">
        <f>SUM(N57:Q57)</f>
        <v>#REF!</v>
      </c>
      <c r="AT57" s="380">
        <f>SUM(R57:U57)</f>
        <v>111170</v>
      </c>
      <c r="AU57" s="118">
        <v>100417</v>
      </c>
      <c r="AV57" s="118">
        <v>77650</v>
      </c>
      <c r="AW57" s="129">
        <v>94204</v>
      </c>
      <c r="AX57" s="129">
        <v>80673</v>
      </c>
      <c r="AY57" s="230">
        <f>AY17</f>
        <v>19961</v>
      </c>
      <c r="AZ57" s="230">
        <f>AZ17</f>
        <v>0</v>
      </c>
      <c r="BA57" s="230">
        <f>BA17</f>
        <v>0</v>
      </c>
      <c r="BB57" s="3"/>
      <c r="BC57" s="3"/>
      <c r="BD57" s="3"/>
      <c r="BG57" s="3"/>
    </row>
    <row r="58" spans="1:59" ht="12.75" customHeight="1" x14ac:dyDescent="0.2">
      <c r="A58" s="44"/>
      <c r="B58" s="91" t="s">
        <v>80</v>
      </c>
      <c r="C58" s="45">
        <f>I58-M58</f>
        <v>5076</v>
      </c>
      <c r="D58" s="39">
        <f>IF(OR((C58/M58)&gt;3,(C58/M58)&lt;-3),"n.m.",(C58/M58))</f>
        <v>0.1242868685879386</v>
      </c>
      <c r="E58" s="356"/>
      <c r="F58" s="264">
        <f>+F34-F31-1</f>
        <v>-1</v>
      </c>
      <c r="G58" s="264">
        <f>+G34-G31-1</f>
        <v>-1</v>
      </c>
      <c r="H58" s="264">
        <f>+H34-H31-1</f>
        <v>-1</v>
      </c>
      <c r="I58" s="495">
        <f>+I34-I31-1</f>
        <v>45917</v>
      </c>
      <c r="J58" s="264">
        <f>+J34-J31-1</f>
        <v>41442</v>
      </c>
      <c r="K58" s="264">
        <f>+K34-K31-3</f>
        <v>36205</v>
      </c>
      <c r="L58" s="264">
        <f>+L34-L31-3</f>
        <v>38846</v>
      </c>
      <c r="M58" s="495">
        <f>+M34-1</f>
        <v>40841</v>
      </c>
      <c r="N58" s="264">
        <f>N34-N31-N32</f>
        <v>23684</v>
      </c>
      <c r="O58" s="264">
        <f>O34-O31</f>
        <v>19065</v>
      </c>
      <c r="P58" s="264">
        <f t="shared" ref="P58:U58" si="35">P34</f>
        <v>20340</v>
      </c>
      <c r="Q58" s="252">
        <f t="shared" si="35"/>
        <v>23902</v>
      </c>
      <c r="R58" s="264">
        <f t="shared" si="35"/>
        <v>23515</v>
      </c>
      <c r="S58" s="264">
        <f t="shared" si="35"/>
        <v>27752</v>
      </c>
      <c r="T58" s="264">
        <f t="shared" si="35"/>
        <v>20429</v>
      </c>
      <c r="U58" s="252">
        <f t="shared" si="35"/>
        <v>22719</v>
      </c>
      <c r="V58" s="264">
        <v>18936</v>
      </c>
      <c r="W58" s="264">
        <v>22225</v>
      </c>
      <c r="X58" s="264">
        <v>25687</v>
      </c>
      <c r="Y58" s="252">
        <v>24938</v>
      </c>
      <c r="Z58" s="264">
        <v>20382</v>
      </c>
      <c r="AA58" s="264">
        <v>21311</v>
      </c>
      <c r="AB58" s="264">
        <v>22165</v>
      </c>
      <c r="AC58" s="252">
        <v>24603</v>
      </c>
      <c r="AD58" s="160">
        <v>28700</v>
      </c>
      <c r="AE58" s="160">
        <v>23749</v>
      </c>
      <c r="AF58" s="160">
        <v>23836</v>
      </c>
      <c r="AG58" s="164">
        <v>25278</v>
      </c>
      <c r="AH58" s="129">
        <v>23039</v>
      </c>
      <c r="AI58" s="164">
        <v>20245</v>
      </c>
      <c r="AJ58" s="164">
        <v>18732</v>
      </c>
      <c r="AK58" s="164">
        <v>20213</v>
      </c>
      <c r="AL58" s="47"/>
      <c r="AM58" s="235">
        <f>SUM(K58:M58)</f>
        <v>115892</v>
      </c>
      <c r="AN58" s="235">
        <f>SUM(O58:Q58)</f>
        <v>63307</v>
      </c>
      <c r="AO58" s="388">
        <f>AR58-AS58</f>
        <v>70343</v>
      </c>
      <c r="AP58" s="389">
        <f>AO58/AS58</f>
        <v>0.80862388063132973</v>
      </c>
      <c r="AQ58" s="44"/>
      <c r="AR58" s="372">
        <f>SUM(J58:M58)</f>
        <v>157334</v>
      </c>
      <c r="AS58" s="372">
        <f>SUM(N58:Q58)</f>
        <v>86991</v>
      </c>
      <c r="AT58" s="372">
        <f>SUM(R58:U58)</f>
        <v>94415</v>
      </c>
      <c r="AU58" s="118">
        <v>91786</v>
      </c>
      <c r="AV58" s="118">
        <v>88461</v>
      </c>
      <c r="AW58" s="129">
        <v>101563</v>
      </c>
      <c r="AX58" s="129">
        <v>84303</v>
      </c>
      <c r="AY58" s="37">
        <f>AY34</f>
        <v>16880</v>
      </c>
      <c r="AZ58" s="37">
        <f>AZ34</f>
        <v>0</v>
      </c>
      <c r="BA58" s="37">
        <f>BA34</f>
        <v>0</v>
      </c>
      <c r="BB58" s="3"/>
      <c r="BC58" s="3"/>
      <c r="BD58" s="3"/>
      <c r="BG58" s="3"/>
    </row>
    <row r="59" spans="1:59" ht="12.75" customHeight="1" x14ac:dyDescent="0.2">
      <c r="A59" s="44"/>
      <c r="B59" s="91" t="s">
        <v>72</v>
      </c>
      <c r="C59" s="97" t="e">
        <f>I59-M59</f>
        <v>#REF!</v>
      </c>
      <c r="D59" s="98" t="e">
        <f>-IF(OR((C59/M59)&gt;3,(C59/M59)&lt;-3),"n.m.",(C59/M59))</f>
        <v>#REF!</v>
      </c>
      <c r="E59" s="356"/>
      <c r="F59" s="270" t="e">
        <f t="shared" ref="F59:M59" si="36">+F57-F58</f>
        <v>#REF!</v>
      </c>
      <c r="G59" s="270" t="e">
        <f t="shared" si="36"/>
        <v>#REF!</v>
      </c>
      <c r="H59" s="270" t="e">
        <f t="shared" si="36"/>
        <v>#REF!</v>
      </c>
      <c r="I59" s="253" t="e">
        <f t="shared" si="36"/>
        <v>#REF!</v>
      </c>
      <c r="J59" s="270" t="e">
        <f t="shared" si="36"/>
        <v>#REF!</v>
      </c>
      <c r="K59" s="270" t="e">
        <f t="shared" si="36"/>
        <v>#REF!</v>
      </c>
      <c r="L59" s="270" t="e">
        <f t="shared" si="36"/>
        <v>#REF!</v>
      </c>
      <c r="M59" s="253" t="e">
        <f t="shared" si="36"/>
        <v>#REF!</v>
      </c>
      <c r="N59" s="270" t="e">
        <f t="shared" ref="N59:U59" si="37">N57-N58</f>
        <v>#REF!</v>
      </c>
      <c r="O59" s="270" t="e">
        <f t="shared" si="37"/>
        <v>#REF!</v>
      </c>
      <c r="P59" s="270" t="e">
        <f t="shared" si="37"/>
        <v>#REF!</v>
      </c>
      <c r="Q59" s="253" t="e">
        <f t="shared" si="37"/>
        <v>#REF!</v>
      </c>
      <c r="R59" s="270">
        <f t="shared" si="37"/>
        <v>5683</v>
      </c>
      <c r="S59" s="270">
        <f t="shared" si="37"/>
        <v>6421</v>
      </c>
      <c r="T59" s="270">
        <f t="shared" si="37"/>
        <v>664</v>
      </c>
      <c r="U59" s="253">
        <f t="shared" si="37"/>
        <v>3987</v>
      </c>
      <c r="V59" s="270">
        <v>1348</v>
      </c>
      <c r="W59" s="270">
        <v>592</v>
      </c>
      <c r="X59" s="270">
        <v>4450</v>
      </c>
      <c r="Y59" s="253">
        <v>2241</v>
      </c>
      <c r="Z59" s="270">
        <v>-3170</v>
      </c>
      <c r="AA59" s="270">
        <v>-4778</v>
      </c>
      <c r="AB59" s="270">
        <v>-3881</v>
      </c>
      <c r="AC59" s="253">
        <v>1018</v>
      </c>
      <c r="AD59" s="166">
        <v>-4631</v>
      </c>
      <c r="AE59" s="166">
        <v>-642</v>
      </c>
      <c r="AF59" s="166">
        <v>-3182</v>
      </c>
      <c r="AG59" s="167">
        <v>1096</v>
      </c>
      <c r="AH59" s="134">
        <v>-3204</v>
      </c>
      <c r="AI59" s="167">
        <v>-1632</v>
      </c>
      <c r="AJ59" s="167">
        <v>-11360</v>
      </c>
      <c r="AK59" s="167">
        <v>-11478</v>
      </c>
      <c r="AL59" s="47"/>
      <c r="AM59" s="243" t="e">
        <f>AM57-AM58</f>
        <v>#REF!</v>
      </c>
      <c r="AN59" s="243" t="e">
        <f>AN57-AN58</f>
        <v>#REF!</v>
      </c>
      <c r="AO59" s="390" t="e">
        <f>AR59-AS59</f>
        <v>#REF!</v>
      </c>
      <c r="AP59" s="322" t="e">
        <f>-IF(OR((AO59/AS59)&gt;3,(AO59/AS59)&lt;-3),"n.m.",(AO59/AS59))</f>
        <v>#REF!</v>
      </c>
      <c r="AQ59" s="44"/>
      <c r="AR59" s="373" t="e">
        <f>AR57-AR58</f>
        <v>#REF!</v>
      </c>
      <c r="AS59" s="373" t="e">
        <f>AS57-AS58</f>
        <v>#REF!</v>
      </c>
      <c r="AT59" s="373">
        <f>SUM(R59:U59)</f>
        <v>16755</v>
      </c>
      <c r="AU59" s="128">
        <v>8631</v>
      </c>
      <c r="AV59" s="128">
        <v>-10811</v>
      </c>
      <c r="AW59" s="134">
        <v>-7359</v>
      </c>
      <c r="AX59" s="134">
        <v>-3630</v>
      </c>
      <c r="AY59" s="102">
        <f>AY57-AY58</f>
        <v>3081</v>
      </c>
      <c r="AZ59" s="102">
        <f>AZ57-AZ58</f>
        <v>0</v>
      </c>
      <c r="BA59" s="102">
        <f>BA57-BA58</f>
        <v>0</v>
      </c>
      <c r="BB59" s="3"/>
      <c r="BC59" s="3"/>
      <c r="BD59" s="3"/>
      <c r="BG59" s="3"/>
    </row>
    <row r="60" spans="1:59" ht="12.75" customHeight="1" x14ac:dyDescent="0.2">
      <c r="A60" s="44"/>
      <c r="B60" s="91"/>
      <c r="C60" s="96"/>
      <c r="D60" s="342"/>
      <c r="E60" s="9"/>
      <c r="F60" s="264"/>
      <c r="G60" s="264"/>
      <c r="H60" s="264"/>
      <c r="I60" s="494"/>
      <c r="J60" s="264"/>
      <c r="K60" s="264"/>
      <c r="L60" s="264"/>
      <c r="M60" s="494"/>
      <c r="N60" s="264"/>
      <c r="O60" s="264"/>
      <c r="P60" s="264"/>
      <c r="Q60" s="235"/>
      <c r="R60" s="264"/>
      <c r="S60" s="264"/>
      <c r="T60" s="264"/>
      <c r="U60" s="235"/>
      <c r="V60" s="264"/>
      <c r="W60" s="264"/>
      <c r="X60" s="264"/>
      <c r="Y60" s="235"/>
      <c r="Z60" s="264"/>
      <c r="AA60" s="264"/>
      <c r="AB60" s="264"/>
      <c r="AC60" s="235"/>
      <c r="AD60" s="160"/>
      <c r="AE60" s="160"/>
      <c r="AF60" s="160"/>
      <c r="AG60" s="160"/>
      <c r="AH60" s="160"/>
      <c r="AI60" s="160"/>
      <c r="AJ60" s="160"/>
      <c r="AK60" s="160"/>
      <c r="AL60" s="91"/>
      <c r="AM60" s="91"/>
      <c r="AN60" s="91"/>
      <c r="AO60" s="388"/>
      <c r="AP60" s="342"/>
      <c r="AQ60" s="44"/>
      <c r="AR60" s="368"/>
      <c r="AS60" s="368"/>
      <c r="AT60" s="368"/>
      <c r="AU60" s="235"/>
      <c r="AV60" s="235"/>
      <c r="AW60" s="160"/>
      <c r="AX60" s="160"/>
      <c r="AY60" s="28"/>
      <c r="AZ60" s="28"/>
      <c r="BA60" s="28"/>
      <c r="BB60" s="3"/>
      <c r="BC60" s="3"/>
      <c r="BD60" s="3"/>
      <c r="BG60" s="3"/>
    </row>
    <row r="61" spans="1:59" ht="12.75" customHeight="1" x14ac:dyDescent="0.2">
      <c r="A61" s="10" t="s">
        <v>194</v>
      </c>
      <c r="B61" s="88"/>
      <c r="C61" s="91"/>
      <c r="D61" s="91"/>
      <c r="E61" s="91"/>
      <c r="F61" s="483"/>
      <c r="G61" s="483"/>
      <c r="H61" s="483"/>
      <c r="I61" s="483"/>
      <c r="J61" s="483"/>
      <c r="K61" s="483"/>
      <c r="L61" s="483"/>
      <c r="M61" s="483"/>
      <c r="N61" s="91"/>
      <c r="O61" s="91"/>
      <c r="P61" s="91"/>
      <c r="Q61" s="91"/>
      <c r="R61" s="91"/>
      <c r="S61" s="91"/>
      <c r="T61" s="91"/>
      <c r="U61" s="91"/>
      <c r="V61" s="91"/>
      <c r="W61" s="91"/>
      <c r="X61" s="91"/>
      <c r="Y61" s="91"/>
      <c r="Z61" s="91"/>
      <c r="AA61" s="265"/>
      <c r="AB61" s="91"/>
      <c r="AC61" s="91"/>
      <c r="AD61" s="91"/>
      <c r="AE61" s="91"/>
      <c r="AF61" s="91"/>
      <c r="AG61" s="6"/>
      <c r="AH61" s="91"/>
      <c r="AI61" s="6"/>
      <c r="AJ61" s="6"/>
      <c r="AK61" s="91"/>
      <c r="AL61" s="91"/>
      <c r="AM61" s="91"/>
      <c r="AN61" s="91"/>
      <c r="AO61" s="370"/>
      <c r="AP61" s="370"/>
      <c r="AQ61" s="91"/>
      <c r="AR61" s="370"/>
      <c r="AS61" s="370"/>
      <c r="AT61" s="370"/>
      <c r="AU61" s="91"/>
      <c r="AV61" s="91"/>
      <c r="AW61" s="91"/>
      <c r="AX61" s="91"/>
      <c r="AY61" s="28"/>
      <c r="AZ61" s="28"/>
      <c r="BA61" s="28"/>
      <c r="BB61" s="3"/>
      <c r="BC61" s="3"/>
      <c r="BD61" s="3"/>
      <c r="BG61" s="3"/>
    </row>
    <row r="62" spans="1:59" ht="12.75" customHeight="1" x14ac:dyDescent="0.2">
      <c r="C62" s="3204" t="s">
        <v>312</v>
      </c>
      <c r="D62" s="3205"/>
      <c r="E62" s="184"/>
      <c r="F62" s="273"/>
      <c r="G62" s="273"/>
      <c r="H62" s="273"/>
      <c r="I62" s="17"/>
      <c r="J62" s="273"/>
      <c r="K62" s="273"/>
      <c r="L62" s="273"/>
      <c r="M62" s="17"/>
      <c r="N62" s="15"/>
      <c r="O62" s="16"/>
      <c r="P62" s="273"/>
      <c r="Q62" s="17"/>
      <c r="R62" s="15"/>
      <c r="S62" s="16"/>
      <c r="T62" s="273"/>
      <c r="U62" s="17"/>
      <c r="V62" s="481"/>
      <c r="W62" s="16"/>
      <c r="X62" s="2"/>
      <c r="Y62" s="17"/>
      <c r="Z62" s="16"/>
      <c r="AA62" s="481"/>
      <c r="AB62" s="273"/>
      <c r="AC62" s="17"/>
      <c r="AD62" s="16"/>
      <c r="AE62" s="16"/>
      <c r="AF62" s="16"/>
      <c r="AG62" s="16"/>
      <c r="AH62" s="20"/>
      <c r="AI62" s="17"/>
      <c r="AJ62" s="17"/>
      <c r="AK62" s="17"/>
      <c r="AL62" s="22"/>
      <c r="AM62" s="445" t="s">
        <v>299</v>
      </c>
      <c r="AN62" s="433"/>
      <c r="AO62" s="433" t="s">
        <v>284</v>
      </c>
      <c r="AP62" s="434"/>
      <c r="AQ62" s="91"/>
      <c r="AR62" s="530"/>
      <c r="AS62" s="464"/>
      <c r="AT62" s="402"/>
      <c r="AU62" s="46"/>
      <c r="AV62" s="46"/>
      <c r="AW62" s="126"/>
      <c r="AX62" s="124"/>
      <c r="AY62" s="46"/>
      <c r="AZ62" s="28"/>
      <c r="BA62" s="28"/>
      <c r="BB62" s="23"/>
      <c r="BC62" s="3"/>
      <c r="BD62" s="3"/>
      <c r="BG62" s="3"/>
    </row>
    <row r="63" spans="1:59" ht="12.75" customHeight="1" x14ac:dyDescent="0.2">
      <c r="C63" s="3201" t="s">
        <v>38</v>
      </c>
      <c r="D63" s="3202"/>
      <c r="E63" s="355"/>
      <c r="F63" s="19" t="s">
        <v>315</v>
      </c>
      <c r="G63" s="19" t="s">
        <v>314</v>
      </c>
      <c r="H63" s="19" t="s">
        <v>313</v>
      </c>
      <c r="I63" s="12" t="s">
        <v>311</v>
      </c>
      <c r="J63" s="19" t="s">
        <v>270</v>
      </c>
      <c r="K63" s="19" t="s">
        <v>271</v>
      </c>
      <c r="L63" s="19" t="s">
        <v>272</v>
      </c>
      <c r="M63" s="12" t="s">
        <v>273</v>
      </c>
      <c r="N63" s="18" t="s">
        <v>223</v>
      </c>
      <c r="O63" s="19" t="s">
        <v>224</v>
      </c>
      <c r="P63" s="19" t="s">
        <v>225</v>
      </c>
      <c r="Q63" s="12" t="s">
        <v>222</v>
      </c>
      <c r="R63" s="18" t="s">
        <v>189</v>
      </c>
      <c r="S63" s="19" t="s">
        <v>190</v>
      </c>
      <c r="T63" s="19" t="s">
        <v>191</v>
      </c>
      <c r="U63" s="12" t="s">
        <v>192</v>
      </c>
      <c r="V63" s="19" t="s">
        <v>121</v>
      </c>
      <c r="W63" s="19" t="s">
        <v>120</v>
      </c>
      <c r="X63" s="19" t="s">
        <v>119</v>
      </c>
      <c r="Y63" s="12" t="s">
        <v>118</v>
      </c>
      <c r="Z63" s="19" t="s">
        <v>81</v>
      </c>
      <c r="AA63" s="19" t="s">
        <v>82</v>
      </c>
      <c r="AB63" s="19" t="s">
        <v>83</v>
      </c>
      <c r="AC63" s="12" t="s">
        <v>29</v>
      </c>
      <c r="AD63" s="19" t="s">
        <v>30</v>
      </c>
      <c r="AE63" s="19" t="s">
        <v>31</v>
      </c>
      <c r="AF63" s="19" t="s">
        <v>32</v>
      </c>
      <c r="AG63" s="19" t="s">
        <v>33</v>
      </c>
      <c r="AH63" s="21" t="s">
        <v>34</v>
      </c>
      <c r="AI63" s="12" t="s">
        <v>35</v>
      </c>
      <c r="AJ63" s="12" t="s">
        <v>36</v>
      </c>
      <c r="AK63" s="12" t="s">
        <v>37</v>
      </c>
      <c r="AL63" s="184"/>
      <c r="AM63" s="19" t="s">
        <v>271</v>
      </c>
      <c r="AN63" s="19" t="s">
        <v>224</v>
      </c>
      <c r="AO63" s="3203" t="s">
        <v>38</v>
      </c>
      <c r="AP63" s="3202"/>
      <c r="AQ63" s="91"/>
      <c r="AR63" s="18" t="s">
        <v>275</v>
      </c>
      <c r="AS63" s="18" t="s">
        <v>227</v>
      </c>
      <c r="AT63" s="18" t="s">
        <v>123</v>
      </c>
      <c r="AU63" s="18" t="s">
        <v>122</v>
      </c>
      <c r="AV63" s="18" t="s">
        <v>42</v>
      </c>
      <c r="AW63" s="18" t="s">
        <v>39</v>
      </c>
      <c r="AX63" s="21" t="s">
        <v>40</v>
      </c>
      <c r="AY63" s="21" t="s">
        <v>142</v>
      </c>
      <c r="AZ63" s="28"/>
      <c r="BA63" s="28"/>
      <c r="BB63" s="23"/>
      <c r="BC63" s="3"/>
      <c r="BD63" s="3"/>
      <c r="BG63" s="3"/>
    </row>
    <row r="64" spans="1:59" ht="12.75" customHeight="1" x14ac:dyDescent="0.2">
      <c r="A64" s="44"/>
      <c r="B64" s="6" t="s">
        <v>300</v>
      </c>
      <c r="C64" s="45">
        <f t="shared" ref="C64:C70" si="38">I64-M64</f>
        <v>-205</v>
      </c>
      <c r="D64" s="498">
        <f t="shared" ref="D64:D70" si="39">IF(OR((C64/M64)&gt;3,(C64/M64)&lt;-3),"n.m.",(C64/M64))</f>
        <v>-1.1314090181577349E-2</v>
      </c>
      <c r="E64" s="47"/>
      <c r="F64" s="500"/>
      <c r="G64" s="500"/>
      <c r="H64" s="500"/>
      <c r="I64" s="26">
        <v>17914</v>
      </c>
      <c r="J64" s="500">
        <v>15889</v>
      </c>
      <c r="K64" s="500">
        <v>16583</v>
      </c>
      <c r="L64" s="500">
        <v>17058</v>
      </c>
      <c r="M64" s="26">
        <v>18119</v>
      </c>
      <c r="N64" s="28">
        <v>11991</v>
      </c>
      <c r="O64" s="460">
        <v>11693</v>
      </c>
      <c r="P64" s="160">
        <v>11987</v>
      </c>
      <c r="Q64" s="26">
        <v>12758</v>
      </c>
      <c r="R64" s="28">
        <v>15209</v>
      </c>
      <c r="S64" s="160">
        <v>15284</v>
      </c>
      <c r="T64" s="28">
        <v>13899</v>
      </c>
      <c r="U64" s="26">
        <v>13805</v>
      </c>
      <c r="V64" s="28">
        <v>10539</v>
      </c>
      <c r="W64" s="160">
        <v>10095</v>
      </c>
      <c r="X64" s="28">
        <v>10597</v>
      </c>
      <c r="Y64" s="26">
        <v>11230</v>
      </c>
      <c r="Z64" s="28">
        <v>11862</v>
      </c>
      <c r="AA64" s="160">
        <v>10791</v>
      </c>
      <c r="AB64" s="26">
        <v>13600</v>
      </c>
      <c r="AC64" s="26">
        <v>12602</v>
      </c>
      <c r="AD64" s="252">
        <v>29584</v>
      </c>
      <c r="AE64" s="91"/>
      <c r="AF64" s="91"/>
      <c r="AG64" s="6"/>
      <c r="AH64" s="91"/>
      <c r="AI64" s="6"/>
      <c r="AJ64" s="6"/>
      <c r="AK64" s="91"/>
      <c r="AL64" s="47"/>
      <c r="AM64" s="235">
        <f t="shared" ref="AM64:AM69" si="40">SUM(K64:M64)</f>
        <v>51760</v>
      </c>
      <c r="AN64" s="235">
        <f t="shared" ref="AN64:AN69" si="41">SUM(O64:Q64)</f>
        <v>36438</v>
      </c>
      <c r="AO64" s="398">
        <f t="shared" ref="AO64:AO70" si="42">AR64-AS64</f>
        <v>19220</v>
      </c>
      <c r="AP64" s="389">
        <f>IF(OR((AO64/AS64)&gt;3,(AO64/AS64)&lt;-3),"n.m.",(AO64/AS64))</f>
        <v>0.39686964422143756</v>
      </c>
      <c r="AQ64" s="91"/>
      <c r="AR64" s="372">
        <f t="shared" ref="AR64:AR69" si="43">SUM(J64:M64)</f>
        <v>67649</v>
      </c>
      <c r="AS64" s="372">
        <f t="shared" ref="AS64:AS69" si="44">SUM(N64:Q64)</f>
        <v>48429</v>
      </c>
      <c r="AT64" s="376">
        <v>58197</v>
      </c>
      <c r="AU64" s="37">
        <v>42461</v>
      </c>
      <c r="AV64" s="37">
        <v>48855</v>
      </c>
      <c r="AW64" s="37">
        <v>47101</v>
      </c>
      <c r="AX64" s="37">
        <v>46312</v>
      </c>
      <c r="AY64" s="37">
        <v>20817</v>
      </c>
      <c r="AZ64" s="28"/>
      <c r="BA64" s="28"/>
      <c r="BB64" s="23"/>
      <c r="BC64" s="3"/>
      <c r="BD64" s="3"/>
      <c r="BG64" s="3"/>
    </row>
    <row r="65" spans="1:59" ht="12.75" customHeight="1" x14ac:dyDescent="0.2">
      <c r="A65" s="44"/>
      <c r="B65" s="6" t="s">
        <v>60</v>
      </c>
      <c r="C65" s="45">
        <f t="shared" si="38"/>
        <v>9051</v>
      </c>
      <c r="D65" s="498">
        <f t="shared" si="39"/>
        <v>2.2919726513041274</v>
      </c>
      <c r="E65" s="47"/>
      <c r="F65" s="500"/>
      <c r="G65" s="500"/>
      <c r="H65" s="500"/>
      <c r="I65" s="26">
        <v>13000</v>
      </c>
      <c r="J65" s="500">
        <v>9784</v>
      </c>
      <c r="K65" s="500">
        <v>3629</v>
      </c>
      <c r="L65" s="500">
        <v>6842</v>
      </c>
      <c r="M65" s="26">
        <v>3949</v>
      </c>
      <c r="N65" s="28">
        <v>3942</v>
      </c>
      <c r="O65" s="460">
        <v>5342</v>
      </c>
      <c r="P65" s="160">
        <v>4651</v>
      </c>
      <c r="Q65" s="26">
        <v>11486</v>
      </c>
      <c r="R65" s="28">
        <v>11091</v>
      </c>
      <c r="S65" s="160">
        <v>15764</v>
      </c>
      <c r="T65" s="28">
        <v>6218</v>
      </c>
      <c r="U65" s="26">
        <v>9888</v>
      </c>
      <c r="V65" s="28">
        <v>4688</v>
      </c>
      <c r="W65" s="160">
        <v>11947</v>
      </c>
      <c r="X65" s="28">
        <v>8461</v>
      </c>
      <c r="Y65" s="26">
        <v>12184</v>
      </c>
      <c r="Z65" s="28">
        <v>2110</v>
      </c>
      <c r="AA65" s="160">
        <v>74</v>
      </c>
      <c r="AB65" s="26">
        <v>2233</v>
      </c>
      <c r="AC65" s="26">
        <v>8627</v>
      </c>
      <c r="AD65" s="252">
        <v>68274</v>
      </c>
      <c r="AE65" s="91">
        <v>0</v>
      </c>
      <c r="AF65" s="91">
        <v>0</v>
      </c>
      <c r="AG65" s="6">
        <v>0</v>
      </c>
      <c r="AH65" s="91">
        <v>0</v>
      </c>
      <c r="AI65" s="6">
        <v>0</v>
      </c>
      <c r="AJ65" s="6">
        <v>0</v>
      </c>
      <c r="AK65" s="91">
        <v>0</v>
      </c>
      <c r="AL65" s="47"/>
      <c r="AM65" s="235">
        <f t="shared" si="40"/>
        <v>14420</v>
      </c>
      <c r="AN65" s="235">
        <f t="shared" si="41"/>
        <v>21479</v>
      </c>
      <c r="AO65" s="392">
        <f t="shared" si="42"/>
        <v>-1217</v>
      </c>
      <c r="AP65" s="389">
        <f>IF(OR((AO65/AS65)&gt;3,(AO65/AS65)&lt;-3),"n.m.",(AO65/AS65))</f>
        <v>-4.7873805121749734E-2</v>
      </c>
      <c r="AQ65" s="91"/>
      <c r="AR65" s="372">
        <f t="shared" si="43"/>
        <v>24204</v>
      </c>
      <c r="AS65" s="372">
        <f t="shared" si="44"/>
        <v>25421</v>
      </c>
      <c r="AT65" s="376">
        <v>42961</v>
      </c>
      <c r="AU65" s="37">
        <v>37280</v>
      </c>
      <c r="AV65" s="37">
        <v>13044</v>
      </c>
      <c r="AW65" s="37">
        <v>34077</v>
      </c>
      <c r="AX65" s="37">
        <v>20909</v>
      </c>
      <c r="AY65" s="37">
        <f>7416-4509</f>
        <v>2907</v>
      </c>
      <c r="AZ65" s="28"/>
      <c r="BA65" s="28"/>
      <c r="BB65" s="23"/>
      <c r="BC65" s="3"/>
      <c r="BD65" s="3"/>
      <c r="BG65" s="3"/>
    </row>
    <row r="66" spans="1:59" ht="12.75" customHeight="1" x14ac:dyDescent="0.2">
      <c r="A66" s="44"/>
      <c r="B66" s="6" t="s">
        <v>208</v>
      </c>
      <c r="C66" s="45">
        <f t="shared" si="38"/>
        <v>3005</v>
      </c>
      <c r="D66" s="498">
        <f t="shared" si="39"/>
        <v>0.8351862145636465</v>
      </c>
      <c r="E66" s="47"/>
      <c r="F66" s="507"/>
      <c r="G66" s="507"/>
      <c r="H66" s="507"/>
      <c r="I66" s="26">
        <v>6603</v>
      </c>
      <c r="J66" s="507">
        <v>6074</v>
      </c>
      <c r="K66" s="507">
        <v>5988</v>
      </c>
      <c r="L66" s="507">
        <v>5624</v>
      </c>
      <c r="M66" s="26">
        <v>3598</v>
      </c>
      <c r="N66" s="28">
        <v>1320</v>
      </c>
      <c r="O66" s="28">
        <v>838</v>
      </c>
      <c r="P66" s="28">
        <v>1962</v>
      </c>
      <c r="Q66" s="26">
        <v>2960</v>
      </c>
      <c r="R66" s="28">
        <v>2860</v>
      </c>
      <c r="S66" s="28">
        <v>2926</v>
      </c>
      <c r="T66" s="28">
        <v>740</v>
      </c>
      <c r="U66" s="26">
        <v>3062</v>
      </c>
      <c r="V66" s="28">
        <v>4933</v>
      </c>
      <c r="W66" s="28">
        <v>1525</v>
      </c>
      <c r="X66" s="28">
        <v>11768</v>
      </c>
      <c r="Y66" s="26">
        <v>3665</v>
      </c>
      <c r="Z66" s="28">
        <v>3141</v>
      </c>
      <c r="AA66" s="28">
        <v>5516</v>
      </c>
      <c r="AB66" s="26">
        <v>2314</v>
      </c>
      <c r="AC66" s="26">
        <v>4200</v>
      </c>
      <c r="AD66" s="252"/>
      <c r="AE66" s="91"/>
      <c r="AF66" s="91"/>
      <c r="AG66" s="6"/>
      <c r="AH66" s="91"/>
      <c r="AI66" s="6"/>
      <c r="AJ66" s="6"/>
      <c r="AK66" s="91"/>
      <c r="AL66" s="47"/>
      <c r="AM66" s="235">
        <f t="shared" si="40"/>
        <v>15210</v>
      </c>
      <c r="AN66" s="235">
        <f t="shared" si="41"/>
        <v>5760</v>
      </c>
      <c r="AO66" s="392">
        <f t="shared" si="42"/>
        <v>14204</v>
      </c>
      <c r="AP66" s="389">
        <f>IF(OR((AO66/AS66)&gt;3,(AO66/AS66)&lt;-3),"n.m.",(AO66/AS66))</f>
        <v>2.0062146892655366</v>
      </c>
      <c r="AQ66" s="91"/>
      <c r="AR66" s="372">
        <f t="shared" si="43"/>
        <v>21284</v>
      </c>
      <c r="AS66" s="372">
        <f t="shared" si="44"/>
        <v>7080</v>
      </c>
      <c r="AT66" s="376">
        <v>9588</v>
      </c>
      <c r="AU66" s="37">
        <v>21891</v>
      </c>
      <c r="AV66" s="37">
        <v>15171</v>
      </c>
      <c r="AW66" s="37">
        <v>11589</v>
      </c>
      <c r="AX66" s="37">
        <v>12740</v>
      </c>
      <c r="AY66" s="37">
        <v>4509</v>
      </c>
      <c r="AZ66" s="28"/>
      <c r="BA66" s="28"/>
      <c r="BB66" s="23"/>
      <c r="BC66" s="3"/>
      <c r="BD66" s="3"/>
      <c r="BG66" s="3"/>
    </row>
    <row r="67" spans="1:59" ht="12.75" customHeight="1" x14ac:dyDescent="0.2">
      <c r="A67" s="44"/>
      <c r="B67" s="6" t="s">
        <v>61</v>
      </c>
      <c r="C67" s="45">
        <f t="shared" si="38"/>
        <v>9066</v>
      </c>
      <c r="D67" s="498">
        <f t="shared" si="39"/>
        <v>1.6677704194260485</v>
      </c>
      <c r="E67" s="47"/>
      <c r="F67" s="507"/>
      <c r="G67" s="507"/>
      <c r="H67" s="507"/>
      <c r="I67" s="26">
        <v>14502</v>
      </c>
      <c r="J67" s="507">
        <v>13382</v>
      </c>
      <c r="K67" s="507">
        <v>11455</v>
      </c>
      <c r="L67" s="507">
        <v>9853</v>
      </c>
      <c r="M67" s="26">
        <v>5436</v>
      </c>
      <c r="N67" s="28">
        <v>1678</v>
      </c>
      <c r="O67" s="28">
        <v>0</v>
      </c>
      <c r="P67" s="28">
        <v>0</v>
      </c>
      <c r="Q67" s="26">
        <v>0</v>
      </c>
      <c r="R67" s="28">
        <v>0</v>
      </c>
      <c r="S67" s="28">
        <v>0</v>
      </c>
      <c r="T67" s="28">
        <v>0</v>
      </c>
      <c r="U67" s="26">
        <v>0</v>
      </c>
      <c r="V67" s="28">
        <v>0</v>
      </c>
      <c r="W67" s="28">
        <v>0</v>
      </c>
      <c r="X67" s="28">
        <v>0</v>
      </c>
      <c r="Y67" s="26">
        <v>0</v>
      </c>
      <c r="Z67" s="28">
        <v>1</v>
      </c>
      <c r="AA67" s="160">
        <v>-1</v>
      </c>
      <c r="AB67" s="26">
        <v>0</v>
      </c>
      <c r="AC67" s="26">
        <v>0</v>
      </c>
      <c r="AD67" s="252">
        <v>5363</v>
      </c>
      <c r="AE67" s="91"/>
      <c r="AF67" s="91"/>
      <c r="AG67" s="6"/>
      <c r="AH67" s="91"/>
      <c r="AI67" s="6"/>
      <c r="AJ67" s="6"/>
      <c r="AK67" s="91"/>
      <c r="AL67" s="47"/>
      <c r="AM67" s="28">
        <f t="shared" si="40"/>
        <v>26744</v>
      </c>
      <c r="AN67" s="28">
        <f t="shared" si="41"/>
        <v>0</v>
      </c>
      <c r="AO67" s="392">
        <f t="shared" si="42"/>
        <v>38448</v>
      </c>
      <c r="AP67" s="324" t="s">
        <v>41</v>
      </c>
      <c r="AQ67" s="91"/>
      <c r="AR67" s="372">
        <f t="shared" si="43"/>
        <v>40126</v>
      </c>
      <c r="AS67" s="372">
        <f t="shared" si="44"/>
        <v>1678</v>
      </c>
      <c r="AT67" s="376">
        <v>0</v>
      </c>
      <c r="AU67" s="37">
        <v>0</v>
      </c>
      <c r="AV67" s="37">
        <v>0</v>
      </c>
      <c r="AW67" s="37">
        <v>0</v>
      </c>
      <c r="AX67" s="37">
        <v>-1634</v>
      </c>
      <c r="AY67" s="37">
        <v>-1266</v>
      </c>
      <c r="AZ67" s="28"/>
      <c r="BA67" s="28"/>
      <c r="BB67" s="23"/>
      <c r="BC67" s="3"/>
      <c r="BD67" s="3"/>
      <c r="BG67" s="3"/>
    </row>
    <row r="68" spans="1:59" ht="12.75" customHeight="1" x14ac:dyDescent="0.2">
      <c r="A68" s="44"/>
      <c r="B68" s="6" t="s">
        <v>62</v>
      </c>
      <c r="C68" s="45">
        <f t="shared" si="38"/>
        <v>137</v>
      </c>
      <c r="D68" s="498">
        <f t="shared" si="39"/>
        <v>0.40412979351032446</v>
      </c>
      <c r="E68" s="47"/>
      <c r="F68" s="500"/>
      <c r="G68" s="500"/>
      <c r="H68" s="500"/>
      <c r="I68" s="26">
        <v>476</v>
      </c>
      <c r="J68" s="500">
        <v>420</v>
      </c>
      <c r="K68" s="500">
        <v>461</v>
      </c>
      <c r="L68" s="500">
        <v>399</v>
      </c>
      <c r="M68" s="26">
        <v>339</v>
      </c>
      <c r="N68" s="28">
        <v>25</v>
      </c>
      <c r="O68" s="460">
        <v>13</v>
      </c>
      <c r="P68" s="160">
        <v>16</v>
      </c>
      <c r="Q68" s="26">
        <v>19</v>
      </c>
      <c r="R68" s="28">
        <v>29</v>
      </c>
      <c r="S68" s="160">
        <v>18</v>
      </c>
      <c r="T68" s="28">
        <v>17</v>
      </c>
      <c r="U68" s="26">
        <v>17</v>
      </c>
      <c r="V68" s="28">
        <v>-66</v>
      </c>
      <c r="W68" s="160">
        <v>-778</v>
      </c>
      <c r="X68" s="28">
        <v>-794</v>
      </c>
      <c r="Y68" s="26">
        <v>-17</v>
      </c>
      <c r="Z68" s="28">
        <v>29</v>
      </c>
      <c r="AA68" s="160">
        <v>67</v>
      </c>
      <c r="AB68" s="26">
        <v>101</v>
      </c>
      <c r="AC68" s="26">
        <v>145</v>
      </c>
      <c r="AD68" s="252">
        <v>1512</v>
      </c>
      <c r="AE68" s="91"/>
      <c r="AF68" s="91"/>
      <c r="AG68" s="6"/>
      <c r="AH68" s="91"/>
      <c r="AI68" s="6"/>
      <c r="AJ68" s="6"/>
      <c r="AK68" s="91"/>
      <c r="AL68" s="47"/>
      <c r="AM68" s="235">
        <f t="shared" si="40"/>
        <v>1199</v>
      </c>
      <c r="AN68" s="235">
        <f t="shared" si="41"/>
        <v>48</v>
      </c>
      <c r="AO68" s="392">
        <f t="shared" si="42"/>
        <v>1546</v>
      </c>
      <c r="AP68" s="324" t="str">
        <f>IF(OR((AO68/AS68)&gt;3,(AO68/AS68)&lt;-3),"n.m.",(AO68/AS68))</f>
        <v>n.m.</v>
      </c>
      <c r="AQ68" s="91"/>
      <c r="AR68" s="372">
        <f t="shared" si="43"/>
        <v>1619</v>
      </c>
      <c r="AS68" s="372">
        <f t="shared" si="44"/>
        <v>73</v>
      </c>
      <c r="AT68" s="376">
        <v>81</v>
      </c>
      <c r="AU68" s="37">
        <v>-1655</v>
      </c>
      <c r="AV68" s="37">
        <v>342</v>
      </c>
      <c r="AW68" s="37">
        <v>1092</v>
      </c>
      <c r="AX68" s="37">
        <v>1750</v>
      </c>
      <c r="AY68" s="37">
        <f>1146-8255</f>
        <v>-7109</v>
      </c>
      <c r="AZ68" s="28"/>
      <c r="BA68" s="28"/>
      <c r="BB68" s="23"/>
      <c r="BC68" s="3"/>
      <c r="BD68" s="3"/>
      <c r="BG68" s="3"/>
    </row>
    <row r="69" spans="1:59" ht="12.75" customHeight="1" x14ac:dyDescent="0.2">
      <c r="A69" s="123"/>
      <c r="B69" s="6" t="s">
        <v>63</v>
      </c>
      <c r="C69" s="45">
        <f t="shared" si="38"/>
        <v>653</v>
      </c>
      <c r="D69" s="498">
        <f t="shared" si="39"/>
        <v>2.5810276679841899</v>
      </c>
      <c r="E69" s="357"/>
      <c r="F69" s="500"/>
      <c r="G69" s="500"/>
      <c r="H69" s="500"/>
      <c r="I69" s="26">
        <v>906</v>
      </c>
      <c r="J69" s="500">
        <v>139</v>
      </c>
      <c r="K69" s="500">
        <v>79</v>
      </c>
      <c r="L69" s="500">
        <v>232</v>
      </c>
      <c r="M69" s="26">
        <v>253</v>
      </c>
      <c r="N69" s="28">
        <v>321</v>
      </c>
      <c r="O69" s="460">
        <v>117</v>
      </c>
      <c r="P69" s="160">
        <v>-30</v>
      </c>
      <c r="Q69" s="26">
        <v>-28</v>
      </c>
      <c r="R69" s="28">
        <v>9</v>
      </c>
      <c r="S69" s="160">
        <v>181</v>
      </c>
      <c r="T69" s="28">
        <v>219</v>
      </c>
      <c r="U69" s="26">
        <v>-66</v>
      </c>
      <c r="V69" s="28">
        <v>190</v>
      </c>
      <c r="W69" s="160">
        <v>28</v>
      </c>
      <c r="X69" s="28">
        <v>105</v>
      </c>
      <c r="Y69" s="26">
        <v>117</v>
      </c>
      <c r="Z69" s="28">
        <v>69</v>
      </c>
      <c r="AA69" s="160">
        <v>86</v>
      </c>
      <c r="AB69" s="26">
        <v>36</v>
      </c>
      <c r="AC69" s="26">
        <v>47</v>
      </c>
      <c r="AD69" s="253">
        <v>60</v>
      </c>
      <c r="AE69" s="13"/>
      <c r="AF69" s="13"/>
      <c r="AG69" s="13"/>
      <c r="AH69" s="13"/>
      <c r="AI69" s="13"/>
      <c r="AJ69" s="13"/>
      <c r="AK69" s="13"/>
      <c r="AL69" s="47"/>
      <c r="AM69" s="235">
        <f t="shared" si="40"/>
        <v>564</v>
      </c>
      <c r="AN69" s="235">
        <f t="shared" si="41"/>
        <v>59</v>
      </c>
      <c r="AO69" s="393">
        <f t="shared" si="42"/>
        <v>323</v>
      </c>
      <c r="AP69" s="324">
        <f>IF(OR((AO69/AS69)&gt;3,(AO69/AS69)&lt;-3),"n.m.",(AO69/AS69))</f>
        <v>0.85</v>
      </c>
      <c r="AQ69" s="44"/>
      <c r="AR69" s="372">
        <f t="shared" si="43"/>
        <v>703</v>
      </c>
      <c r="AS69" s="372">
        <f t="shared" si="44"/>
        <v>380</v>
      </c>
      <c r="AT69" s="376">
        <v>343</v>
      </c>
      <c r="AU69" s="37">
        <v>440</v>
      </c>
      <c r="AV69" s="37">
        <v>238</v>
      </c>
      <c r="AW69" s="37">
        <v>345</v>
      </c>
      <c r="AX69" s="37">
        <v>596</v>
      </c>
      <c r="AY69" s="37">
        <v>103</v>
      </c>
      <c r="AZ69" s="28"/>
      <c r="BA69" s="28"/>
      <c r="BB69" s="23"/>
      <c r="BC69" s="3"/>
      <c r="BD69" s="3"/>
      <c r="BG69" s="3"/>
    </row>
    <row r="70" spans="1:59" ht="12.75" customHeight="1" x14ac:dyDescent="0.2">
      <c r="A70" s="123"/>
      <c r="B70" s="6"/>
      <c r="C70" s="338">
        <f t="shared" si="38"/>
        <v>21707</v>
      </c>
      <c r="D70" s="339">
        <f t="shared" si="39"/>
        <v>0.68489303969205528</v>
      </c>
      <c r="E70" s="22"/>
      <c r="F70" s="238">
        <f>SUM(F64:F69)</f>
        <v>0</v>
      </c>
      <c r="G70" s="238">
        <f>SUM(G64:G69)</f>
        <v>0</v>
      </c>
      <c r="H70" s="238">
        <f>SUM(H64:H69)</f>
        <v>0</v>
      </c>
      <c r="I70" s="341">
        <f>SUM(I64:I69)</f>
        <v>53401</v>
      </c>
      <c r="J70" s="238">
        <f t="shared" ref="J70:O70" si="45">SUM(J64:J69)</f>
        <v>45688</v>
      </c>
      <c r="K70" s="238">
        <f t="shared" si="45"/>
        <v>38195</v>
      </c>
      <c r="L70" s="238">
        <f t="shared" si="45"/>
        <v>40008</v>
      </c>
      <c r="M70" s="341">
        <f t="shared" si="45"/>
        <v>31694</v>
      </c>
      <c r="N70" s="238">
        <f t="shared" si="45"/>
        <v>19277</v>
      </c>
      <c r="O70" s="238">
        <f t="shared" si="45"/>
        <v>18003</v>
      </c>
      <c r="P70" s="238">
        <f>SUM(P64:P69)</f>
        <v>18586</v>
      </c>
      <c r="Q70" s="341">
        <f>SUM(Q64:Q69)</f>
        <v>27195</v>
      </c>
      <c r="R70" s="238">
        <v>29198</v>
      </c>
      <c r="S70" s="238">
        <v>34173</v>
      </c>
      <c r="T70" s="238">
        <v>21093</v>
      </c>
      <c r="U70" s="341">
        <v>26706</v>
      </c>
      <c r="V70" s="238">
        <v>20284</v>
      </c>
      <c r="W70" s="238">
        <v>22817</v>
      </c>
      <c r="X70" s="238">
        <v>30137</v>
      </c>
      <c r="Y70" s="341">
        <v>27179</v>
      </c>
      <c r="Z70" s="237">
        <v>17212</v>
      </c>
      <c r="AA70" s="238">
        <v>16533</v>
      </c>
      <c r="AB70" s="341">
        <v>18284</v>
      </c>
      <c r="AC70" s="341">
        <v>25621</v>
      </c>
      <c r="AD70" s="341">
        <v>104793</v>
      </c>
      <c r="AE70" s="2">
        <v>0</v>
      </c>
      <c r="AF70" s="2">
        <v>0</v>
      </c>
      <c r="AG70" s="2">
        <v>0</v>
      </c>
      <c r="AH70" s="2">
        <v>0</v>
      </c>
      <c r="AI70" s="2">
        <v>0</v>
      </c>
      <c r="AJ70" s="2">
        <v>0</v>
      </c>
      <c r="AK70" s="2">
        <v>0</v>
      </c>
      <c r="AL70" s="47"/>
      <c r="AM70" s="238">
        <f>SUM(AM64:AM69)</f>
        <v>109897</v>
      </c>
      <c r="AN70" s="238">
        <f>SUM(AN64:AN69)</f>
        <v>63784</v>
      </c>
      <c r="AO70" s="394">
        <f t="shared" si="42"/>
        <v>72524</v>
      </c>
      <c r="AP70" s="387">
        <f>AO70/AS70</f>
        <v>0.87314142618075874</v>
      </c>
      <c r="AQ70">
        <v>0</v>
      </c>
      <c r="AR70" s="378">
        <f>SUM(AR64:AR69)</f>
        <v>155585</v>
      </c>
      <c r="AS70" s="378">
        <f>SUM(AS64:AS69)</f>
        <v>83061</v>
      </c>
      <c r="AT70" s="378">
        <v>111170</v>
      </c>
      <c r="AU70" s="237">
        <v>100417</v>
      </c>
      <c r="AV70" s="340">
        <v>77650</v>
      </c>
      <c r="AW70" s="343">
        <v>94204</v>
      </c>
      <c r="AX70" s="344">
        <v>80673</v>
      </c>
      <c r="AY70" s="113">
        <f>SUM(AY64:AY69)</f>
        <v>19961</v>
      </c>
      <c r="AZ70" s="28"/>
      <c r="BA70" s="28"/>
      <c r="BB70" s="23"/>
      <c r="BC70" s="3"/>
      <c r="BD70" s="3"/>
      <c r="BG70" s="3"/>
    </row>
    <row r="71" spans="1:59" s="407" customFormat="1" ht="12.75" customHeight="1" x14ac:dyDescent="0.2">
      <c r="A71" s="123"/>
      <c r="B71" s="6"/>
      <c r="C71" s="262"/>
      <c r="D71" s="247"/>
      <c r="E71" s="22"/>
      <c r="F71" s="245"/>
      <c r="G71" s="245"/>
      <c r="H71" s="245"/>
      <c r="I71" s="424"/>
      <c r="J71" s="245"/>
      <c r="K71" s="245"/>
      <c r="L71" s="245"/>
      <c r="M71" s="424"/>
      <c r="N71" s="156"/>
      <c r="O71" s="245"/>
      <c r="P71" s="245"/>
      <c r="Q71" s="424"/>
      <c r="R71" s="156"/>
      <c r="S71" s="245"/>
      <c r="T71" s="245"/>
      <c r="U71" s="424"/>
      <c r="V71" s="156"/>
      <c r="W71" s="424"/>
      <c r="X71" s="424"/>
      <c r="Y71" s="424"/>
      <c r="Z71" s="235"/>
      <c r="AA71" s="235"/>
      <c r="AB71" s="235"/>
      <c r="AC71" s="235"/>
      <c r="AD71" s="235"/>
      <c r="AE71" s="2"/>
      <c r="AF71" s="2"/>
      <c r="AG71" s="2"/>
      <c r="AH71" s="2"/>
      <c r="AI71" s="2"/>
      <c r="AJ71" s="2"/>
      <c r="AK71" s="2"/>
      <c r="AL71" s="22"/>
      <c r="AM71" s="15"/>
      <c r="AN71" s="16"/>
      <c r="AO71" s="440"/>
      <c r="AP71" s="313"/>
      <c r="AR71" s="425"/>
      <c r="AS71" s="425"/>
      <c r="AT71" s="425"/>
      <c r="AU71" s="425"/>
      <c r="AV71" s="284"/>
      <c r="AW71" s="425"/>
      <c r="AX71" s="425"/>
      <c r="AY71" s="140"/>
      <c r="AZ71" s="88"/>
      <c r="BA71" s="88"/>
      <c r="BB71" s="23"/>
    </row>
    <row r="72" spans="1:59" s="407" customFormat="1" ht="13.5" customHeight="1" x14ac:dyDescent="0.2">
      <c r="A72" s="123"/>
      <c r="B72" s="6" t="s">
        <v>286</v>
      </c>
      <c r="C72" s="97">
        <f>I72-M72</f>
        <v>289</v>
      </c>
      <c r="D72" s="98">
        <f>-IF(OR((C72/M72)&gt;3,(C72/M72)&lt;-3),"n.m.",(C72/M72))</f>
        <v>0.23212851405622489</v>
      </c>
      <c r="E72" s="22"/>
      <c r="F72" s="243"/>
      <c r="G72" s="243"/>
      <c r="H72" s="243"/>
      <c r="I72" s="253">
        <v>-956</v>
      </c>
      <c r="J72" s="243">
        <v>-541</v>
      </c>
      <c r="K72" s="243">
        <v>-674</v>
      </c>
      <c r="L72" s="243">
        <v>-320</v>
      </c>
      <c r="M72" s="253">
        <v>-1245</v>
      </c>
      <c r="N72" s="155">
        <v>-1385</v>
      </c>
      <c r="O72" s="243">
        <v>-1519</v>
      </c>
      <c r="P72" s="243">
        <v>-1327</v>
      </c>
      <c r="Q72" s="253">
        <v>-1714</v>
      </c>
      <c r="R72" s="155">
        <v>-1639</v>
      </c>
      <c r="S72" s="243">
        <v>-1628</v>
      </c>
      <c r="T72" s="243">
        <v>-1323</v>
      </c>
      <c r="U72" s="253">
        <v>-1323</v>
      </c>
      <c r="V72" s="426" t="s">
        <v>181</v>
      </c>
      <c r="W72" s="427" t="s">
        <v>181</v>
      </c>
      <c r="X72" s="427" t="s">
        <v>181</v>
      </c>
      <c r="Y72" s="427" t="s">
        <v>181</v>
      </c>
      <c r="Z72" s="428"/>
      <c r="AA72" s="428"/>
      <c r="AB72" s="428"/>
      <c r="AC72" s="428"/>
      <c r="AD72" s="428"/>
      <c r="AE72" s="429"/>
      <c r="AF72" s="429"/>
      <c r="AG72" s="429"/>
      <c r="AH72" s="429"/>
      <c r="AI72" s="429"/>
      <c r="AJ72" s="429"/>
      <c r="AK72" s="429"/>
      <c r="AL72" s="465"/>
      <c r="AM72" s="155">
        <f>+SUM(K72:M72)</f>
        <v>-2239</v>
      </c>
      <c r="AN72" s="243">
        <f>SUM(O72:Q72)</f>
        <v>-4560</v>
      </c>
      <c r="AO72" s="441">
        <f>AR72-AS72</f>
        <v>3165</v>
      </c>
      <c r="AP72" s="391">
        <f>-IF(OR((AO72/AS72)&gt;3,(AO72/AS72)&lt;-3),"n.m.",(AO72/AS72))</f>
        <v>0.53238015138772077</v>
      </c>
      <c r="AQ72" s="55"/>
      <c r="AR72" s="430">
        <f>SUM(J72:M72)</f>
        <v>-2780</v>
      </c>
      <c r="AS72" s="430">
        <f>SUM(N72:Q72)</f>
        <v>-5945</v>
      </c>
      <c r="AT72" s="430">
        <f>SUM(R72:U72)</f>
        <v>-5913</v>
      </c>
      <c r="AU72" s="430" t="s">
        <v>181</v>
      </c>
      <c r="AV72" s="431" t="s">
        <v>181</v>
      </c>
      <c r="AW72" s="430" t="s">
        <v>181</v>
      </c>
      <c r="AX72" s="430" t="s">
        <v>181</v>
      </c>
      <c r="AY72" s="140"/>
      <c r="AZ72" s="88"/>
      <c r="BA72" s="88"/>
    </row>
    <row r="73" spans="1:59" s="407" customFormat="1" ht="12.75" customHeight="1" x14ac:dyDescent="0.2">
      <c r="B73" s="11"/>
      <c r="C73" s="11"/>
      <c r="D73" s="11"/>
      <c r="E73" s="11"/>
      <c r="F73" s="11"/>
      <c r="G73" s="11"/>
      <c r="H73" s="11"/>
      <c r="I73" s="13"/>
      <c r="J73" s="11"/>
      <c r="K73" s="11"/>
      <c r="L73" s="11"/>
      <c r="M73" s="13"/>
      <c r="N73" s="11"/>
      <c r="O73" s="11"/>
      <c r="P73" s="11"/>
      <c r="Q73" s="13"/>
      <c r="R73" s="11"/>
      <c r="S73" s="11"/>
      <c r="T73" s="11"/>
      <c r="U73" s="13"/>
      <c r="V73" s="11"/>
      <c r="W73" s="11"/>
      <c r="X73" s="11"/>
      <c r="Y73" s="13"/>
      <c r="Z73" s="11"/>
      <c r="AA73" s="11"/>
      <c r="AB73" s="11"/>
      <c r="AC73" s="13"/>
      <c r="AD73" s="13"/>
      <c r="AE73" s="13"/>
      <c r="AF73" s="13"/>
      <c r="AG73" s="13"/>
      <c r="AH73" s="13"/>
      <c r="AI73" s="13"/>
      <c r="AJ73" s="13"/>
      <c r="AK73" s="13"/>
      <c r="AL73" s="3"/>
      <c r="AM73" s="235"/>
      <c r="AN73" s="3"/>
      <c r="AR73" s="480"/>
      <c r="AW73" s="2"/>
      <c r="AX73" s="2"/>
      <c r="BB73" s="3"/>
      <c r="BC73" s="3"/>
    </row>
    <row r="74" spans="1:59" ht="12.75" customHeight="1" x14ac:dyDescent="0.2">
      <c r="A74" s="6" t="s">
        <v>298</v>
      </c>
      <c r="B74" s="11"/>
      <c r="C74" s="181"/>
      <c r="D74" s="181"/>
      <c r="E74" s="181"/>
      <c r="F74" s="181"/>
      <c r="G74" s="181"/>
      <c r="H74" s="181"/>
      <c r="I74" s="2"/>
      <c r="J74" s="181"/>
      <c r="K74" s="181"/>
      <c r="L74" s="181"/>
      <c r="M74" s="2"/>
      <c r="N74" s="181"/>
      <c r="O74" s="181"/>
      <c r="P74" s="181"/>
      <c r="Q74" s="2"/>
      <c r="R74" s="181"/>
      <c r="S74" s="181"/>
      <c r="T74" s="181"/>
      <c r="U74" s="2"/>
      <c r="V74" s="181"/>
      <c r="W74" s="181"/>
      <c r="X74" s="181"/>
      <c r="Y74" s="2"/>
      <c r="Z74" s="181"/>
      <c r="AA74" s="181"/>
      <c r="AB74" s="181"/>
      <c r="AC74" s="2"/>
      <c r="AG74" s="2"/>
      <c r="AI74" s="2"/>
      <c r="AJ74" s="2"/>
      <c r="AK74" s="182"/>
      <c r="AL74" s="169"/>
      <c r="AM74" s="235"/>
      <c r="AN74" s="169"/>
      <c r="AO74" s="169"/>
      <c r="AP74" s="169"/>
      <c r="AQ74" s="171"/>
      <c r="AR74" s="169"/>
      <c r="AS74" s="169"/>
      <c r="AT74" s="169"/>
      <c r="AU74" s="171"/>
      <c r="AV74" s="171"/>
      <c r="BB74" s="3"/>
      <c r="BC74" s="3"/>
      <c r="BD74" s="3"/>
    </row>
    <row r="76" spans="1:59" x14ac:dyDescent="0.2">
      <c r="A76" s="3"/>
      <c r="B76" s="3"/>
      <c r="C76" s="169"/>
      <c r="D76" s="169"/>
      <c r="E76" s="169"/>
      <c r="F76" s="507"/>
      <c r="G76" s="507"/>
      <c r="H76" s="507"/>
      <c r="I76" s="507"/>
      <c r="J76" s="507"/>
      <c r="K76" s="507"/>
      <c r="L76" s="507"/>
      <c r="M76" s="507"/>
      <c r="N76" s="28"/>
      <c r="O76" s="28"/>
      <c r="P76" s="28"/>
      <c r="Q76" s="28"/>
      <c r="R76" s="507"/>
      <c r="S76" s="507"/>
      <c r="T76" s="507"/>
      <c r="U76" s="481"/>
      <c r="V76" s="481"/>
      <c r="W76" s="481"/>
      <c r="X76" s="481"/>
      <c r="Y76" s="481"/>
      <c r="Z76" s="481"/>
      <c r="AA76" s="481"/>
      <c r="AB76" s="481"/>
      <c r="AC76" s="481"/>
      <c r="AD76" s="481"/>
      <c r="AE76" s="481"/>
      <c r="AF76" s="481"/>
      <c r="AG76" s="481"/>
      <c r="AH76" s="481"/>
      <c r="AI76" s="481"/>
      <c r="AJ76" s="481"/>
      <c r="AK76" s="481"/>
      <c r="AL76" s="481"/>
      <c r="AM76" s="481"/>
      <c r="AN76" s="481"/>
      <c r="AO76" s="392"/>
      <c r="AP76" s="371"/>
      <c r="AQ76" s="481"/>
      <c r="AR76" s="536"/>
      <c r="AS76" s="536"/>
      <c r="AT76" s="366"/>
      <c r="AU76" s="481"/>
      <c r="AV76" s="481"/>
      <c r="AW76" s="481"/>
      <c r="AX76" s="481"/>
      <c r="AY76" s="507"/>
      <c r="AZ76" s="29"/>
      <c r="BA76" s="29"/>
      <c r="BB76" s="3"/>
      <c r="BC76" s="3"/>
      <c r="BD76" s="3"/>
    </row>
    <row r="77" spans="1:59" x14ac:dyDescent="0.2">
      <c r="C77" s="44"/>
      <c r="D77" s="44"/>
      <c r="E77" s="91"/>
      <c r="F77" s="483"/>
      <c r="G77" s="483"/>
      <c r="H77" s="483"/>
      <c r="I77" s="6"/>
      <c r="J77" s="483"/>
      <c r="K77" s="483"/>
      <c r="L77" s="483"/>
      <c r="M77" s="6"/>
      <c r="N77" s="91"/>
      <c r="O77" s="91"/>
      <c r="P77" s="91"/>
      <c r="Q77" s="6"/>
      <c r="R77" s="483"/>
      <c r="S77" s="483"/>
      <c r="T77" s="483"/>
      <c r="U77" s="6"/>
      <c r="V77" s="483"/>
      <c r="W77" s="483"/>
      <c r="X77" s="483"/>
      <c r="Y77" s="6"/>
      <c r="Z77" s="483"/>
      <c r="AA77" s="483"/>
      <c r="AB77" s="483"/>
      <c r="AC77" s="6"/>
      <c r="AD77" s="481"/>
      <c r="AE77" s="481"/>
      <c r="AF77" s="481"/>
      <c r="AG77" s="481"/>
      <c r="AH77" s="481"/>
      <c r="AI77" s="481"/>
      <c r="AJ77" s="481"/>
      <c r="AK77" s="507"/>
      <c r="AL77" s="483"/>
      <c r="AM77" s="483"/>
      <c r="AN77" s="483"/>
      <c r="AO77" s="370"/>
      <c r="AP77" s="370"/>
      <c r="AQ77" s="483"/>
      <c r="AR77" s="370"/>
      <c r="AS77" s="370"/>
      <c r="AT77" s="370"/>
      <c r="AU77" s="483"/>
      <c r="AV77" s="483"/>
      <c r="AW77" s="507"/>
      <c r="AX77" s="507"/>
      <c r="AY77" s="481"/>
      <c r="AZ77" s="481"/>
      <c r="BA77" s="481"/>
      <c r="BB77" s="3"/>
      <c r="BC77" s="3"/>
      <c r="BD77" s="3"/>
    </row>
    <row r="78" spans="1:59" x14ac:dyDescent="0.2">
      <c r="C78" s="44"/>
      <c r="D78" s="44"/>
      <c r="E78" s="91"/>
      <c r="F78" s="483"/>
      <c r="G78" s="483"/>
      <c r="H78" s="483"/>
      <c r="I78" s="480"/>
      <c r="J78" s="483"/>
      <c r="K78" s="483"/>
      <c r="L78" s="483"/>
      <c r="M78" s="480"/>
      <c r="N78" s="91"/>
      <c r="O78" s="91"/>
      <c r="P78" s="91"/>
      <c r="Q78"/>
      <c r="R78" s="483"/>
      <c r="S78" s="483"/>
      <c r="T78" s="483"/>
      <c r="U78" s="481"/>
      <c r="V78" s="483"/>
      <c r="W78" s="483"/>
      <c r="X78" s="483"/>
      <c r="Y78" s="481"/>
      <c r="Z78" s="483"/>
      <c r="AA78" s="483"/>
      <c r="AB78" s="483"/>
      <c r="AC78" s="481"/>
      <c r="AD78" s="481"/>
      <c r="AE78" s="481"/>
      <c r="AF78" s="481"/>
      <c r="AG78" s="481"/>
      <c r="AH78" s="481"/>
      <c r="AI78" s="481"/>
      <c r="AJ78" s="481"/>
      <c r="AK78" s="507"/>
      <c r="AL78" s="483"/>
      <c r="AM78" s="483"/>
      <c r="AN78" s="483"/>
      <c r="AO78" s="370"/>
      <c r="AP78" s="368"/>
      <c r="AQ78" s="483"/>
      <c r="AR78" s="370"/>
      <c r="AS78" s="370"/>
      <c r="AT78" s="370"/>
      <c r="AU78" s="483"/>
      <c r="AV78" s="483"/>
      <c r="AW78" s="507"/>
      <c r="AX78" s="507"/>
      <c r="AY78" s="481"/>
      <c r="AZ78" s="481"/>
      <c r="BA78" s="481"/>
    </row>
    <row r="79" spans="1:59" x14ac:dyDescent="0.2">
      <c r="C79" s="44"/>
      <c r="D79" s="44"/>
      <c r="E79" s="91"/>
      <c r="F79" s="483"/>
      <c r="G79" s="483"/>
      <c r="H79" s="483"/>
      <c r="I79" s="480"/>
      <c r="J79" s="483"/>
      <c r="K79" s="483"/>
      <c r="L79" s="483"/>
      <c r="M79" s="480"/>
      <c r="N79" s="91"/>
      <c r="O79" s="91"/>
      <c r="P79" s="91"/>
      <c r="Q79"/>
      <c r="R79" s="483"/>
      <c r="S79" s="483"/>
      <c r="T79" s="483"/>
      <c r="U79" s="481"/>
      <c r="V79" s="483"/>
      <c r="W79" s="483"/>
      <c r="X79" s="483"/>
      <c r="Y79" s="481"/>
      <c r="Z79" s="483"/>
      <c r="AA79" s="483"/>
      <c r="AB79" s="483"/>
      <c r="AC79" s="481"/>
      <c r="AD79" s="481"/>
      <c r="AE79" s="481"/>
      <c r="AF79" s="481"/>
      <c r="AG79" s="481"/>
      <c r="AH79" s="481"/>
      <c r="AI79" s="481"/>
      <c r="AJ79" s="481"/>
      <c r="AK79" s="507"/>
      <c r="AL79" s="483"/>
      <c r="AM79" s="483"/>
      <c r="AN79" s="483"/>
      <c r="AO79" s="370"/>
      <c r="AP79" s="370"/>
      <c r="AQ79" s="483"/>
      <c r="AR79" s="370"/>
      <c r="AS79" s="370"/>
      <c r="AT79" s="370"/>
      <c r="AU79" s="483"/>
      <c r="AV79" s="483"/>
      <c r="AW79" s="6"/>
      <c r="AX79" s="6"/>
      <c r="AY79" s="481"/>
      <c r="AZ79" s="481"/>
      <c r="BA79" s="481"/>
    </row>
    <row r="80" spans="1:59" x14ac:dyDescent="0.2">
      <c r="I80" s="480"/>
      <c r="M80" s="480"/>
      <c r="Q80"/>
      <c r="R80" s="481"/>
      <c r="S80" s="481"/>
      <c r="T80" s="481"/>
      <c r="U80" s="507"/>
      <c r="V80" s="507"/>
      <c r="W80" s="507"/>
      <c r="X80" s="507"/>
      <c r="Y80" s="507"/>
      <c r="Z80" s="507"/>
      <c r="AA80" s="507"/>
      <c r="AB80" s="507"/>
      <c r="AC80" s="507"/>
      <c r="AD80" s="507"/>
      <c r="AE80" s="507"/>
      <c r="AF80" s="507"/>
      <c r="AG80" s="507"/>
      <c r="AH80" s="507"/>
      <c r="AI80" s="507"/>
      <c r="AJ80" s="507"/>
      <c r="AK80" s="507"/>
      <c r="AL80" s="507"/>
      <c r="AM80" s="507"/>
      <c r="AN80" s="507"/>
      <c r="AO80" s="381"/>
      <c r="AP80" s="381"/>
      <c r="AQ80" s="507"/>
      <c r="AR80" s="381"/>
      <c r="AS80" s="381"/>
      <c r="AT80" s="381"/>
      <c r="AU80" s="507"/>
      <c r="AV80" s="507"/>
      <c r="AW80" s="507"/>
      <c r="AX80" s="507"/>
      <c r="AY80" s="481"/>
      <c r="AZ80" s="481"/>
      <c r="BA80" s="481"/>
    </row>
    <row r="81" spans="9:53" x14ac:dyDescent="0.2">
      <c r="I81" s="480"/>
      <c r="M81" s="480"/>
      <c r="Q81"/>
      <c r="R81" s="481"/>
      <c r="S81" s="481"/>
      <c r="T81" s="481"/>
      <c r="U81" s="481"/>
      <c r="V81" s="481"/>
      <c r="W81" s="481"/>
      <c r="X81" s="481"/>
      <c r="Y81" s="481"/>
      <c r="Z81" s="481"/>
      <c r="AA81" s="481"/>
      <c r="AB81" s="481"/>
      <c r="AC81" s="481"/>
      <c r="AD81" s="481"/>
      <c r="AE81" s="481"/>
      <c r="AF81" s="481"/>
      <c r="AG81" s="481"/>
      <c r="AH81" s="481"/>
      <c r="AI81" s="481"/>
      <c r="AJ81" s="481"/>
      <c r="AK81" s="30"/>
      <c r="AL81" s="481"/>
      <c r="AM81" s="481"/>
      <c r="AN81" s="481"/>
      <c r="AO81" s="366"/>
      <c r="AP81" s="366"/>
      <c r="AQ81" s="481"/>
      <c r="AR81" s="366"/>
      <c r="AS81" s="366"/>
      <c r="AT81" s="366"/>
      <c r="AU81" s="481"/>
      <c r="AV81" s="481"/>
      <c r="AW81" s="2"/>
      <c r="AX81" s="2"/>
      <c r="AY81" s="481"/>
      <c r="AZ81" s="481"/>
      <c r="BA81" s="481"/>
    </row>
    <row r="82" spans="9:53" x14ac:dyDescent="0.2">
      <c r="I82" s="480"/>
      <c r="M82" s="480"/>
      <c r="Q82"/>
      <c r="R82" s="481"/>
      <c r="S82" s="481"/>
      <c r="T82" s="481"/>
      <c r="U82" s="481"/>
      <c r="V82" s="481"/>
      <c r="W82" s="481"/>
      <c r="X82" s="481"/>
      <c r="Y82" s="481"/>
      <c r="Z82" s="481"/>
      <c r="AA82" s="481"/>
      <c r="AB82" s="481"/>
      <c r="AC82" s="481"/>
      <c r="AD82" s="481"/>
      <c r="AE82" s="481"/>
      <c r="AF82" s="481"/>
      <c r="AG82" s="481"/>
      <c r="AH82" s="481"/>
      <c r="AI82" s="481"/>
      <c r="AJ82" s="481"/>
      <c r="AK82" s="95"/>
      <c r="AL82" s="481"/>
      <c r="AM82" s="481"/>
      <c r="AN82" s="481"/>
      <c r="AO82" s="366"/>
      <c r="AP82" s="366"/>
      <c r="AQ82" s="481"/>
      <c r="AR82" s="366"/>
      <c r="AS82" s="366"/>
      <c r="AT82" s="366"/>
      <c r="AU82" s="481"/>
      <c r="AV82" s="481"/>
      <c r="AW82" s="2"/>
      <c r="AX82" s="2"/>
      <c r="AY82" s="481"/>
      <c r="AZ82" s="481"/>
      <c r="BA82" s="481"/>
    </row>
    <row r="83" spans="9:53" x14ac:dyDescent="0.2">
      <c r="I83" s="480"/>
      <c r="M83" s="480"/>
      <c r="Q83"/>
      <c r="R83" s="481"/>
      <c r="S83" s="481"/>
      <c r="T83" s="481"/>
      <c r="U83" s="481"/>
      <c r="V83" s="481"/>
      <c r="W83" s="481"/>
      <c r="X83" s="481"/>
      <c r="Y83" s="481"/>
      <c r="Z83" s="481"/>
      <c r="AA83" s="481"/>
      <c r="AB83" s="481"/>
      <c r="AC83" s="481"/>
      <c r="AD83" s="481"/>
      <c r="AE83" s="481"/>
      <c r="AF83" s="481"/>
      <c r="AG83" s="481"/>
      <c r="AH83" s="481"/>
      <c r="AI83" s="481"/>
      <c r="AJ83" s="481"/>
      <c r="AK83" s="2"/>
      <c r="AL83" s="481"/>
      <c r="AM83" s="481"/>
      <c r="AN83" s="481"/>
      <c r="AO83" s="366"/>
      <c r="AP83" s="366"/>
      <c r="AQ83" s="481"/>
      <c r="AR83" s="366"/>
      <c r="AS83" s="366"/>
      <c r="AT83" s="366"/>
      <c r="AU83" s="481"/>
      <c r="AV83" s="481"/>
      <c r="AW83" s="41"/>
      <c r="AX83" s="41"/>
      <c r="AY83" s="481"/>
      <c r="AZ83" s="481"/>
      <c r="BA83" s="481"/>
    </row>
    <row r="84" spans="9:53" x14ac:dyDescent="0.2">
      <c r="I84" s="480"/>
      <c r="M84" s="480"/>
      <c r="Q84"/>
      <c r="R84" s="481"/>
      <c r="S84" s="481"/>
      <c r="T84" s="481"/>
      <c r="U84" s="481"/>
      <c r="V84" s="481"/>
      <c r="W84" s="481"/>
      <c r="X84" s="481"/>
      <c r="Y84" s="481"/>
      <c r="Z84" s="481"/>
      <c r="AA84" s="481"/>
      <c r="AB84" s="481"/>
      <c r="AC84" s="481"/>
      <c r="AD84" s="481"/>
      <c r="AE84" s="481"/>
      <c r="AF84" s="481"/>
      <c r="AG84" s="481"/>
      <c r="AH84" s="481"/>
      <c r="AI84" s="481"/>
      <c r="AJ84" s="481"/>
      <c r="AK84" s="1"/>
      <c r="AL84" s="481"/>
      <c r="AM84" s="481"/>
      <c r="AN84" s="481"/>
      <c r="AO84" s="366"/>
      <c r="AP84" s="366"/>
      <c r="AQ84" s="481"/>
      <c r="AR84" s="366"/>
      <c r="AS84" s="366"/>
      <c r="AT84" s="366"/>
      <c r="AU84" s="481"/>
      <c r="AV84" s="481"/>
      <c r="AW84" s="41"/>
      <c r="AX84" s="41"/>
      <c r="AY84" s="481"/>
      <c r="AZ84" s="481"/>
      <c r="BA84" s="481"/>
    </row>
    <row r="85" spans="9:53" x14ac:dyDescent="0.2">
      <c r="I85" s="480"/>
      <c r="M85" s="480"/>
      <c r="Q85"/>
      <c r="R85" s="481"/>
      <c r="S85" s="481"/>
      <c r="T85" s="481"/>
      <c r="U85" s="481"/>
      <c r="V85" s="481"/>
      <c r="W85" s="481"/>
      <c r="X85" s="481"/>
      <c r="Y85" s="481"/>
      <c r="Z85" s="481"/>
      <c r="AA85" s="481"/>
      <c r="AB85" s="481"/>
      <c r="AC85" s="481"/>
      <c r="AD85" s="481"/>
      <c r="AE85" s="481"/>
      <c r="AF85" s="481"/>
      <c r="AG85" s="481"/>
      <c r="AH85" s="481"/>
      <c r="AI85" s="481"/>
      <c r="AJ85" s="481"/>
      <c r="AK85" s="29"/>
      <c r="AL85" s="481"/>
      <c r="AM85" s="481"/>
      <c r="AN85" s="481"/>
      <c r="AO85" s="366"/>
      <c r="AP85" s="366"/>
      <c r="AQ85" s="481"/>
      <c r="AR85" s="366"/>
      <c r="AS85" s="366"/>
      <c r="AT85" s="366"/>
      <c r="AU85" s="481"/>
      <c r="AV85" s="481"/>
      <c r="AW85" s="42"/>
      <c r="AX85" s="42"/>
      <c r="AY85" s="481"/>
      <c r="AZ85" s="481"/>
      <c r="BA85" s="481"/>
    </row>
    <row r="86" spans="9:53" x14ac:dyDescent="0.2">
      <c r="I86" s="480"/>
      <c r="M86" s="480"/>
      <c r="Q86"/>
      <c r="U86"/>
      <c r="Y86"/>
      <c r="AK86" s="40"/>
      <c r="AL86" s="3"/>
      <c r="AM86" s="3"/>
      <c r="AN86" s="3"/>
      <c r="AR86" s="366"/>
      <c r="AS86" s="366"/>
      <c r="AT86" s="366"/>
      <c r="AW86" s="43"/>
      <c r="AX86" s="43"/>
    </row>
    <row r="87" spans="9:53" x14ac:dyDescent="0.2">
      <c r="I87" s="480"/>
      <c r="M87" s="480"/>
      <c r="Q87"/>
      <c r="U87"/>
      <c r="Y87"/>
      <c r="AK87" s="40"/>
      <c r="AL87" s="3"/>
      <c r="AM87" s="3"/>
      <c r="AN87" s="3"/>
      <c r="AR87" s="366"/>
      <c r="AS87" s="366"/>
      <c r="AT87" s="366"/>
      <c r="AW87" s="32"/>
      <c r="AX87" s="32"/>
    </row>
    <row r="88" spans="9:53" x14ac:dyDescent="0.2">
      <c r="I88" s="480"/>
      <c r="M88" s="480"/>
      <c r="Q88"/>
      <c r="U88"/>
      <c r="Y88"/>
      <c r="AK88" s="35"/>
      <c r="AL88" s="3"/>
      <c r="AM88" s="3"/>
      <c r="AN88" s="3"/>
      <c r="AR88" s="366"/>
      <c r="AS88" s="366"/>
      <c r="AT88" s="366"/>
      <c r="AW88" s="32"/>
      <c r="AX88" s="32"/>
    </row>
    <row r="89" spans="9:53" x14ac:dyDescent="0.2">
      <c r="I89" s="480"/>
      <c r="M89" s="480"/>
      <c r="Q89"/>
      <c r="U89"/>
      <c r="Y89"/>
      <c r="AK89" s="32"/>
      <c r="AL89" s="3"/>
      <c r="AM89" s="3"/>
      <c r="AN89" s="3"/>
      <c r="AR89" s="366"/>
      <c r="AS89" s="366"/>
      <c r="AT89" s="366"/>
      <c r="AW89" s="33"/>
      <c r="AX89" s="33"/>
    </row>
    <row r="90" spans="9:53" x14ac:dyDescent="0.2">
      <c r="I90" s="480"/>
      <c r="M90" s="480"/>
      <c r="Q90"/>
      <c r="U90"/>
      <c r="Y90"/>
      <c r="AK90" s="33"/>
      <c r="AL90" s="3"/>
      <c r="AM90" s="3"/>
      <c r="AN90" s="3"/>
      <c r="AR90" s="366"/>
      <c r="AS90" s="366"/>
      <c r="AT90" s="366"/>
      <c r="AW90" s="33"/>
      <c r="AX90" s="33"/>
    </row>
    <row r="91" spans="9:53" x14ac:dyDescent="0.2">
      <c r="I91" s="480"/>
      <c r="M91" s="480"/>
      <c r="Q91"/>
      <c r="U91"/>
      <c r="Y91"/>
      <c r="AK91" s="33"/>
      <c r="AL91" s="3"/>
      <c r="AM91" s="3"/>
      <c r="AN91" s="3"/>
      <c r="AR91" s="366"/>
      <c r="AS91" s="366"/>
      <c r="AT91" s="366"/>
      <c r="AW91" s="3"/>
      <c r="AX91" s="3"/>
    </row>
    <row r="92" spans="9:53" x14ac:dyDescent="0.2">
      <c r="I92" s="480"/>
      <c r="M92" s="480"/>
      <c r="Q92"/>
      <c r="U92"/>
      <c r="Y92"/>
      <c r="AK92" s="3"/>
      <c r="AL92" s="3"/>
      <c r="AM92" s="3"/>
      <c r="AN92" s="3"/>
      <c r="AR92" s="366"/>
      <c r="AS92" s="366"/>
      <c r="AT92" s="366"/>
      <c r="AW92" s="3"/>
      <c r="AX92" s="3"/>
    </row>
    <row r="93" spans="9:53" x14ac:dyDescent="0.2">
      <c r="I93" s="480"/>
      <c r="M93" s="480"/>
      <c r="Q93"/>
      <c r="U93"/>
      <c r="Y93"/>
      <c r="AK93" s="3"/>
      <c r="AL93" s="3"/>
      <c r="AM93" s="3"/>
      <c r="AN93" s="3"/>
      <c r="AR93" s="366"/>
      <c r="AS93" s="366"/>
      <c r="AT93" s="366"/>
      <c r="AW93" s="3"/>
      <c r="AX93" s="3"/>
    </row>
    <row r="94" spans="9:53" x14ac:dyDescent="0.2">
      <c r="I94" s="480"/>
      <c r="M94" s="480"/>
      <c r="Q94"/>
      <c r="U94"/>
      <c r="Y94"/>
      <c r="AL94" s="3"/>
      <c r="AM94" s="3"/>
      <c r="AN94" s="3"/>
      <c r="AR94" s="366"/>
      <c r="AS94" s="366"/>
      <c r="AT94" s="366"/>
      <c r="AW94" s="3"/>
      <c r="AX94" s="3"/>
    </row>
    <row r="95" spans="9:53" x14ac:dyDescent="0.2">
      <c r="I95" s="480"/>
      <c r="M95" s="480"/>
      <c r="Q95"/>
      <c r="U95"/>
      <c r="Y95"/>
      <c r="AL95" s="3"/>
      <c r="AM95" s="3"/>
      <c r="AN95" s="3"/>
      <c r="AR95" s="366"/>
      <c r="AS95" s="366"/>
      <c r="AT95" s="366"/>
      <c r="AW95" s="3"/>
      <c r="AX95" s="3"/>
    </row>
    <row r="96" spans="9:53" x14ac:dyDescent="0.2">
      <c r="I96" s="480"/>
      <c r="M96" s="480"/>
      <c r="Q96"/>
      <c r="U96"/>
      <c r="Y96"/>
      <c r="AL96" s="3"/>
      <c r="AM96" s="3"/>
      <c r="AN96" s="3"/>
      <c r="AR96" s="366"/>
      <c r="AS96" s="366"/>
      <c r="AT96" s="366"/>
    </row>
  </sheetData>
  <mergeCells count="11">
    <mergeCell ref="AO11:AP11"/>
    <mergeCell ref="AO56:AP56"/>
    <mergeCell ref="AO63:AP63"/>
    <mergeCell ref="C62:D62"/>
    <mergeCell ref="C11:D11"/>
    <mergeCell ref="A41:B41"/>
    <mergeCell ref="A35:B35"/>
    <mergeCell ref="C10:D10"/>
    <mergeCell ref="C55:D55"/>
    <mergeCell ref="C63:D63"/>
    <mergeCell ref="C56:D56"/>
  </mergeCells>
  <phoneticPr fontId="14" type="noConversion"/>
  <conditionalFormatting sqref="AZ76:BA76 AO50 AU45:AX49 AU50:AV50 AC45:AK49 A45:A46 Y45:Y49 C50 A53:A54 Z45:AB50 A61 A69:A73 AL45:AN50 AP45:AT50 D45:E50 J45:X50">
    <cfRule type="cellIs" dxfId="20" priority="6" stopIfTrue="1" operator="equal">
      <formula>0</formula>
    </cfRule>
  </conditionalFormatting>
  <conditionalFormatting sqref="AW44">
    <cfRule type="cellIs" dxfId="19" priority="4" stopIfTrue="1" operator="equal">
      <formula>0</formula>
    </cfRule>
  </conditionalFormatting>
  <conditionalFormatting sqref="F45:I50">
    <cfRule type="cellIs" dxfId="18" priority="1" stopIfTrue="1" operator="equal">
      <formula>0</formula>
    </cfRule>
  </conditionalFormatting>
  <printOptions horizontalCentered="1"/>
  <pageMargins left="0.3" right="0.3" top="0.4" bottom="0.6" header="0" footer="0.3"/>
  <pageSetup scale="60" orientation="landscape" r:id="rId1"/>
  <headerFooter alignWithMargins="0">
    <oddFooter>&amp;L&amp;F&amp;CPage 9</oddFooter>
  </headerFooter>
  <ignoredErrors>
    <ignoredError sqref="AY17 AT21:AT30"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CI96"/>
  <sheetViews>
    <sheetView topLeftCell="A7" zoomScale="80" zoomScaleNormal="80" workbookViewId="0">
      <selection activeCell="D52" sqref="D52"/>
    </sheetView>
  </sheetViews>
  <sheetFormatPr defaultColWidth="9.140625" defaultRowHeight="12.75" x14ac:dyDescent="0.2"/>
  <cols>
    <col min="1" max="1" width="2.7109375" style="1183" customWidth="1"/>
    <col min="2" max="2" width="54.5703125" style="1183" customWidth="1"/>
    <col min="3" max="3" width="9.5703125" style="1920" customWidth="1"/>
    <col min="4" max="4" width="9.7109375" style="1920" customWidth="1"/>
    <col min="5" max="5" width="1.5703125" style="1315" customWidth="1"/>
    <col min="6" max="7" width="10" style="1315" customWidth="1"/>
    <col min="8" max="8" width="11.140625" style="1357" customWidth="1"/>
    <col min="9" max="9" width="10.28515625" style="1357" customWidth="1"/>
    <col min="10" max="10" width="11.42578125" style="1357" customWidth="1"/>
    <col min="11" max="11" width="10" style="1357" customWidth="1"/>
    <col min="12" max="12" width="11.140625" style="1357" customWidth="1"/>
    <col min="13" max="13" width="9.7109375" style="1357" customWidth="1"/>
    <col min="14" max="14" width="11.42578125" style="1357" customWidth="1"/>
    <col min="15" max="15" width="10" style="1357" hidden="1" customWidth="1"/>
    <col min="16" max="16" width="11.140625" style="1357" hidden="1" customWidth="1"/>
    <col min="17" max="17" width="9.7109375" style="1357" hidden="1" customWidth="1"/>
    <col min="18" max="18" width="11.42578125" style="1357" hidden="1" customWidth="1"/>
    <col min="19" max="20" width="8.42578125" style="1357" hidden="1" customWidth="1"/>
    <col min="21" max="22" width="9.42578125" style="1357" hidden="1" customWidth="1"/>
    <col min="23" max="38" width="8.42578125" style="1357" hidden="1" customWidth="1"/>
    <col min="39" max="47" width="8.7109375" style="1357" hidden="1" customWidth="1"/>
    <col min="48" max="49" width="9.7109375" style="1357" hidden="1" customWidth="1"/>
    <col min="50" max="58" width="9.7109375" style="1920" hidden="1" customWidth="1"/>
    <col min="59" max="59" width="1.5703125" style="1920" hidden="1" customWidth="1"/>
    <col min="60" max="60" width="6" style="1920" hidden="1" customWidth="1"/>
    <col min="61" max="61" width="7" style="1920" hidden="1" customWidth="1"/>
    <col min="62" max="62" width="6.7109375" style="1920" hidden="1" customWidth="1"/>
    <col min="63" max="63" width="7.28515625" style="1920" hidden="1" customWidth="1"/>
    <col min="64" max="64" width="1.5703125" style="1920" customWidth="1"/>
    <col min="65" max="66" width="12.7109375" style="1920" customWidth="1"/>
    <col min="67" max="67" width="11.5703125" style="1920" customWidth="1"/>
    <col min="68" max="68" width="12" style="1920" customWidth="1"/>
    <col min="69" max="69" width="10.28515625" style="1920" customWidth="1"/>
    <col min="70" max="70" width="10.7109375" style="1920" hidden="1" customWidth="1"/>
    <col min="71" max="71" width="8.7109375" style="1920" hidden="1" customWidth="1"/>
    <col min="72" max="72" width="10" style="1920" hidden="1" customWidth="1"/>
    <col min="73" max="77" width="8.7109375" style="1920" hidden="1" customWidth="1"/>
    <col min="78" max="78" width="8.140625" style="1920" hidden="1" customWidth="1"/>
    <col min="79" max="79" width="9.7109375" style="1920" hidden="1" customWidth="1"/>
    <col min="80" max="80" width="2.28515625" style="1920" hidden="1" customWidth="1"/>
    <col min="81" max="81" width="1.5703125" style="1920" customWidth="1"/>
    <col min="82" max="82" width="9.140625" style="1920"/>
    <col min="83" max="16384" width="9.140625" style="1180"/>
  </cols>
  <sheetData>
    <row r="1" spans="1:87" x14ac:dyDescent="0.2">
      <c r="C1" s="1183"/>
      <c r="D1" s="1183"/>
      <c r="E1" s="1145"/>
      <c r="F1" s="1145"/>
      <c r="G1" s="1145"/>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84"/>
      <c r="AW1" s="1184"/>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row>
    <row r="2" spans="1:87" x14ac:dyDescent="0.2">
      <c r="C2" s="1183"/>
      <c r="D2" s="1183"/>
      <c r="E2" s="1145"/>
      <c r="F2" s="1145"/>
      <c r="G2" s="1145"/>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3"/>
      <c r="AY2" s="1183"/>
      <c r="AZ2" s="1183"/>
      <c r="BA2" s="1183"/>
      <c r="BB2" s="1183"/>
      <c r="BC2" s="1183"/>
      <c r="BD2" s="1183"/>
      <c r="BE2" s="1183"/>
      <c r="BF2" s="1183"/>
      <c r="BG2" s="1183"/>
      <c r="BH2" s="1183"/>
      <c r="BI2" s="1183"/>
      <c r="BJ2" s="1183"/>
      <c r="BK2" s="1183"/>
      <c r="BL2" s="1183"/>
      <c r="BM2" s="1183"/>
      <c r="BN2" s="1183"/>
      <c r="BO2" s="1183"/>
      <c r="BP2" s="1183"/>
      <c r="BQ2" s="1183"/>
      <c r="BR2" s="1183"/>
      <c r="BS2" s="1183"/>
      <c r="BT2" s="1183"/>
      <c r="BU2" s="1183"/>
      <c r="BV2" s="1183"/>
      <c r="BW2" s="1183"/>
      <c r="BX2" s="1183"/>
      <c r="BY2" s="1183"/>
      <c r="BZ2" s="1183"/>
      <c r="CA2" s="1183"/>
      <c r="CB2" s="1183"/>
      <c r="CC2" s="1183"/>
    </row>
    <row r="3" spans="1:87" x14ac:dyDescent="0.2">
      <c r="C3" s="1183"/>
      <c r="D3" s="1183"/>
      <c r="E3" s="1145"/>
      <c r="F3" s="1145"/>
      <c r="G3" s="1145"/>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3"/>
      <c r="AY3" s="1183"/>
      <c r="AZ3" s="1183"/>
      <c r="BA3" s="1183"/>
      <c r="BB3" s="1183"/>
      <c r="BC3" s="1183"/>
      <c r="BD3" s="1183"/>
      <c r="BE3" s="1183"/>
      <c r="BF3" s="1183"/>
      <c r="BG3" s="1183"/>
      <c r="BH3" s="1183"/>
      <c r="BI3" s="1183"/>
      <c r="BJ3" s="1183"/>
      <c r="BK3" s="1183"/>
      <c r="BL3" s="1183"/>
      <c r="BM3" s="1183"/>
      <c r="BN3" s="1183"/>
      <c r="BO3" s="1183"/>
      <c r="BP3" s="1183"/>
      <c r="BQ3" s="1183"/>
      <c r="BR3" s="1183"/>
      <c r="BS3" s="1183"/>
      <c r="BT3" s="1183"/>
      <c r="BU3" s="1183"/>
      <c r="BV3" s="1183"/>
      <c r="BW3" s="1183"/>
      <c r="BX3" s="1183"/>
      <c r="BY3" s="1183"/>
      <c r="BZ3" s="1183"/>
      <c r="CA3" s="1183"/>
      <c r="CB3" s="1183"/>
      <c r="CC3" s="1183"/>
    </row>
    <row r="4" spans="1:87" x14ac:dyDescent="0.2">
      <c r="C4" s="1183"/>
      <c r="D4" s="1183"/>
      <c r="E4" s="1145"/>
      <c r="F4" s="1145"/>
      <c r="G4" s="1145"/>
      <c r="H4" s="1889"/>
      <c r="I4" s="1184"/>
      <c r="J4" s="1184"/>
      <c r="K4" s="1184"/>
      <c r="L4" s="1889"/>
      <c r="M4" s="1184"/>
      <c r="N4" s="1184"/>
      <c r="O4" s="1184"/>
      <c r="P4" s="1889"/>
      <c r="Q4" s="1184"/>
      <c r="R4" s="1184"/>
      <c r="S4" s="1184"/>
      <c r="T4" s="1184"/>
      <c r="U4" s="1184"/>
      <c r="V4" s="990"/>
      <c r="W4" s="1184"/>
      <c r="X4" s="1184"/>
      <c r="Y4" s="1184"/>
      <c r="Z4" s="990"/>
      <c r="AA4" s="1184"/>
      <c r="AB4" s="1184"/>
      <c r="AC4" s="1184"/>
      <c r="AD4" s="990"/>
      <c r="AE4" s="1184"/>
      <c r="AF4" s="1184"/>
      <c r="AG4" s="1184"/>
      <c r="AH4" s="990"/>
      <c r="AI4" s="990"/>
      <c r="AJ4" s="990"/>
      <c r="AK4" s="990"/>
      <c r="AL4" s="1184"/>
      <c r="AM4" s="1184"/>
      <c r="AN4" s="1184"/>
      <c r="AO4" s="1184"/>
      <c r="AP4" s="1184"/>
      <c r="AQ4" s="1184"/>
      <c r="AR4" s="1184"/>
      <c r="AS4" s="1184"/>
      <c r="AT4" s="1184"/>
      <c r="AU4" s="1184"/>
      <c r="AV4" s="1184"/>
      <c r="AW4" s="1184"/>
      <c r="AX4" s="1183"/>
      <c r="AY4" s="1183"/>
      <c r="AZ4" s="1183"/>
      <c r="BA4" s="1183"/>
      <c r="BB4" s="1183"/>
      <c r="BC4" s="1183"/>
      <c r="BD4" s="1183"/>
      <c r="BE4" s="1183"/>
      <c r="BF4" s="1183"/>
      <c r="BG4" s="1183"/>
      <c r="BH4" s="1183"/>
      <c r="BI4" s="1183"/>
      <c r="BJ4" s="1183"/>
      <c r="BK4" s="1183"/>
      <c r="BL4" s="1183"/>
      <c r="BM4" s="1183"/>
      <c r="BN4" s="1183"/>
      <c r="BO4" s="1183"/>
      <c r="BP4" s="1183"/>
      <c r="BQ4" s="1183"/>
      <c r="BR4" s="1183"/>
      <c r="BS4" s="1183"/>
      <c r="BT4" s="1183"/>
      <c r="BU4" s="1183"/>
      <c r="BV4" s="1183"/>
      <c r="BW4" s="1183"/>
      <c r="BX4" s="1183"/>
      <c r="BY4" s="1183"/>
      <c r="BZ4" s="1183"/>
      <c r="CA4" s="1183"/>
      <c r="CB4" s="1183"/>
      <c r="CC4" s="1183"/>
    </row>
    <row r="5" spans="1:87" x14ac:dyDescent="0.2">
      <c r="A5" s="1184"/>
      <c r="B5" s="1184"/>
      <c r="C5" s="1184"/>
      <c r="D5" s="1184"/>
      <c r="E5" s="1145"/>
      <c r="F5" s="1145"/>
      <c r="G5" s="1145"/>
      <c r="H5" s="2204"/>
      <c r="I5" s="1184"/>
      <c r="J5" s="1184"/>
      <c r="K5" s="1184"/>
      <c r="L5" s="2204"/>
      <c r="M5" s="1184"/>
      <c r="N5" s="1184"/>
      <c r="O5" s="1184"/>
      <c r="P5" s="2204"/>
      <c r="Q5" s="1184"/>
      <c r="R5" s="1184"/>
      <c r="S5" s="1184"/>
      <c r="T5" s="1184"/>
      <c r="U5" s="1184"/>
      <c r="V5" s="1184"/>
      <c r="W5" s="1184"/>
      <c r="X5" s="1184"/>
      <c r="Y5" s="1184"/>
      <c r="Z5" s="1184"/>
      <c r="AA5" s="1184"/>
      <c r="AB5" s="1184"/>
      <c r="AC5" s="1184"/>
      <c r="AD5" s="1184"/>
      <c r="AE5" s="1184"/>
      <c r="AF5" s="1184"/>
      <c r="AG5" s="1184"/>
      <c r="AH5" s="1184"/>
      <c r="AI5" s="1184"/>
      <c r="AJ5" s="1184"/>
      <c r="AK5" s="1184"/>
      <c r="AL5" s="1184"/>
      <c r="AM5" s="1184"/>
      <c r="AN5" s="1184"/>
      <c r="AO5" s="1184"/>
      <c r="AP5" s="1184"/>
      <c r="AQ5" s="1184"/>
      <c r="AR5" s="1184"/>
      <c r="AS5" s="1184"/>
      <c r="AT5" s="1184"/>
      <c r="AU5" s="1184"/>
      <c r="AV5" s="1184"/>
      <c r="AW5" s="1184"/>
      <c r="AX5" s="1184"/>
      <c r="AY5" s="1184"/>
      <c r="AZ5" s="1184"/>
      <c r="BA5" s="1183"/>
      <c r="BB5" s="1183"/>
      <c r="BC5" s="1183"/>
      <c r="BD5" s="1183"/>
      <c r="BE5" s="1183"/>
      <c r="BF5" s="1183"/>
      <c r="BG5" s="1183"/>
      <c r="BH5" s="1183"/>
      <c r="BI5" s="1183"/>
      <c r="BJ5" s="1183"/>
      <c r="BK5" s="1183"/>
      <c r="BL5" s="1183"/>
      <c r="BM5" s="1183"/>
      <c r="BN5" s="1183"/>
      <c r="BO5" s="1183"/>
      <c r="BP5" s="1183"/>
      <c r="BQ5" s="1183"/>
      <c r="BR5" s="1183"/>
      <c r="BS5" s="1183"/>
      <c r="BT5" s="1183"/>
      <c r="BU5" s="1183"/>
      <c r="BV5" s="1183"/>
      <c r="BW5" s="1183"/>
      <c r="BX5" s="1183"/>
      <c r="BY5" s="1183"/>
      <c r="BZ5" s="1183"/>
      <c r="CA5" s="1183"/>
      <c r="CB5" s="1183"/>
      <c r="CC5" s="1183"/>
    </row>
    <row r="6" spans="1:87" ht="18" customHeight="1" x14ac:dyDescent="0.2">
      <c r="A6" s="1894" t="s">
        <v>722</v>
      </c>
      <c r="B6" s="1184"/>
      <c r="C6" s="1184"/>
      <c r="D6" s="1184"/>
      <c r="E6" s="1145"/>
      <c r="F6" s="1145"/>
      <c r="G6" s="1145"/>
      <c r="H6" s="1184"/>
      <c r="I6" s="1184"/>
      <c r="J6" s="1184"/>
      <c r="K6" s="1184"/>
      <c r="L6" s="1184"/>
      <c r="M6" s="1184"/>
      <c r="N6" s="1184"/>
      <c r="O6" s="1184"/>
      <c r="P6" s="1184"/>
      <c r="Q6" s="1184"/>
      <c r="R6" s="1184"/>
      <c r="S6" s="1184"/>
      <c r="T6" s="1184"/>
      <c r="U6" s="1184"/>
      <c r="V6" s="1184"/>
      <c r="W6" s="1184"/>
      <c r="X6" s="1184"/>
      <c r="Y6" s="1184"/>
      <c r="Z6" s="1184"/>
      <c r="AA6" s="1184"/>
      <c r="AB6" s="1184"/>
      <c r="AC6" s="1184"/>
      <c r="AD6" s="1184"/>
      <c r="AE6" s="1184"/>
      <c r="AF6" s="1184"/>
      <c r="AG6" s="1184"/>
      <c r="AH6" s="1184"/>
      <c r="AI6" s="1184"/>
      <c r="AJ6" s="1184"/>
      <c r="AK6" s="1184"/>
      <c r="AL6" s="1184"/>
      <c r="AM6" s="1184"/>
      <c r="AN6" s="1184"/>
      <c r="AO6" s="1184"/>
      <c r="AP6" s="1184"/>
      <c r="AQ6" s="1184"/>
      <c r="AR6" s="1184"/>
      <c r="AS6" s="1184"/>
      <c r="AT6" s="1184"/>
      <c r="AU6" s="1184"/>
      <c r="AV6" s="1184"/>
      <c r="AW6" s="1184"/>
      <c r="AX6" s="1184"/>
      <c r="AY6" s="1184"/>
      <c r="AZ6" s="1184"/>
      <c r="BA6" s="1183"/>
      <c r="BB6" s="1183"/>
      <c r="BC6" s="1183"/>
      <c r="BD6" s="1183"/>
      <c r="BE6" s="1183"/>
      <c r="BF6" s="1183"/>
      <c r="BG6" s="1183"/>
      <c r="BH6" s="1183"/>
      <c r="BI6" s="1183"/>
      <c r="BJ6" s="1183"/>
      <c r="BK6" s="1183"/>
      <c r="BL6" s="1183"/>
      <c r="BM6" s="1183"/>
      <c r="BN6" s="1183"/>
      <c r="BO6" s="1183"/>
      <c r="BP6" s="1183"/>
      <c r="BQ6" s="1183"/>
      <c r="BR6" s="1183"/>
      <c r="BS6" s="1183"/>
      <c r="BT6" s="1183"/>
      <c r="BU6" s="1183"/>
      <c r="BV6" s="1183"/>
      <c r="BW6" s="1183"/>
      <c r="BX6" s="1183"/>
      <c r="BY6" s="1183"/>
      <c r="BZ6" s="1183"/>
      <c r="CA6" s="1183"/>
      <c r="CB6" s="1183"/>
      <c r="CC6" s="1183"/>
    </row>
    <row r="7" spans="1:87" ht="9.75" customHeight="1" x14ac:dyDescent="0.2">
      <c r="A7" s="941"/>
      <c r="B7" s="941"/>
      <c r="C7" s="941"/>
      <c r="D7" s="941"/>
      <c r="E7" s="897"/>
      <c r="F7" s="897"/>
      <c r="G7" s="897"/>
      <c r="H7" s="941"/>
      <c r="I7" s="941"/>
      <c r="J7" s="941"/>
      <c r="K7" s="941"/>
      <c r="L7" s="941"/>
      <c r="M7" s="941"/>
      <c r="N7" s="941"/>
      <c r="O7" s="941"/>
      <c r="P7" s="941"/>
      <c r="Q7" s="941"/>
      <c r="R7" s="941"/>
      <c r="S7" s="941"/>
      <c r="T7" s="941"/>
      <c r="U7" s="981"/>
      <c r="V7" s="941"/>
      <c r="W7" s="941"/>
      <c r="X7" s="941"/>
      <c r="Y7" s="981"/>
      <c r="Z7" s="941"/>
      <c r="AA7" s="941"/>
      <c r="AB7" s="941"/>
      <c r="AC7" s="981"/>
      <c r="AD7" s="941"/>
      <c r="AE7" s="941"/>
      <c r="AF7" s="941"/>
      <c r="AG7" s="981"/>
      <c r="AH7" s="941"/>
      <c r="AI7" s="941"/>
      <c r="AJ7" s="941"/>
      <c r="AK7" s="981"/>
      <c r="AL7" s="941"/>
      <c r="AM7" s="981"/>
      <c r="AN7" s="941"/>
      <c r="AO7" s="981"/>
      <c r="AP7" s="941"/>
      <c r="AQ7" s="981"/>
      <c r="AR7" s="941"/>
      <c r="AS7" s="981"/>
      <c r="AT7" s="941"/>
      <c r="AU7" s="981"/>
      <c r="AV7" s="941"/>
      <c r="AW7" s="941"/>
      <c r="AX7" s="1184"/>
      <c r="AY7" s="1184"/>
      <c r="AZ7" s="1184"/>
      <c r="BA7" s="1183"/>
      <c r="BB7" s="1183"/>
      <c r="BC7" s="1183"/>
      <c r="BD7" s="1183"/>
      <c r="BE7" s="1183"/>
      <c r="BF7" s="1183"/>
      <c r="BG7" s="1183"/>
      <c r="BH7" s="1183"/>
      <c r="BI7" s="1183"/>
      <c r="BJ7" s="1183"/>
      <c r="BK7" s="1183"/>
      <c r="BL7" s="1183"/>
      <c r="BM7" s="1183"/>
      <c r="BN7" s="1183"/>
      <c r="BO7" s="1183"/>
      <c r="BP7" s="1183"/>
      <c r="BQ7" s="1183"/>
      <c r="BR7" s="1183"/>
      <c r="BS7" s="1183"/>
      <c r="BT7" s="1183"/>
      <c r="BU7" s="1183"/>
      <c r="BV7" s="1183"/>
      <c r="BW7" s="1183"/>
      <c r="BX7" s="1183"/>
      <c r="BY7" s="1183"/>
      <c r="BZ7" s="1184"/>
      <c r="CA7" s="1184"/>
      <c r="CB7" s="1183"/>
      <c r="CC7" s="1183"/>
    </row>
    <row r="8" spans="1:87" x14ac:dyDescent="0.2">
      <c r="A8" s="945"/>
      <c r="B8" s="946"/>
      <c r="C8" s="3073" t="s">
        <v>671</v>
      </c>
      <c r="D8" s="3074"/>
      <c r="E8" s="901"/>
      <c r="F8" s="1148"/>
      <c r="G8" s="1148"/>
      <c r="H8" s="1220"/>
      <c r="I8" s="1220"/>
      <c r="J8" s="1218"/>
      <c r="K8" s="1220"/>
      <c r="L8" s="1220"/>
      <c r="M8" s="1220"/>
      <c r="N8" s="1218"/>
      <c r="O8" s="1221"/>
      <c r="P8" s="1220"/>
      <c r="Q8" s="1220"/>
      <c r="R8" s="1218"/>
      <c r="S8" s="1220"/>
      <c r="T8" s="1220"/>
      <c r="U8" s="1184"/>
      <c r="V8" s="1218"/>
      <c r="W8" s="1220"/>
      <c r="X8" s="1220"/>
      <c r="Y8" s="1184"/>
      <c r="Z8" s="1218"/>
      <c r="AA8" s="1220"/>
      <c r="AB8" s="1220"/>
      <c r="AC8" s="1184"/>
      <c r="AD8" s="1218"/>
      <c r="AE8" s="1220"/>
      <c r="AF8" s="1220"/>
      <c r="AG8" s="1184"/>
      <c r="AH8" s="1218"/>
      <c r="AI8" s="1220"/>
      <c r="AJ8" s="1220"/>
      <c r="AK8" s="1184"/>
      <c r="AL8" s="1218"/>
      <c r="AM8" s="1184"/>
      <c r="AN8" s="1220"/>
      <c r="AO8" s="1184"/>
      <c r="AP8" s="1218"/>
      <c r="AQ8" s="1184"/>
      <c r="AR8" s="1220"/>
      <c r="AS8" s="1184"/>
      <c r="AT8" s="1218"/>
      <c r="AU8" s="1220"/>
      <c r="AV8" s="1220"/>
      <c r="AW8" s="1220"/>
      <c r="AX8" s="1218"/>
      <c r="AY8" s="1220"/>
      <c r="AZ8" s="1220"/>
      <c r="BA8" s="1220"/>
      <c r="BB8" s="1220"/>
      <c r="BC8" s="1221"/>
      <c r="BD8" s="1218"/>
      <c r="BE8" s="1218"/>
      <c r="BF8" s="1218"/>
      <c r="BG8" s="1222"/>
      <c r="BH8" s="3073" t="s">
        <v>193</v>
      </c>
      <c r="BI8" s="3217"/>
      <c r="BJ8" s="3217"/>
      <c r="BK8" s="3218"/>
      <c r="BL8" s="990"/>
      <c r="BM8" s="991"/>
      <c r="BN8" s="991"/>
      <c r="BO8" s="991"/>
      <c r="BP8" s="991"/>
      <c r="BQ8" s="991"/>
      <c r="BR8" s="991"/>
      <c r="BS8" s="991"/>
      <c r="BT8" s="991"/>
      <c r="BU8" s="991"/>
      <c r="BV8" s="991"/>
      <c r="BW8" s="991"/>
      <c r="BX8" s="1219"/>
      <c r="BY8" s="1221"/>
      <c r="BZ8" s="991"/>
      <c r="CA8" s="991"/>
      <c r="CB8" s="991"/>
      <c r="CC8" s="1223"/>
    </row>
    <row r="9" spans="1:87" x14ac:dyDescent="0.2">
      <c r="A9" s="1895" t="s">
        <v>1</v>
      </c>
      <c r="B9" s="946"/>
      <c r="C9" s="3210" t="s">
        <v>38</v>
      </c>
      <c r="D9" s="3076"/>
      <c r="E9" s="906"/>
      <c r="F9" s="907" t="s">
        <v>670</v>
      </c>
      <c r="G9" s="907" t="s">
        <v>558</v>
      </c>
      <c r="H9" s="992" t="s">
        <v>559</v>
      </c>
      <c r="I9" s="992" t="s">
        <v>560</v>
      </c>
      <c r="J9" s="993" t="s">
        <v>561</v>
      </c>
      <c r="K9" s="992" t="s">
        <v>508</v>
      </c>
      <c r="L9" s="992" t="s">
        <v>507</v>
      </c>
      <c r="M9" s="992" t="s">
        <v>506</v>
      </c>
      <c r="N9" s="993" t="s">
        <v>505</v>
      </c>
      <c r="O9" s="995" t="s">
        <v>382</v>
      </c>
      <c r="P9" s="992" t="s">
        <v>383</v>
      </c>
      <c r="Q9" s="992" t="s">
        <v>384</v>
      </c>
      <c r="R9" s="993" t="s">
        <v>385</v>
      </c>
      <c r="S9" s="992" t="s">
        <v>368</v>
      </c>
      <c r="T9" s="992" t="s">
        <v>367</v>
      </c>
      <c r="U9" s="992" t="s">
        <v>366</v>
      </c>
      <c r="V9" s="993" t="s">
        <v>364</v>
      </c>
      <c r="W9" s="992" t="s">
        <v>348</v>
      </c>
      <c r="X9" s="992" t="s">
        <v>349</v>
      </c>
      <c r="Y9" s="992" t="s">
        <v>350</v>
      </c>
      <c r="Z9" s="993" t="s">
        <v>351</v>
      </c>
      <c r="AA9" s="992" t="s">
        <v>315</v>
      </c>
      <c r="AB9" s="992" t="s">
        <v>314</v>
      </c>
      <c r="AC9" s="992" t="s">
        <v>313</v>
      </c>
      <c r="AD9" s="993" t="s">
        <v>311</v>
      </c>
      <c r="AE9" s="992" t="s">
        <v>270</v>
      </c>
      <c r="AF9" s="992" t="s">
        <v>271</v>
      </c>
      <c r="AG9" s="992" t="s">
        <v>272</v>
      </c>
      <c r="AH9" s="993" t="s">
        <v>273</v>
      </c>
      <c r="AI9" s="992" t="s">
        <v>223</v>
      </c>
      <c r="AJ9" s="992" t="s">
        <v>224</v>
      </c>
      <c r="AK9" s="992" t="s">
        <v>225</v>
      </c>
      <c r="AL9" s="993" t="s">
        <v>222</v>
      </c>
      <c r="AM9" s="992" t="s">
        <v>189</v>
      </c>
      <c r="AN9" s="992" t="s">
        <v>190</v>
      </c>
      <c r="AO9" s="992" t="s">
        <v>191</v>
      </c>
      <c r="AP9" s="993" t="s">
        <v>192</v>
      </c>
      <c r="AQ9" s="992" t="s">
        <v>121</v>
      </c>
      <c r="AR9" s="992" t="s">
        <v>120</v>
      </c>
      <c r="AS9" s="992" t="s">
        <v>119</v>
      </c>
      <c r="AT9" s="993" t="s">
        <v>118</v>
      </c>
      <c r="AU9" s="992" t="s">
        <v>81</v>
      </c>
      <c r="AV9" s="992" t="s">
        <v>82</v>
      </c>
      <c r="AW9" s="992" t="s">
        <v>83</v>
      </c>
      <c r="AX9" s="993" t="s">
        <v>29</v>
      </c>
      <c r="AY9" s="990" t="s">
        <v>30</v>
      </c>
      <c r="AZ9" s="990" t="s">
        <v>31</v>
      </c>
      <c r="BA9" s="990" t="s">
        <v>32</v>
      </c>
      <c r="BB9" s="990" t="s">
        <v>33</v>
      </c>
      <c r="BC9" s="996" t="s">
        <v>34</v>
      </c>
      <c r="BD9" s="1227" t="s">
        <v>35</v>
      </c>
      <c r="BE9" s="1227" t="s">
        <v>36</v>
      </c>
      <c r="BF9" s="1227" t="s">
        <v>37</v>
      </c>
      <c r="BG9" s="996"/>
      <c r="BH9" s="994" t="s">
        <v>42</v>
      </c>
      <c r="BI9" s="992" t="s">
        <v>39</v>
      </c>
      <c r="BJ9" s="3215" t="s">
        <v>38</v>
      </c>
      <c r="BK9" s="3076"/>
      <c r="BL9" s="997"/>
      <c r="BM9" s="1808" t="s">
        <v>562</v>
      </c>
      <c r="BN9" s="1808" t="s">
        <v>509</v>
      </c>
      <c r="BO9" s="1808" t="s">
        <v>502</v>
      </c>
      <c r="BP9" s="1808" t="s">
        <v>381</v>
      </c>
      <c r="BQ9" s="1808" t="s">
        <v>360</v>
      </c>
      <c r="BR9" s="1808" t="s">
        <v>317</v>
      </c>
      <c r="BS9" s="1808" t="s">
        <v>275</v>
      </c>
      <c r="BT9" s="1808" t="s">
        <v>227</v>
      </c>
      <c r="BU9" s="1808" t="s">
        <v>123</v>
      </c>
      <c r="BV9" s="1808" t="s">
        <v>122</v>
      </c>
      <c r="BW9" s="1808" t="s">
        <v>42</v>
      </c>
      <c r="BX9" s="1808" t="s">
        <v>39</v>
      </c>
      <c r="BY9" s="996" t="s">
        <v>40</v>
      </c>
      <c r="BZ9" s="995" t="s">
        <v>142</v>
      </c>
      <c r="CA9" s="995" t="s">
        <v>143</v>
      </c>
      <c r="CB9" s="995" t="s">
        <v>144</v>
      </c>
      <c r="CC9" s="1223"/>
      <c r="CD9" s="1357"/>
      <c r="CE9" s="1315"/>
      <c r="CF9" s="1315"/>
      <c r="CG9" s="1315"/>
      <c r="CH9" s="1315"/>
      <c r="CI9" s="1315"/>
    </row>
    <row r="10" spans="1:87" ht="12.75" customHeight="1" x14ac:dyDescent="0.2">
      <c r="A10" s="947"/>
      <c r="B10" s="948"/>
      <c r="C10" s="1452"/>
      <c r="D10" s="1338"/>
      <c r="E10" s="1152"/>
      <c r="F10" s="1153"/>
      <c r="G10" s="1153"/>
      <c r="H10" s="1208"/>
      <c r="I10" s="1208"/>
      <c r="J10" s="1186"/>
      <c r="K10" s="1208"/>
      <c r="L10" s="1208"/>
      <c r="M10" s="1208"/>
      <c r="N10" s="1186"/>
      <c r="O10" s="1229"/>
      <c r="P10" s="1208"/>
      <c r="Q10" s="1208"/>
      <c r="R10" s="1186"/>
      <c r="S10" s="1208"/>
      <c r="T10" s="1208"/>
      <c r="U10" s="1208"/>
      <c r="V10" s="1186"/>
      <c r="W10" s="1208"/>
      <c r="X10" s="1208"/>
      <c r="Y10" s="1208"/>
      <c r="Z10" s="1186"/>
      <c r="AA10" s="1208"/>
      <c r="AB10" s="1208"/>
      <c r="AC10" s="1208"/>
      <c r="AD10" s="1186"/>
      <c r="AE10" s="1208"/>
      <c r="AF10" s="1208"/>
      <c r="AG10" s="1208"/>
      <c r="AH10" s="1186"/>
      <c r="AI10" s="1208"/>
      <c r="AJ10" s="1208"/>
      <c r="AK10" s="1208"/>
      <c r="AL10" s="1186"/>
      <c r="AM10" s="1208"/>
      <c r="AN10" s="1208"/>
      <c r="AO10" s="1208"/>
      <c r="AP10" s="1186"/>
      <c r="AQ10" s="1208"/>
      <c r="AR10" s="1208"/>
      <c r="AS10" s="1208"/>
      <c r="AT10" s="1186"/>
      <c r="AU10" s="1208"/>
      <c r="AV10" s="1208"/>
      <c r="AW10" s="1208"/>
      <c r="AX10" s="1186"/>
      <c r="AY10" s="1900"/>
      <c r="AZ10" s="1900"/>
      <c r="BA10" s="1900"/>
      <c r="BB10" s="1338"/>
      <c r="BC10" s="1453"/>
      <c r="BD10" s="1338"/>
      <c r="BE10" s="1338"/>
      <c r="BF10" s="1338"/>
      <c r="BG10" s="1229"/>
      <c r="BH10" s="1188"/>
      <c r="BI10" s="1208"/>
      <c r="BJ10" s="1208"/>
      <c r="BK10" s="1186"/>
      <c r="BL10" s="1208"/>
      <c r="BM10" s="1453"/>
      <c r="BN10" s="1453"/>
      <c r="BO10" s="1453"/>
      <c r="BP10" s="1453"/>
      <c r="BQ10" s="1453"/>
      <c r="BR10" s="1453"/>
      <c r="BS10" s="1453"/>
      <c r="BT10" s="1453"/>
      <c r="BU10" s="1453"/>
      <c r="BV10" s="1453"/>
      <c r="BW10" s="1453"/>
      <c r="BX10" s="1453"/>
      <c r="BY10" s="1453"/>
      <c r="BZ10" s="998"/>
      <c r="CA10" s="998"/>
      <c r="CB10" s="998"/>
      <c r="CC10" s="1223"/>
      <c r="CD10" s="1357"/>
      <c r="CE10" s="1315"/>
      <c r="CF10" s="1315"/>
      <c r="CG10" s="1315"/>
    </row>
    <row r="11" spans="1:87" ht="12.75" customHeight="1" x14ac:dyDescent="0.2">
      <c r="A11" s="1896" t="s">
        <v>110</v>
      </c>
      <c r="B11" s="1896"/>
      <c r="C11" s="1740"/>
      <c r="D11" s="1035"/>
      <c r="E11" s="920"/>
      <c r="F11" s="908"/>
      <c r="G11" s="908"/>
      <c r="H11" s="952"/>
      <c r="I11" s="952"/>
      <c r="J11" s="1397"/>
      <c r="K11" s="952"/>
      <c r="L11" s="952"/>
      <c r="M11" s="952"/>
      <c r="N11" s="1397"/>
      <c r="O11" s="2316"/>
      <c r="P11" s="952"/>
      <c r="Q11" s="952"/>
      <c r="R11" s="1397"/>
      <c r="S11" s="952"/>
      <c r="T11" s="952"/>
      <c r="U11" s="952"/>
      <c r="V11" s="1397"/>
      <c r="W11" s="952"/>
      <c r="X11" s="952"/>
      <c r="Y11" s="952"/>
      <c r="Z11" s="1397"/>
      <c r="AA11" s="952"/>
      <c r="AB11" s="952"/>
      <c r="AC11" s="952"/>
      <c r="AD11" s="1397"/>
      <c r="AE11" s="952"/>
      <c r="AF11" s="952"/>
      <c r="AG11" s="952"/>
      <c r="AH11" s="1397"/>
      <c r="AI11" s="952"/>
      <c r="AJ11" s="952"/>
      <c r="AK11" s="952"/>
      <c r="AL11" s="1397"/>
      <c r="AM11" s="952"/>
      <c r="AN11" s="952"/>
      <c r="AO11" s="952"/>
      <c r="AP11" s="1397"/>
      <c r="AQ11" s="952"/>
      <c r="AR11" s="952"/>
      <c r="AS11" s="952"/>
      <c r="AT11" s="1397"/>
      <c r="AU11" s="952"/>
      <c r="AV11" s="952"/>
      <c r="AW11" s="952"/>
      <c r="AX11" s="1397"/>
      <c r="AY11" s="1398"/>
      <c r="AZ11" s="1398"/>
      <c r="BA11" s="1398"/>
      <c r="BB11" s="1397"/>
      <c r="BC11" s="1367"/>
      <c r="BD11" s="1397"/>
      <c r="BE11" s="1397"/>
      <c r="BF11" s="1397"/>
      <c r="BG11" s="1434"/>
      <c r="BH11" s="1446"/>
      <c r="BI11" s="1442"/>
      <c r="BJ11" s="1009"/>
      <c r="BK11" s="1035"/>
      <c r="BL11" s="1442"/>
      <c r="BM11" s="1367"/>
      <c r="BN11" s="1367"/>
      <c r="BO11" s="1367"/>
      <c r="BP11" s="1367"/>
      <c r="BQ11" s="1367"/>
      <c r="BR11" s="1367"/>
      <c r="BS11" s="1367"/>
      <c r="BT11" s="1367"/>
      <c r="BU11" s="1367"/>
      <c r="BV11" s="1367"/>
      <c r="BW11" s="1367"/>
      <c r="BX11" s="1367"/>
      <c r="BY11" s="1367"/>
      <c r="BZ11" s="1033"/>
      <c r="CA11" s="1033"/>
      <c r="CB11" s="1033"/>
      <c r="CC11" s="1184"/>
      <c r="CD11" s="1357"/>
      <c r="CE11" s="1315"/>
      <c r="CF11" s="1315"/>
      <c r="CG11" s="1315"/>
    </row>
    <row r="12" spans="1:87" ht="12.75" customHeight="1" x14ac:dyDescent="0.2">
      <c r="A12" s="1201"/>
      <c r="B12" s="1201" t="s">
        <v>187</v>
      </c>
      <c r="C12" s="1396">
        <v>13</v>
      </c>
      <c r="D12" s="1035">
        <v>5.3278688524590161E-2</v>
      </c>
      <c r="E12" s="920"/>
      <c r="F12" s="1155">
        <v>257</v>
      </c>
      <c r="G12" s="1155">
        <v>255</v>
      </c>
      <c r="H12" s="1230">
        <v>248</v>
      </c>
      <c r="I12" s="1230">
        <v>248</v>
      </c>
      <c r="J12" s="1397">
        <v>244</v>
      </c>
      <c r="K12" s="1230">
        <v>189</v>
      </c>
      <c r="L12" s="1230">
        <v>189</v>
      </c>
      <c r="M12" s="1230">
        <v>194</v>
      </c>
      <c r="N12" s="1397">
        <v>190</v>
      </c>
      <c r="O12" s="1930">
        <v>178</v>
      </c>
      <c r="P12" s="1230">
        <v>184</v>
      </c>
      <c r="Q12" s="1230">
        <v>178</v>
      </c>
      <c r="R12" s="1397">
        <v>177</v>
      </c>
      <c r="S12" s="1230">
        <v>180</v>
      </c>
      <c r="T12" s="1230">
        <v>188</v>
      </c>
      <c r="U12" s="1230">
        <v>190</v>
      </c>
      <c r="V12" s="1397">
        <v>193</v>
      </c>
      <c r="W12" s="1230">
        <v>201</v>
      </c>
      <c r="X12" s="1230">
        <v>206</v>
      </c>
      <c r="Y12" s="1230">
        <v>208</v>
      </c>
      <c r="Z12" s="1397">
        <v>215</v>
      </c>
      <c r="AA12" s="1230">
        <v>215</v>
      </c>
      <c r="AB12" s="1230">
        <v>214</v>
      </c>
      <c r="AC12" s="1230">
        <v>215</v>
      </c>
      <c r="AD12" s="1397">
        <v>221</v>
      </c>
      <c r="AE12" s="1230">
        <v>222</v>
      </c>
      <c r="AF12" s="1230">
        <v>224</v>
      </c>
      <c r="AG12" s="1230">
        <v>225</v>
      </c>
      <c r="AH12" s="1397">
        <v>239</v>
      </c>
      <c r="AI12" s="1230">
        <v>247</v>
      </c>
      <c r="AJ12" s="1230">
        <v>262</v>
      </c>
      <c r="AK12" s="1230">
        <v>266</v>
      </c>
      <c r="AL12" s="1397">
        <v>265</v>
      </c>
      <c r="AM12" s="1230">
        <v>268</v>
      </c>
      <c r="AN12" s="1230">
        <v>276</v>
      </c>
      <c r="AO12" s="1230">
        <v>276</v>
      </c>
      <c r="AP12" s="1397">
        <v>273</v>
      </c>
      <c r="AQ12" s="1230">
        <v>203</v>
      </c>
      <c r="AR12" s="1230">
        <v>204</v>
      </c>
      <c r="AS12" s="1230">
        <v>200</v>
      </c>
      <c r="AT12" s="1397">
        <v>204</v>
      </c>
      <c r="AU12" s="1230">
        <v>209</v>
      </c>
      <c r="AV12" s="1230">
        <v>211</v>
      </c>
      <c r="AW12" s="1230">
        <v>248</v>
      </c>
      <c r="AX12" s="1397">
        <v>251</v>
      </c>
      <c r="AY12" s="1235">
        <v>253</v>
      </c>
      <c r="AZ12" s="1235">
        <v>254</v>
      </c>
      <c r="BA12" s="1235">
        <v>264</v>
      </c>
      <c r="BB12" s="1454">
        <v>260</v>
      </c>
      <c r="BC12" s="1273">
        <v>246</v>
      </c>
      <c r="BD12" s="1454">
        <v>237</v>
      </c>
      <c r="BE12" s="1454">
        <v>241</v>
      </c>
      <c r="BF12" s="1454">
        <v>239</v>
      </c>
      <c r="BG12" s="1387"/>
      <c r="BH12" s="1812">
        <v>209</v>
      </c>
      <c r="BI12" s="1815">
        <v>253</v>
      </c>
      <c r="BJ12" s="1398">
        <v>-44</v>
      </c>
      <c r="BK12" s="1035">
        <v>-0.17391304347826086</v>
      </c>
      <c r="BL12" s="1815"/>
      <c r="BM12" s="1367">
        <v>255</v>
      </c>
      <c r="BN12" s="1367">
        <v>189</v>
      </c>
      <c r="BO12" s="1367">
        <v>178</v>
      </c>
      <c r="BP12" s="1367">
        <v>180</v>
      </c>
      <c r="BQ12" s="1367">
        <v>201</v>
      </c>
      <c r="BR12" s="1367">
        <v>215</v>
      </c>
      <c r="BS12" s="1367">
        <v>222</v>
      </c>
      <c r="BT12" s="1367">
        <v>247</v>
      </c>
      <c r="BU12" s="1367">
        <v>268</v>
      </c>
      <c r="BV12" s="1367">
        <v>203</v>
      </c>
      <c r="BW12" s="1367">
        <v>209</v>
      </c>
      <c r="BX12" s="1273">
        <v>253</v>
      </c>
      <c r="BY12" s="1273">
        <v>246</v>
      </c>
      <c r="BZ12" s="1237">
        <v>233</v>
      </c>
      <c r="CA12" s="1237">
        <v>209</v>
      </c>
      <c r="CB12" s="1237">
        <v>185</v>
      </c>
      <c r="CC12" s="1193"/>
      <c r="CG12" s="1315"/>
    </row>
    <row r="13" spans="1:87" ht="12.75" customHeight="1" x14ac:dyDescent="0.2">
      <c r="A13" s="1201"/>
      <c r="B13" s="1201" t="s">
        <v>306</v>
      </c>
      <c r="C13" s="1396">
        <v>15</v>
      </c>
      <c r="D13" s="1035">
        <v>3.640776699029126E-2</v>
      </c>
      <c r="E13" s="920"/>
      <c r="F13" s="1155">
        <v>427</v>
      </c>
      <c r="G13" s="1155">
        <v>430</v>
      </c>
      <c r="H13" s="1230">
        <v>425</v>
      </c>
      <c r="I13" s="1230">
        <v>413</v>
      </c>
      <c r="J13" s="1397">
        <v>412</v>
      </c>
      <c r="K13" s="1230">
        <v>379</v>
      </c>
      <c r="L13" s="1230">
        <v>352</v>
      </c>
      <c r="M13" s="1230">
        <v>353</v>
      </c>
      <c r="N13" s="1397">
        <v>351</v>
      </c>
      <c r="O13" s="1930">
        <v>359</v>
      </c>
      <c r="P13" s="1230">
        <v>354</v>
      </c>
      <c r="Q13" s="1230">
        <v>342</v>
      </c>
      <c r="R13" s="1397">
        <v>342</v>
      </c>
      <c r="S13" s="1230">
        <v>354</v>
      </c>
      <c r="T13" s="1230">
        <v>361</v>
      </c>
      <c r="U13" s="1230">
        <v>379</v>
      </c>
      <c r="V13" s="1397">
        <v>377</v>
      </c>
      <c r="W13" s="1230">
        <v>400</v>
      </c>
      <c r="X13" s="1230">
        <v>405</v>
      </c>
      <c r="Y13" s="1230">
        <v>412</v>
      </c>
      <c r="Z13" s="1397">
        <v>407</v>
      </c>
      <c r="AA13" s="1230">
        <v>420</v>
      </c>
      <c r="AB13" s="1230">
        <v>425</v>
      </c>
      <c r="AC13" s="1230">
        <v>430</v>
      </c>
      <c r="AD13" s="1397">
        <v>448</v>
      </c>
      <c r="AE13" s="1230">
        <v>461</v>
      </c>
      <c r="AF13" s="1230">
        <v>493</v>
      </c>
      <c r="AG13" s="1230">
        <v>617</v>
      </c>
      <c r="AH13" s="1397">
        <v>662</v>
      </c>
      <c r="AI13" s="1230">
        <v>684</v>
      </c>
      <c r="AJ13" s="1230">
        <v>699</v>
      </c>
      <c r="AK13" s="1230">
        <v>686</v>
      </c>
      <c r="AL13" s="1397">
        <v>666</v>
      </c>
      <c r="AM13" s="1230">
        <v>684</v>
      </c>
      <c r="AN13" s="1230">
        <v>671</v>
      </c>
      <c r="AO13" s="1230">
        <v>665</v>
      </c>
      <c r="AP13" s="1397">
        <v>689</v>
      </c>
      <c r="AQ13" s="1230">
        <v>680</v>
      </c>
      <c r="AR13" s="1230">
        <v>707</v>
      </c>
      <c r="AS13" s="1230">
        <v>698</v>
      </c>
      <c r="AT13" s="1397">
        <v>688</v>
      </c>
      <c r="AU13" s="1230">
        <v>700</v>
      </c>
      <c r="AV13" s="1230">
        <v>725</v>
      </c>
      <c r="AW13" s="1230">
        <v>744</v>
      </c>
      <c r="AX13" s="1397">
        <v>760</v>
      </c>
      <c r="AY13" s="1235">
        <v>762</v>
      </c>
      <c r="AZ13" s="1235">
        <v>772</v>
      </c>
      <c r="BA13" s="1235">
        <v>784</v>
      </c>
      <c r="BB13" s="1454">
        <v>757</v>
      </c>
      <c r="BC13" s="1273">
        <v>728</v>
      </c>
      <c r="BD13" s="1454">
        <v>725</v>
      </c>
      <c r="BE13" s="1454">
        <v>719</v>
      </c>
      <c r="BF13" s="1454">
        <v>710</v>
      </c>
      <c r="BG13" s="1387"/>
      <c r="BH13" s="1812">
        <v>700</v>
      </c>
      <c r="BI13" s="1815">
        <v>762</v>
      </c>
      <c r="BJ13" s="1398">
        <v>-62</v>
      </c>
      <c r="BK13" s="1035">
        <v>-8.1364829396325458E-2</v>
      </c>
      <c r="BL13" s="1815"/>
      <c r="BM13" s="1367">
        <v>430</v>
      </c>
      <c r="BN13" s="1367">
        <v>379</v>
      </c>
      <c r="BO13" s="1367">
        <v>359</v>
      </c>
      <c r="BP13" s="1367">
        <v>354</v>
      </c>
      <c r="BQ13" s="1367">
        <v>400</v>
      </c>
      <c r="BR13" s="1367">
        <v>420</v>
      </c>
      <c r="BS13" s="1367">
        <v>461</v>
      </c>
      <c r="BT13" s="1367">
        <v>684</v>
      </c>
      <c r="BU13" s="1367">
        <v>684</v>
      </c>
      <c r="BV13" s="1367">
        <v>680</v>
      </c>
      <c r="BW13" s="1367">
        <v>700</v>
      </c>
      <c r="BX13" s="1273">
        <v>762</v>
      </c>
      <c r="BY13" s="1273">
        <v>728</v>
      </c>
      <c r="BZ13" s="1237">
        <v>689</v>
      </c>
      <c r="CA13" s="1237">
        <v>657</v>
      </c>
      <c r="CB13" s="1237">
        <v>623</v>
      </c>
      <c r="CC13" s="1193"/>
      <c r="CG13" s="1315"/>
    </row>
    <row r="14" spans="1:87" ht="12.75" customHeight="1" x14ac:dyDescent="0.2">
      <c r="A14" s="1201"/>
      <c r="B14" s="1201" t="s">
        <v>111</v>
      </c>
      <c r="C14" s="1396">
        <v>24</v>
      </c>
      <c r="D14" s="1035">
        <v>8.247422680412371E-2</v>
      </c>
      <c r="E14" s="920"/>
      <c r="F14" s="1155">
        <v>315</v>
      </c>
      <c r="G14" s="1155">
        <v>308</v>
      </c>
      <c r="H14" s="1230">
        <v>303</v>
      </c>
      <c r="I14" s="1230">
        <v>294</v>
      </c>
      <c r="J14" s="1397">
        <v>291</v>
      </c>
      <c r="K14" s="1230">
        <v>288</v>
      </c>
      <c r="L14" s="1230">
        <v>282</v>
      </c>
      <c r="M14" s="1230">
        <v>276</v>
      </c>
      <c r="N14" s="1397">
        <v>274</v>
      </c>
      <c r="O14" s="1930">
        <v>279</v>
      </c>
      <c r="P14" s="1230">
        <v>281</v>
      </c>
      <c r="Q14" s="1230">
        <v>274</v>
      </c>
      <c r="R14" s="1397">
        <v>277</v>
      </c>
      <c r="S14" s="1230">
        <v>288</v>
      </c>
      <c r="T14" s="1230">
        <v>326</v>
      </c>
      <c r="U14" s="1230">
        <v>317</v>
      </c>
      <c r="V14" s="1397">
        <v>319</v>
      </c>
      <c r="W14" s="1230">
        <v>324</v>
      </c>
      <c r="X14" s="1230">
        <v>316</v>
      </c>
      <c r="Y14" s="1230">
        <v>315</v>
      </c>
      <c r="Z14" s="1397">
        <v>320</v>
      </c>
      <c r="AA14" s="1230">
        <v>316</v>
      </c>
      <c r="AB14" s="1230">
        <v>319</v>
      </c>
      <c r="AC14" s="1230">
        <v>320</v>
      </c>
      <c r="AD14" s="1397">
        <v>323</v>
      </c>
      <c r="AE14" s="1230">
        <v>332</v>
      </c>
      <c r="AF14" s="1230">
        <v>332</v>
      </c>
      <c r="AG14" s="1230">
        <v>343</v>
      </c>
      <c r="AH14" s="1397">
        <v>376</v>
      </c>
      <c r="AI14" s="1230">
        <v>378</v>
      </c>
      <c r="AJ14" s="1230">
        <v>386</v>
      </c>
      <c r="AK14" s="1230">
        <v>384</v>
      </c>
      <c r="AL14" s="1397">
        <v>382</v>
      </c>
      <c r="AM14" s="1230">
        <v>373</v>
      </c>
      <c r="AN14" s="1230">
        <v>365</v>
      </c>
      <c r="AO14" s="1230">
        <v>369</v>
      </c>
      <c r="AP14" s="1397">
        <v>371</v>
      </c>
      <c r="AQ14" s="1230">
        <v>364</v>
      </c>
      <c r="AR14" s="1230">
        <v>360</v>
      </c>
      <c r="AS14" s="1230">
        <v>359</v>
      </c>
      <c r="AT14" s="1397">
        <v>352</v>
      </c>
      <c r="AU14" s="1230">
        <v>356</v>
      </c>
      <c r="AV14" s="1230">
        <v>365</v>
      </c>
      <c r="AW14" s="1230">
        <v>393</v>
      </c>
      <c r="AX14" s="1397">
        <v>393</v>
      </c>
      <c r="AY14" s="1235">
        <v>380</v>
      </c>
      <c r="AZ14" s="1235">
        <v>373</v>
      </c>
      <c r="BA14" s="1235">
        <v>370</v>
      </c>
      <c r="BB14" s="1454">
        <v>366</v>
      </c>
      <c r="BC14" s="1273">
        <v>360</v>
      </c>
      <c r="BD14" s="1454">
        <v>348</v>
      </c>
      <c r="BE14" s="1454">
        <v>349</v>
      </c>
      <c r="BF14" s="1454">
        <v>343</v>
      </c>
      <c r="BG14" s="1387"/>
      <c r="BH14" s="1812">
        <v>356</v>
      </c>
      <c r="BI14" s="1815">
        <v>380</v>
      </c>
      <c r="BJ14" s="1398">
        <v>-24</v>
      </c>
      <c r="BK14" s="1035">
        <v>-6.3157894736842107E-2</v>
      </c>
      <c r="BL14" s="1815"/>
      <c r="BM14" s="1367">
        <v>308</v>
      </c>
      <c r="BN14" s="1367">
        <v>288</v>
      </c>
      <c r="BO14" s="1367">
        <v>279</v>
      </c>
      <c r="BP14" s="1367">
        <v>288</v>
      </c>
      <c r="BQ14" s="1367">
        <v>324</v>
      </c>
      <c r="BR14" s="1367">
        <v>316</v>
      </c>
      <c r="BS14" s="1367">
        <v>332</v>
      </c>
      <c r="BT14" s="1367">
        <v>378</v>
      </c>
      <c r="BU14" s="1367">
        <v>373</v>
      </c>
      <c r="BV14" s="1367">
        <v>364</v>
      </c>
      <c r="BW14" s="1367">
        <v>356</v>
      </c>
      <c r="BX14" s="1273">
        <v>380</v>
      </c>
      <c r="BY14" s="1273">
        <v>360</v>
      </c>
      <c r="BZ14" s="1237">
        <v>335</v>
      </c>
      <c r="CA14" s="1237">
        <v>324</v>
      </c>
      <c r="CB14" s="1237">
        <v>296</v>
      </c>
      <c r="CC14" s="1193"/>
      <c r="CG14" s="1315"/>
    </row>
    <row r="15" spans="1:87" ht="12.75" customHeight="1" x14ac:dyDescent="0.2">
      <c r="A15" s="1201"/>
      <c r="B15" s="1201" t="s">
        <v>88</v>
      </c>
      <c r="C15" s="1396">
        <v>52</v>
      </c>
      <c r="D15" s="1035">
        <v>5.4910242872228086E-2</v>
      </c>
      <c r="E15" s="920"/>
      <c r="F15" s="1155">
        <v>999</v>
      </c>
      <c r="G15" s="1155">
        <v>993</v>
      </c>
      <c r="H15" s="1230">
        <v>976</v>
      </c>
      <c r="I15" s="1230">
        <v>955</v>
      </c>
      <c r="J15" s="1397">
        <v>947</v>
      </c>
      <c r="K15" s="1230">
        <v>856</v>
      </c>
      <c r="L15" s="1230">
        <v>823</v>
      </c>
      <c r="M15" s="1230">
        <v>823</v>
      </c>
      <c r="N15" s="1397">
        <v>815</v>
      </c>
      <c r="O15" s="1930">
        <v>816</v>
      </c>
      <c r="P15" s="1230">
        <v>819</v>
      </c>
      <c r="Q15" s="1230">
        <v>794</v>
      </c>
      <c r="R15" s="1397">
        <v>796</v>
      </c>
      <c r="S15" s="1230">
        <v>822</v>
      </c>
      <c r="T15" s="1230">
        <v>875</v>
      </c>
      <c r="U15" s="1230">
        <v>886</v>
      </c>
      <c r="V15" s="1397">
        <v>889</v>
      </c>
      <c r="W15" s="1230">
        <v>925</v>
      </c>
      <c r="X15" s="1230">
        <v>927</v>
      </c>
      <c r="Y15" s="1230">
        <v>935</v>
      </c>
      <c r="Z15" s="1397">
        <v>942</v>
      </c>
      <c r="AA15" s="1230">
        <v>951</v>
      </c>
      <c r="AB15" s="1230">
        <v>958</v>
      </c>
      <c r="AC15" s="1230">
        <v>965</v>
      </c>
      <c r="AD15" s="1397">
        <v>992</v>
      </c>
      <c r="AE15" s="1230">
        <v>1015</v>
      </c>
      <c r="AF15" s="1230">
        <v>1049</v>
      </c>
      <c r="AG15" s="1230">
        <v>1185</v>
      </c>
      <c r="AH15" s="1397">
        <v>1277</v>
      </c>
      <c r="AI15" s="1230">
        <v>1309</v>
      </c>
      <c r="AJ15" s="1230">
        <v>1347</v>
      </c>
      <c r="AK15" s="1230">
        <v>1336</v>
      </c>
      <c r="AL15" s="1397">
        <v>1313</v>
      </c>
      <c r="AM15" s="1230">
        <v>1325</v>
      </c>
      <c r="AN15" s="1230">
        <v>1312</v>
      </c>
      <c r="AO15" s="1230">
        <v>1310</v>
      </c>
      <c r="AP15" s="1397">
        <v>1333</v>
      </c>
      <c r="AQ15" s="1230">
        <v>1247</v>
      </c>
      <c r="AR15" s="1230">
        <v>1271</v>
      </c>
      <c r="AS15" s="1230">
        <v>1257</v>
      </c>
      <c r="AT15" s="1397">
        <v>1244</v>
      </c>
      <c r="AU15" s="1230">
        <v>1265</v>
      </c>
      <c r="AV15" s="1230">
        <v>1301</v>
      </c>
      <c r="AW15" s="1230">
        <v>1385</v>
      </c>
      <c r="AX15" s="1397">
        <v>1404</v>
      </c>
      <c r="AY15" s="1235">
        <v>1395</v>
      </c>
      <c r="AZ15" s="1235">
        <v>1399</v>
      </c>
      <c r="BA15" s="1235">
        <v>1418</v>
      </c>
      <c r="BB15" s="1454">
        <v>1383</v>
      </c>
      <c r="BC15" s="1273">
        <v>1334</v>
      </c>
      <c r="BD15" s="1454">
        <v>1310</v>
      </c>
      <c r="BE15" s="1454">
        <v>1309</v>
      </c>
      <c r="BF15" s="1454">
        <v>1292</v>
      </c>
      <c r="BG15" s="1387"/>
      <c r="BH15" s="1812">
        <v>1265</v>
      </c>
      <c r="BI15" s="1815">
        <v>1395</v>
      </c>
      <c r="BJ15" s="1398">
        <v>-130</v>
      </c>
      <c r="BK15" s="1035">
        <v>-9.3189964157706098E-2</v>
      </c>
      <c r="BL15" s="1815"/>
      <c r="BM15" s="1367">
        <v>993</v>
      </c>
      <c r="BN15" s="1367">
        <v>856</v>
      </c>
      <c r="BO15" s="1367">
        <v>816</v>
      </c>
      <c r="BP15" s="1367">
        <v>822</v>
      </c>
      <c r="BQ15" s="1367">
        <v>925</v>
      </c>
      <c r="BR15" s="1367">
        <v>951</v>
      </c>
      <c r="BS15" s="1367">
        <v>1015</v>
      </c>
      <c r="BT15" s="1367">
        <v>1309</v>
      </c>
      <c r="BU15" s="1367">
        <v>1325</v>
      </c>
      <c r="BV15" s="1367">
        <v>1247</v>
      </c>
      <c r="BW15" s="1367">
        <v>1265</v>
      </c>
      <c r="BX15" s="1273">
        <v>1395</v>
      </c>
      <c r="BY15" s="1273">
        <v>1334</v>
      </c>
      <c r="BZ15" s="1237">
        <v>1257</v>
      </c>
      <c r="CA15" s="1237">
        <v>1190</v>
      </c>
      <c r="CB15" s="1237">
        <v>1104</v>
      </c>
      <c r="CC15" s="1193"/>
      <c r="CG15" s="1315"/>
    </row>
    <row r="16" spans="1:87" ht="12.75" customHeight="1" x14ac:dyDescent="0.2">
      <c r="A16" s="1201"/>
      <c r="B16" s="1201"/>
      <c r="C16" s="1396"/>
      <c r="D16" s="1035"/>
      <c r="E16" s="920"/>
      <c r="F16" s="1155"/>
      <c r="G16" s="1155"/>
      <c r="H16" s="1230"/>
      <c r="I16" s="1230"/>
      <c r="J16" s="1397"/>
      <c r="K16" s="1230"/>
      <c r="L16" s="1230"/>
      <c r="M16" s="1230"/>
      <c r="N16" s="1397"/>
      <c r="O16" s="1930"/>
      <c r="P16" s="1230"/>
      <c r="Q16" s="1230"/>
      <c r="R16" s="1397"/>
      <c r="S16" s="1230"/>
      <c r="T16" s="1230"/>
      <c r="U16" s="1230"/>
      <c r="V16" s="1397"/>
      <c r="W16" s="1230"/>
      <c r="X16" s="1230"/>
      <c r="Y16" s="1230"/>
      <c r="Z16" s="1397"/>
      <c r="AA16" s="1230"/>
      <c r="AB16" s="1230"/>
      <c r="AC16" s="1230"/>
      <c r="AD16" s="1397"/>
      <c r="AE16" s="1230"/>
      <c r="AF16" s="1230"/>
      <c r="AG16" s="1230"/>
      <c r="AH16" s="1397"/>
      <c r="AI16" s="1230"/>
      <c r="AJ16" s="1230"/>
      <c r="AK16" s="1230"/>
      <c r="AL16" s="1397"/>
      <c r="AM16" s="1230"/>
      <c r="AN16" s="1230"/>
      <c r="AO16" s="1230"/>
      <c r="AP16" s="1397"/>
      <c r="AQ16" s="1230"/>
      <c r="AR16" s="1230"/>
      <c r="AS16" s="1230"/>
      <c r="AT16" s="1397"/>
      <c r="AU16" s="1230"/>
      <c r="AV16" s="1230"/>
      <c r="AW16" s="1230"/>
      <c r="AX16" s="1397"/>
      <c r="AY16" s="1235"/>
      <c r="AZ16" s="1235"/>
      <c r="BA16" s="1235"/>
      <c r="BB16" s="1454"/>
      <c r="BC16" s="1273"/>
      <c r="BD16" s="1454"/>
      <c r="BE16" s="1454"/>
      <c r="BF16" s="1454"/>
      <c r="BG16" s="1387"/>
      <c r="BH16" s="1812"/>
      <c r="BI16" s="1815"/>
      <c r="BJ16" s="1398"/>
      <c r="BK16" s="1035"/>
      <c r="BL16" s="1815"/>
      <c r="BM16" s="1367"/>
      <c r="BN16" s="1367"/>
      <c r="BO16" s="1367"/>
      <c r="BP16" s="1367"/>
      <c r="BQ16" s="1367"/>
      <c r="BR16" s="1367"/>
      <c r="BS16" s="1367"/>
      <c r="BT16" s="1367"/>
      <c r="BU16" s="1367"/>
      <c r="BV16" s="1367"/>
      <c r="BW16" s="1367"/>
      <c r="BX16" s="1273"/>
      <c r="BY16" s="1273"/>
      <c r="BZ16" s="1237"/>
      <c r="CA16" s="1237"/>
      <c r="CB16" s="1237"/>
      <c r="CC16" s="1193"/>
      <c r="CG16" s="1315"/>
    </row>
    <row r="17" spans="1:85" ht="24.75" customHeight="1" x14ac:dyDescent="0.2">
      <c r="A17" s="3219" t="s">
        <v>400</v>
      </c>
      <c r="B17" s="3220"/>
      <c r="C17" s="1396"/>
      <c r="D17" s="1035"/>
      <c r="E17" s="920"/>
      <c r="F17" s="1155"/>
      <c r="G17" s="1155"/>
      <c r="H17" s="1230"/>
      <c r="I17" s="1230"/>
      <c r="J17" s="1397"/>
      <c r="K17" s="1230"/>
      <c r="L17" s="1230"/>
      <c r="M17" s="1230"/>
      <c r="N17" s="1397"/>
      <c r="O17" s="1930"/>
      <c r="P17" s="1230"/>
      <c r="Q17" s="1230"/>
      <c r="R17" s="1397"/>
      <c r="S17" s="1230"/>
      <c r="T17" s="1230"/>
      <c r="U17" s="1230"/>
      <c r="V17" s="1397"/>
      <c r="W17" s="1230"/>
      <c r="X17" s="1230"/>
      <c r="Y17" s="1230"/>
      <c r="Z17" s="1397"/>
      <c r="AA17" s="1230"/>
      <c r="AB17" s="1230"/>
      <c r="AC17" s="1230"/>
      <c r="AD17" s="1397"/>
      <c r="AE17" s="1230"/>
      <c r="AF17" s="1230"/>
      <c r="AG17" s="1230"/>
      <c r="AH17" s="1397"/>
      <c r="AI17" s="1901"/>
      <c r="AJ17" s="1901"/>
      <c r="AK17" s="1901"/>
      <c r="AL17" s="1037"/>
      <c r="AM17" s="1901"/>
      <c r="AN17" s="1901"/>
      <c r="AO17" s="1901"/>
      <c r="AP17" s="1037"/>
      <c r="AQ17" s="1901"/>
      <c r="AR17" s="1901"/>
      <c r="AS17" s="1901"/>
      <c r="AT17" s="1037"/>
      <c r="AU17" s="1901"/>
      <c r="AV17" s="1901"/>
      <c r="AW17" s="1901"/>
      <c r="AX17" s="1037"/>
      <c r="AY17" s="1236"/>
      <c r="AZ17" s="1236"/>
      <c r="BA17" s="1236"/>
      <c r="BB17" s="1233"/>
      <c r="BC17" s="1234"/>
      <c r="BD17" s="1233"/>
      <c r="BE17" s="1233"/>
      <c r="BF17" s="1233"/>
      <c r="BG17" s="1389"/>
      <c r="BH17" s="1811"/>
      <c r="BI17" s="1391"/>
      <c r="BJ17" s="1009"/>
      <c r="BK17" s="1902"/>
      <c r="BL17" s="1391"/>
      <c r="BM17" s="1367"/>
      <c r="BN17" s="1367"/>
      <c r="BO17" s="1367"/>
      <c r="BP17" s="1367"/>
      <c r="BQ17" s="1367"/>
      <c r="BR17" s="1038"/>
      <c r="BS17" s="1038"/>
      <c r="BT17" s="1038"/>
      <c r="BU17" s="1038"/>
      <c r="BV17" s="1038"/>
      <c r="BW17" s="1038"/>
      <c r="BX17" s="1273"/>
      <c r="BY17" s="1273"/>
      <c r="BZ17" s="1237"/>
      <c r="CA17" s="1237"/>
      <c r="CB17" s="1237"/>
      <c r="CC17" s="1193"/>
      <c r="CG17" s="1315"/>
    </row>
    <row r="18" spans="1:85" ht="12.75" customHeight="1" x14ac:dyDescent="0.2">
      <c r="A18" s="1201"/>
      <c r="B18" s="1201" t="s">
        <v>187</v>
      </c>
      <c r="C18" s="1396">
        <v>-43</v>
      </c>
      <c r="D18" s="1035">
        <v>-0.21827411167512689</v>
      </c>
      <c r="E18" s="920"/>
      <c r="F18" s="1155">
        <v>154</v>
      </c>
      <c r="G18" s="1155">
        <v>197</v>
      </c>
      <c r="H18" s="1230">
        <v>192</v>
      </c>
      <c r="I18" s="1230">
        <v>192</v>
      </c>
      <c r="J18" s="1397">
        <v>197</v>
      </c>
      <c r="K18" s="1230">
        <v>214</v>
      </c>
      <c r="L18" s="1230">
        <v>214</v>
      </c>
      <c r="M18" s="1230">
        <v>217</v>
      </c>
      <c r="N18" s="1397">
        <v>222</v>
      </c>
      <c r="O18" s="1930">
        <v>225</v>
      </c>
      <c r="P18" s="1230">
        <v>250</v>
      </c>
      <c r="Q18" s="1230">
        <v>250</v>
      </c>
      <c r="R18" s="1397">
        <v>255</v>
      </c>
      <c r="S18" s="1230">
        <v>282</v>
      </c>
      <c r="T18" s="1230">
        <v>294</v>
      </c>
      <c r="U18" s="1230">
        <v>304</v>
      </c>
      <c r="V18" s="1397">
        <v>321</v>
      </c>
      <c r="W18" s="1230">
        <v>329</v>
      </c>
      <c r="X18" s="1230">
        <v>373</v>
      </c>
      <c r="Y18" s="1230">
        <v>384</v>
      </c>
      <c r="Z18" s="1397">
        <v>372</v>
      </c>
      <c r="AA18" s="1230">
        <v>372</v>
      </c>
      <c r="AB18" s="1230">
        <v>361</v>
      </c>
      <c r="AC18" s="1230">
        <v>385</v>
      </c>
      <c r="AD18" s="1397">
        <v>388</v>
      </c>
      <c r="AE18" s="1230">
        <v>400</v>
      </c>
      <c r="AF18" s="1230">
        <v>424</v>
      </c>
      <c r="AG18" s="1230">
        <v>420</v>
      </c>
      <c r="AH18" s="1397">
        <v>427</v>
      </c>
      <c r="AI18" s="1901">
        <v>461</v>
      </c>
      <c r="AJ18" s="1901">
        <v>143</v>
      </c>
      <c r="AK18" s="1901">
        <v>152</v>
      </c>
      <c r="AL18" s="1037">
        <v>155</v>
      </c>
      <c r="AM18" s="1901">
        <v>143</v>
      </c>
      <c r="AN18" s="1901">
        <v>140</v>
      </c>
      <c r="AO18" s="1901">
        <v>142</v>
      </c>
      <c r="AP18" s="1037">
        <v>137</v>
      </c>
      <c r="AQ18" s="1901">
        <v>138</v>
      </c>
      <c r="AR18" s="1901">
        <v>136</v>
      </c>
      <c r="AS18" s="1901">
        <v>124</v>
      </c>
      <c r="AT18" s="1037">
        <v>111</v>
      </c>
      <c r="AU18" s="1901">
        <v>114</v>
      </c>
      <c r="AV18" s="1901">
        <v>117</v>
      </c>
      <c r="AW18" s="1901">
        <v>127</v>
      </c>
      <c r="AX18" s="1037">
        <v>125</v>
      </c>
      <c r="AY18" s="1236">
        <v>125</v>
      </c>
      <c r="AZ18" s="1236">
        <v>116</v>
      </c>
      <c r="BA18" s="1236">
        <v>109</v>
      </c>
      <c r="BB18" s="1233">
        <v>104</v>
      </c>
      <c r="BC18" s="1234">
        <v>93</v>
      </c>
      <c r="BD18" s="1233">
        <v>95</v>
      </c>
      <c r="BE18" s="1233">
        <v>89</v>
      </c>
      <c r="BF18" s="1233">
        <v>88</v>
      </c>
      <c r="BG18" s="1389"/>
      <c r="BH18" s="1811">
        <v>105</v>
      </c>
      <c r="BI18" s="1391">
        <v>112</v>
      </c>
      <c r="BJ18" s="1009">
        <v>-7</v>
      </c>
      <c r="BK18" s="1902">
        <v>-6.25E-2</v>
      </c>
      <c r="BL18" s="1391"/>
      <c r="BM18" s="1367">
        <v>197</v>
      </c>
      <c r="BN18" s="1367">
        <v>214</v>
      </c>
      <c r="BO18" s="1367">
        <v>225</v>
      </c>
      <c r="BP18" s="1367">
        <v>282</v>
      </c>
      <c r="BQ18" s="1367">
        <v>329</v>
      </c>
      <c r="BR18" s="1367">
        <v>372</v>
      </c>
      <c r="BS18" s="1038">
        <v>400</v>
      </c>
      <c r="BT18" s="1038">
        <v>461</v>
      </c>
      <c r="BU18" s="1038">
        <v>143</v>
      </c>
      <c r="BV18" s="1038">
        <v>138</v>
      </c>
      <c r="BW18" s="1038">
        <v>105</v>
      </c>
      <c r="BX18" s="1273">
        <v>112</v>
      </c>
      <c r="BY18" s="1273">
        <v>81</v>
      </c>
      <c r="BZ18" s="1237">
        <v>81</v>
      </c>
      <c r="CA18" s="1237">
        <v>70</v>
      </c>
      <c r="CB18" s="1237">
        <v>52</v>
      </c>
      <c r="CC18" s="1193"/>
      <c r="CG18" s="1315"/>
    </row>
    <row r="19" spans="1:85" ht="12.75" customHeight="1" x14ac:dyDescent="0.2">
      <c r="A19" s="1201"/>
      <c r="B19" s="1201" t="s">
        <v>306</v>
      </c>
      <c r="C19" s="1396">
        <v>34</v>
      </c>
      <c r="D19" s="1035">
        <v>6.0822898032200361E-2</v>
      </c>
      <c r="E19" s="920"/>
      <c r="F19" s="1155">
        <v>593</v>
      </c>
      <c r="G19" s="1155">
        <v>565</v>
      </c>
      <c r="H19" s="1205">
        <v>548</v>
      </c>
      <c r="I19" s="1205">
        <v>559</v>
      </c>
      <c r="J19" s="1409">
        <v>559</v>
      </c>
      <c r="K19" s="1230">
        <v>559</v>
      </c>
      <c r="L19" s="1205">
        <v>574</v>
      </c>
      <c r="M19" s="1205">
        <v>586</v>
      </c>
      <c r="N19" s="1409">
        <v>314</v>
      </c>
      <c r="O19" s="1930">
        <v>313</v>
      </c>
      <c r="P19" s="1205">
        <v>309</v>
      </c>
      <c r="Q19" s="1205">
        <v>312</v>
      </c>
      <c r="R19" s="1409">
        <v>310</v>
      </c>
      <c r="S19" s="1230">
        <v>312</v>
      </c>
      <c r="T19" s="1205">
        <v>317</v>
      </c>
      <c r="U19" s="1205">
        <v>313</v>
      </c>
      <c r="V19" s="1409">
        <v>305</v>
      </c>
      <c r="W19" s="1230">
        <v>303</v>
      </c>
      <c r="X19" s="1205">
        <v>308</v>
      </c>
      <c r="Y19" s="1205">
        <v>305</v>
      </c>
      <c r="Z19" s="1409">
        <v>305</v>
      </c>
      <c r="AA19" s="1230">
        <v>294</v>
      </c>
      <c r="AB19" s="1205">
        <v>294</v>
      </c>
      <c r="AC19" s="1205">
        <v>287</v>
      </c>
      <c r="AD19" s="1409">
        <v>289</v>
      </c>
      <c r="AE19" s="1230">
        <v>294</v>
      </c>
      <c r="AF19" s="1205">
        <v>298</v>
      </c>
      <c r="AG19" s="1205">
        <v>262</v>
      </c>
      <c r="AH19" s="1409">
        <v>267</v>
      </c>
      <c r="AI19" s="1901">
        <v>276</v>
      </c>
      <c r="AJ19" s="1009">
        <v>0</v>
      </c>
      <c r="AK19" s="1009">
        <v>0</v>
      </c>
      <c r="AL19" s="1037">
        <v>0</v>
      </c>
      <c r="AM19" s="1009">
        <v>0</v>
      </c>
      <c r="AN19" s="1009">
        <v>0</v>
      </c>
      <c r="AO19" s="1009">
        <v>0</v>
      </c>
      <c r="AP19" s="1037">
        <v>0</v>
      </c>
      <c r="AQ19" s="1009">
        <v>0</v>
      </c>
      <c r="AR19" s="1009">
        <v>0</v>
      </c>
      <c r="AS19" s="1901"/>
      <c r="AT19" s="1037"/>
      <c r="AU19" s="1901"/>
      <c r="AV19" s="1901"/>
      <c r="AW19" s="1901"/>
      <c r="AX19" s="1037"/>
      <c r="AY19" s="1236"/>
      <c r="AZ19" s="1236"/>
      <c r="BA19" s="1236"/>
      <c r="BB19" s="1233"/>
      <c r="BC19" s="1234"/>
      <c r="BD19" s="1233"/>
      <c r="BE19" s="1233"/>
      <c r="BF19" s="1233"/>
      <c r="BG19" s="1389"/>
      <c r="BH19" s="1811"/>
      <c r="BI19" s="1391"/>
      <c r="BJ19" s="1009"/>
      <c r="BK19" s="1902"/>
      <c r="BL19" s="1391"/>
      <c r="BM19" s="1367">
        <v>565</v>
      </c>
      <c r="BN19" s="1367">
        <v>559</v>
      </c>
      <c r="BO19" s="1367">
        <v>313</v>
      </c>
      <c r="BP19" s="1367">
        <v>312</v>
      </c>
      <c r="BQ19" s="1367">
        <v>303</v>
      </c>
      <c r="BR19" s="1367">
        <v>294</v>
      </c>
      <c r="BS19" s="1038">
        <v>294</v>
      </c>
      <c r="BT19" s="1038">
        <v>276</v>
      </c>
      <c r="BU19" s="1038">
        <v>0</v>
      </c>
      <c r="BV19" s="1038">
        <v>0</v>
      </c>
      <c r="BW19" s="1038">
        <v>0</v>
      </c>
      <c r="BX19" s="1249">
        <v>0</v>
      </c>
      <c r="BY19" s="1273"/>
      <c r="BZ19" s="1237"/>
      <c r="CA19" s="1237"/>
      <c r="CB19" s="1237"/>
      <c r="CC19" s="1193"/>
      <c r="CG19" s="1315"/>
    </row>
    <row r="20" spans="1:85" ht="12.75" customHeight="1" x14ac:dyDescent="0.2">
      <c r="A20" s="1201"/>
      <c r="B20" s="1201"/>
      <c r="C20" s="1396"/>
      <c r="D20" s="1035"/>
      <c r="E20" s="920"/>
      <c r="F20" s="1155"/>
      <c r="G20" s="1155"/>
      <c r="H20" s="1230"/>
      <c r="I20" s="1230"/>
      <c r="J20" s="1397"/>
      <c r="K20" s="1230"/>
      <c r="L20" s="1230"/>
      <c r="M20" s="1230"/>
      <c r="N20" s="1397"/>
      <c r="O20" s="1930"/>
      <c r="P20" s="1230"/>
      <c r="Q20" s="1230"/>
      <c r="R20" s="1397"/>
      <c r="S20" s="1230"/>
      <c r="T20" s="1230"/>
      <c r="U20" s="1230"/>
      <c r="V20" s="1397"/>
      <c r="W20" s="1230"/>
      <c r="X20" s="1230"/>
      <c r="Y20" s="1230"/>
      <c r="Z20" s="1397"/>
      <c r="AA20" s="1230"/>
      <c r="AB20" s="1230"/>
      <c r="AC20" s="1230"/>
      <c r="AD20" s="1397"/>
      <c r="AE20" s="1230"/>
      <c r="AF20" s="1230"/>
      <c r="AG20" s="1230"/>
      <c r="AH20" s="1397"/>
      <c r="AI20" s="1901"/>
      <c r="AJ20" s="1901"/>
      <c r="AK20" s="1901"/>
      <c r="AL20" s="1037"/>
      <c r="AM20" s="1901"/>
      <c r="AN20" s="1901"/>
      <c r="AO20" s="1901"/>
      <c r="AP20" s="1037"/>
      <c r="AQ20" s="1901"/>
      <c r="AR20" s="1901"/>
      <c r="AS20" s="1901"/>
      <c r="AT20" s="1037"/>
      <c r="AU20" s="1901"/>
      <c r="AV20" s="1901"/>
      <c r="AW20" s="1901"/>
      <c r="AX20" s="1037"/>
      <c r="AY20" s="1236"/>
      <c r="AZ20" s="1236"/>
      <c r="BA20" s="1236"/>
      <c r="BB20" s="1233"/>
      <c r="BC20" s="1234"/>
      <c r="BD20" s="1233"/>
      <c r="BE20" s="1233"/>
      <c r="BF20" s="1233"/>
      <c r="BG20" s="1389"/>
      <c r="BH20" s="1811"/>
      <c r="BI20" s="1391"/>
      <c r="BJ20" s="1009"/>
      <c r="BK20" s="1902"/>
      <c r="BL20" s="1391"/>
      <c r="BM20" s="1367"/>
      <c r="BN20" s="1367"/>
      <c r="BO20" s="1367"/>
      <c r="BP20" s="1367"/>
      <c r="BQ20" s="1367"/>
      <c r="BR20" s="1038"/>
      <c r="BS20" s="1038"/>
      <c r="BT20" s="1038"/>
      <c r="BU20" s="1038"/>
      <c r="BV20" s="1038"/>
      <c r="BW20" s="1038"/>
      <c r="BX20" s="1273"/>
      <c r="BY20" s="1273"/>
      <c r="BZ20" s="1237"/>
      <c r="CA20" s="1237"/>
      <c r="CB20" s="1237"/>
      <c r="CC20" s="1193"/>
      <c r="CG20" s="1315"/>
    </row>
    <row r="21" spans="1:85" ht="12.75" customHeight="1" x14ac:dyDescent="0.2">
      <c r="A21" s="1896" t="s">
        <v>112</v>
      </c>
      <c r="B21" s="1896"/>
      <c r="C21" s="1396"/>
      <c r="D21" s="1035"/>
      <c r="E21" s="920"/>
      <c r="F21" s="1155"/>
      <c r="G21" s="1155"/>
      <c r="H21" s="1230"/>
      <c r="I21" s="1230"/>
      <c r="J21" s="1397"/>
      <c r="K21" s="1230"/>
      <c r="L21" s="1230"/>
      <c r="M21" s="1230"/>
      <c r="N21" s="1397"/>
      <c r="O21" s="1930"/>
      <c r="P21" s="1230"/>
      <c r="Q21" s="1230"/>
      <c r="R21" s="1397"/>
      <c r="S21" s="1230"/>
      <c r="T21" s="1230"/>
      <c r="U21" s="1230"/>
      <c r="V21" s="1397"/>
      <c r="W21" s="1230"/>
      <c r="X21" s="1230"/>
      <c r="Y21" s="1230"/>
      <c r="Z21" s="1397"/>
      <c r="AA21" s="1230"/>
      <c r="AB21" s="1230"/>
      <c r="AC21" s="1230"/>
      <c r="AD21" s="1397"/>
      <c r="AE21" s="1230"/>
      <c r="AF21" s="1230"/>
      <c r="AG21" s="1230"/>
      <c r="AH21" s="1397"/>
      <c r="AI21" s="1901"/>
      <c r="AJ21" s="1901"/>
      <c r="AK21" s="1901"/>
      <c r="AL21" s="1037"/>
      <c r="AM21" s="1901"/>
      <c r="AN21" s="1901"/>
      <c r="AO21" s="1901"/>
      <c r="AP21" s="1037"/>
      <c r="AQ21" s="1901"/>
      <c r="AR21" s="1901"/>
      <c r="AS21" s="1901"/>
      <c r="AT21" s="1037"/>
      <c r="AU21" s="1901"/>
      <c r="AV21" s="1901"/>
      <c r="AW21" s="1901"/>
      <c r="AX21" s="1037"/>
      <c r="AY21" s="1236"/>
      <c r="AZ21" s="1236"/>
      <c r="BA21" s="1236"/>
      <c r="BB21" s="1233"/>
      <c r="BC21" s="1234"/>
      <c r="BD21" s="1233"/>
      <c r="BE21" s="1233"/>
      <c r="BF21" s="1233"/>
      <c r="BG21" s="1389"/>
      <c r="BH21" s="1811"/>
      <c r="BI21" s="1391"/>
      <c r="BJ21" s="1009"/>
      <c r="BK21" s="1902"/>
      <c r="BL21" s="1391"/>
      <c r="BM21" s="1367"/>
      <c r="BN21" s="1367"/>
      <c r="BO21" s="1367"/>
      <c r="BP21" s="1367"/>
      <c r="BQ21" s="1367"/>
      <c r="BR21" s="1038"/>
      <c r="BS21" s="1038"/>
      <c r="BT21" s="1038"/>
      <c r="BU21" s="1038"/>
      <c r="BV21" s="1038"/>
      <c r="BW21" s="1038"/>
      <c r="BX21" s="1273"/>
      <c r="BY21" s="1273"/>
      <c r="BZ21" s="1237"/>
      <c r="CA21" s="1237"/>
      <c r="CB21" s="1237"/>
      <c r="CC21" s="1193"/>
      <c r="CG21" s="1315"/>
    </row>
    <row r="22" spans="1:85" ht="12.75" customHeight="1" x14ac:dyDescent="0.2">
      <c r="A22" s="1201"/>
      <c r="B22" s="1201" t="s">
        <v>187</v>
      </c>
      <c r="C22" s="1396">
        <v>43</v>
      </c>
      <c r="D22" s="1035">
        <v>0.1634980988593156</v>
      </c>
      <c r="E22" s="920"/>
      <c r="F22" s="1155">
        <v>306</v>
      </c>
      <c r="G22" s="1155">
        <v>308</v>
      </c>
      <c r="H22" s="1230">
        <v>260</v>
      </c>
      <c r="I22" s="1230">
        <v>260</v>
      </c>
      <c r="J22" s="1397">
        <v>263</v>
      </c>
      <c r="K22" s="1230">
        <v>256</v>
      </c>
      <c r="L22" s="1230">
        <v>257</v>
      </c>
      <c r="M22" s="1230">
        <v>258</v>
      </c>
      <c r="N22" s="1397">
        <v>275</v>
      </c>
      <c r="O22" s="1930">
        <v>275</v>
      </c>
      <c r="P22" s="1230">
        <v>282</v>
      </c>
      <c r="Q22" s="1230">
        <v>297</v>
      </c>
      <c r="R22" s="1397">
        <v>303</v>
      </c>
      <c r="S22" s="1230">
        <v>291</v>
      </c>
      <c r="T22" s="1230">
        <v>280</v>
      </c>
      <c r="U22" s="1230">
        <v>285</v>
      </c>
      <c r="V22" s="1397">
        <v>285</v>
      </c>
      <c r="W22" s="1230">
        <v>269</v>
      </c>
      <c r="X22" s="1230">
        <v>294</v>
      </c>
      <c r="Y22" s="1230">
        <v>295</v>
      </c>
      <c r="Z22" s="1397">
        <v>291</v>
      </c>
      <c r="AA22" s="1230">
        <v>286</v>
      </c>
      <c r="AB22" s="1230">
        <v>279</v>
      </c>
      <c r="AC22" s="1230">
        <v>275</v>
      </c>
      <c r="AD22" s="1397">
        <v>264</v>
      </c>
      <c r="AE22" s="1230">
        <v>253</v>
      </c>
      <c r="AF22" s="1230">
        <v>259</v>
      </c>
      <c r="AG22" s="1230">
        <v>252</v>
      </c>
      <c r="AH22" s="1397">
        <v>304</v>
      </c>
      <c r="AI22" s="1901">
        <v>302</v>
      </c>
      <c r="AJ22" s="1901">
        <v>176</v>
      </c>
      <c r="AK22" s="1901">
        <v>186</v>
      </c>
      <c r="AL22" s="1037">
        <v>180</v>
      </c>
      <c r="AM22" s="1901">
        <v>175</v>
      </c>
      <c r="AN22" s="1901">
        <v>175</v>
      </c>
      <c r="AO22" s="1901">
        <v>178</v>
      </c>
      <c r="AP22" s="1037">
        <v>169</v>
      </c>
      <c r="AQ22" s="1901">
        <v>163</v>
      </c>
      <c r="AR22" s="1901">
        <v>162</v>
      </c>
      <c r="AS22" s="1901">
        <v>157</v>
      </c>
      <c r="AT22" s="1037">
        <v>152</v>
      </c>
      <c r="AU22" s="1903">
        <v>151</v>
      </c>
      <c r="AV22" s="1901">
        <v>152</v>
      </c>
      <c r="AW22" s="1901">
        <v>176</v>
      </c>
      <c r="AX22" s="1037">
        <v>169</v>
      </c>
      <c r="AY22" s="1236">
        <v>163</v>
      </c>
      <c r="AZ22" s="1236">
        <v>161</v>
      </c>
      <c r="BA22" s="1236">
        <v>162</v>
      </c>
      <c r="BB22" s="1233">
        <v>170</v>
      </c>
      <c r="BC22" s="1234">
        <v>163</v>
      </c>
      <c r="BD22" s="1233">
        <v>170</v>
      </c>
      <c r="BE22" s="1233">
        <v>164</v>
      </c>
      <c r="BF22" s="1233">
        <v>154</v>
      </c>
      <c r="BG22" s="1389"/>
      <c r="BH22" s="1811">
        <v>151</v>
      </c>
      <c r="BI22" s="1391">
        <v>163</v>
      </c>
      <c r="BJ22" s="1009">
        <v>-12</v>
      </c>
      <c r="BK22" s="1902">
        <v>-7.3619631901840496E-2</v>
      </c>
      <c r="BL22" s="1391"/>
      <c r="BM22" s="1367">
        <v>308</v>
      </c>
      <c r="BN22" s="1367">
        <v>256</v>
      </c>
      <c r="BO22" s="1367">
        <v>275</v>
      </c>
      <c r="BP22" s="1367">
        <v>291</v>
      </c>
      <c r="BQ22" s="1367">
        <v>269</v>
      </c>
      <c r="BR22" s="1038">
        <v>286</v>
      </c>
      <c r="BS22" s="1038">
        <v>253</v>
      </c>
      <c r="BT22" s="1038">
        <v>302</v>
      </c>
      <c r="BU22" s="1038">
        <v>175</v>
      </c>
      <c r="BV22" s="1038">
        <v>163</v>
      </c>
      <c r="BW22" s="1038">
        <v>151</v>
      </c>
      <c r="BX22" s="1273">
        <v>163</v>
      </c>
      <c r="BY22" s="1273">
        <v>163</v>
      </c>
      <c r="BZ22" s="1237">
        <v>150</v>
      </c>
      <c r="CA22" s="1237">
        <v>0</v>
      </c>
      <c r="CB22" s="1237">
        <v>0</v>
      </c>
      <c r="CC22" s="1193"/>
      <c r="CG22" s="1315"/>
    </row>
    <row r="23" spans="1:85" ht="12.75" customHeight="1" x14ac:dyDescent="0.2">
      <c r="A23" s="1201"/>
      <c r="B23" s="1201"/>
      <c r="C23" s="1396"/>
      <c r="D23" s="1035"/>
      <c r="E23" s="920"/>
      <c r="F23" s="1155"/>
      <c r="G23" s="1155"/>
      <c r="H23" s="1230"/>
      <c r="I23" s="1230"/>
      <c r="J23" s="1397"/>
      <c r="K23" s="1230"/>
      <c r="L23" s="1230"/>
      <c r="M23" s="1230"/>
      <c r="N23" s="1397"/>
      <c r="O23" s="1930"/>
      <c r="P23" s="1230"/>
      <c r="Q23" s="1230"/>
      <c r="R23" s="1397"/>
      <c r="S23" s="1230"/>
      <c r="T23" s="1230"/>
      <c r="U23" s="1230"/>
      <c r="V23" s="1397"/>
      <c r="W23" s="1230"/>
      <c r="X23" s="1230"/>
      <c r="Y23" s="1230"/>
      <c r="Z23" s="1397"/>
      <c r="AA23" s="1230"/>
      <c r="AB23" s="1230"/>
      <c r="AC23" s="1230"/>
      <c r="AD23" s="1397"/>
      <c r="AE23" s="1230"/>
      <c r="AF23" s="1230"/>
      <c r="AG23" s="1230"/>
      <c r="AH23" s="1397"/>
      <c r="AI23" s="1901"/>
      <c r="AJ23" s="1901"/>
      <c r="AK23" s="1901"/>
      <c r="AL23" s="1037"/>
      <c r="AM23" s="1901"/>
      <c r="AN23" s="1901"/>
      <c r="AO23" s="1901"/>
      <c r="AP23" s="1037"/>
      <c r="AQ23" s="1901"/>
      <c r="AR23" s="1901"/>
      <c r="AS23" s="1901"/>
      <c r="AT23" s="1037"/>
      <c r="AU23" s="1903"/>
      <c r="AV23" s="1901"/>
      <c r="AW23" s="1901"/>
      <c r="AX23" s="1037"/>
      <c r="AY23" s="1236"/>
      <c r="AZ23" s="1236"/>
      <c r="BA23" s="1236"/>
      <c r="BB23" s="1233"/>
      <c r="BC23" s="1234"/>
      <c r="BD23" s="1233"/>
      <c r="BE23" s="1233"/>
      <c r="BF23" s="1233"/>
      <c r="BG23" s="1389"/>
      <c r="BH23" s="1811"/>
      <c r="BI23" s="1391"/>
      <c r="BJ23" s="1009"/>
      <c r="BK23" s="1902"/>
      <c r="BL23" s="1391"/>
      <c r="BM23" s="1367"/>
      <c r="BN23" s="1367"/>
      <c r="BO23" s="1367"/>
      <c r="BP23" s="1367"/>
      <c r="BQ23" s="1367"/>
      <c r="BR23" s="1038"/>
      <c r="BS23" s="1038"/>
      <c r="BT23" s="1038"/>
      <c r="BU23" s="1038"/>
      <c r="BV23" s="1038"/>
      <c r="BW23" s="1038"/>
      <c r="BX23" s="1273"/>
      <c r="BY23" s="1273"/>
      <c r="BZ23" s="1237"/>
      <c r="CA23" s="1237"/>
      <c r="CB23" s="1237"/>
      <c r="CC23" s="1193"/>
      <c r="CG23" s="1315"/>
    </row>
    <row r="24" spans="1:85" ht="12.75" customHeight="1" x14ac:dyDescent="0.2">
      <c r="A24" s="1896" t="s">
        <v>389</v>
      </c>
      <c r="B24" s="1896"/>
      <c r="C24" s="1396"/>
      <c r="D24" s="1035"/>
      <c r="E24" s="920"/>
      <c r="F24" s="1155"/>
      <c r="G24" s="1155"/>
      <c r="H24" s="1230"/>
      <c r="I24" s="1230"/>
      <c r="J24" s="1397"/>
      <c r="K24" s="1230"/>
      <c r="L24" s="1230"/>
      <c r="M24" s="1230"/>
      <c r="N24" s="1397"/>
      <c r="O24" s="1930"/>
      <c r="P24" s="1230"/>
      <c r="Q24" s="1230"/>
      <c r="R24" s="1397"/>
      <c r="S24" s="1230"/>
      <c r="T24" s="1230"/>
      <c r="U24" s="1230"/>
      <c r="V24" s="1397"/>
      <c r="W24" s="1230"/>
      <c r="X24" s="1230"/>
      <c r="Y24" s="1230"/>
      <c r="Z24" s="1397"/>
      <c r="AA24" s="1230"/>
      <c r="AB24" s="1230"/>
      <c r="AC24" s="1230"/>
      <c r="AD24" s="1397"/>
      <c r="AE24" s="1230"/>
      <c r="AF24" s="1230"/>
      <c r="AG24" s="1230"/>
      <c r="AH24" s="1397"/>
      <c r="AI24" s="1901"/>
      <c r="AJ24" s="1901"/>
      <c r="AK24" s="1901"/>
      <c r="AL24" s="1037"/>
      <c r="AM24" s="1901"/>
      <c r="AN24" s="1901"/>
      <c r="AO24" s="1901"/>
      <c r="AP24" s="1037"/>
      <c r="AQ24" s="1901"/>
      <c r="AR24" s="1901"/>
      <c r="AS24" s="1901"/>
      <c r="AT24" s="1037"/>
      <c r="AU24" s="1903"/>
      <c r="AV24" s="1901"/>
      <c r="AW24" s="1901"/>
      <c r="AX24" s="1037"/>
      <c r="AY24" s="1236"/>
      <c r="AZ24" s="1236"/>
      <c r="BA24" s="1236"/>
      <c r="BB24" s="1233"/>
      <c r="BC24" s="1234"/>
      <c r="BD24" s="1233"/>
      <c r="BE24" s="1233"/>
      <c r="BF24" s="1233"/>
      <c r="BG24" s="1389"/>
      <c r="BH24" s="1811"/>
      <c r="BI24" s="1391"/>
      <c r="BJ24" s="1009"/>
      <c r="BK24" s="1902"/>
      <c r="BL24" s="1391"/>
      <c r="BM24" s="1367"/>
      <c r="BN24" s="1367"/>
      <c r="BO24" s="1367"/>
      <c r="BP24" s="1367"/>
      <c r="BQ24" s="1367"/>
      <c r="BR24" s="1038"/>
      <c r="BS24" s="1038"/>
      <c r="BT24" s="1038"/>
      <c r="BU24" s="1038"/>
      <c r="BV24" s="1038"/>
      <c r="BW24" s="1038"/>
      <c r="BX24" s="1273"/>
      <c r="BY24" s="1273"/>
      <c r="BZ24" s="1237"/>
      <c r="CA24" s="1237"/>
      <c r="CB24" s="1237"/>
      <c r="CC24" s="1193"/>
      <c r="CG24" s="1315"/>
    </row>
    <row r="25" spans="1:85" ht="12.75" customHeight="1" x14ac:dyDescent="0.2">
      <c r="A25" s="1201"/>
      <c r="B25" s="1201" t="s">
        <v>243</v>
      </c>
      <c r="C25" s="1396">
        <v>0</v>
      </c>
      <c r="D25" s="1035">
        <v>0</v>
      </c>
      <c r="E25" s="920"/>
      <c r="F25" s="1155">
        <v>57</v>
      </c>
      <c r="G25" s="1155">
        <v>58</v>
      </c>
      <c r="H25" s="1205">
        <v>58</v>
      </c>
      <c r="I25" s="1230">
        <v>56</v>
      </c>
      <c r="J25" s="1258">
        <v>57</v>
      </c>
      <c r="K25" s="1230">
        <v>57</v>
      </c>
      <c r="L25" s="1205">
        <v>56</v>
      </c>
      <c r="M25" s="1230">
        <v>55</v>
      </c>
      <c r="N25" s="1258">
        <v>58</v>
      </c>
      <c r="O25" s="1930">
        <v>58</v>
      </c>
      <c r="P25" s="1205">
        <v>59</v>
      </c>
      <c r="Q25" s="1230">
        <v>60</v>
      </c>
      <c r="R25" s="1258">
        <v>56</v>
      </c>
      <c r="S25" s="1230">
        <v>55</v>
      </c>
      <c r="T25" s="1230">
        <v>57</v>
      </c>
      <c r="U25" s="1230">
        <v>57</v>
      </c>
      <c r="V25" s="1258">
        <v>56</v>
      </c>
      <c r="W25" s="1230">
        <v>56</v>
      </c>
      <c r="X25" s="1230">
        <v>53</v>
      </c>
      <c r="Y25" s="1230">
        <v>51</v>
      </c>
      <c r="Z25" s="1258">
        <v>48</v>
      </c>
      <c r="AA25" s="1230">
        <v>89</v>
      </c>
      <c r="AB25" s="1230">
        <v>90</v>
      </c>
      <c r="AC25" s="1230">
        <v>90</v>
      </c>
      <c r="AD25" s="1258">
        <v>88</v>
      </c>
      <c r="AE25" s="1230">
        <v>84</v>
      </c>
      <c r="AF25" s="1230">
        <v>85</v>
      </c>
      <c r="AG25" s="1230">
        <v>81</v>
      </c>
      <c r="AH25" s="1258">
        <v>82</v>
      </c>
      <c r="AI25" s="1901">
        <v>80</v>
      </c>
      <c r="AJ25" s="1901">
        <v>69</v>
      </c>
      <c r="AK25" s="1901">
        <v>36</v>
      </c>
      <c r="AL25" s="1902">
        <v>36</v>
      </c>
      <c r="AM25" s="1901">
        <v>41</v>
      </c>
      <c r="AN25" s="1901">
        <v>1</v>
      </c>
      <c r="AO25" s="1901">
        <v>1</v>
      </c>
      <c r="AP25" s="1902">
        <v>1</v>
      </c>
      <c r="AQ25" s="1904">
        <v>1</v>
      </c>
      <c r="AR25" s="1901">
        <v>1</v>
      </c>
      <c r="AS25" s="1901">
        <v>1</v>
      </c>
      <c r="AT25" s="1902">
        <v>7</v>
      </c>
      <c r="AU25" s="1903" t="s">
        <v>181</v>
      </c>
      <c r="AV25" s="1901"/>
      <c r="AW25" s="1901"/>
      <c r="AX25" s="1037"/>
      <c r="AY25" s="1236"/>
      <c r="AZ25" s="1236"/>
      <c r="BA25" s="1236"/>
      <c r="BB25" s="1233"/>
      <c r="BC25" s="1234"/>
      <c r="BD25" s="1233"/>
      <c r="BE25" s="1233"/>
      <c r="BF25" s="1233"/>
      <c r="BG25" s="1389"/>
      <c r="BH25" s="1811"/>
      <c r="BI25" s="1391"/>
      <c r="BJ25" s="1009"/>
      <c r="BK25" s="1902"/>
      <c r="BL25" s="1391"/>
      <c r="BM25" s="1367">
        <v>58</v>
      </c>
      <c r="BN25" s="1367">
        <v>57</v>
      </c>
      <c r="BO25" s="1367">
        <v>58</v>
      </c>
      <c r="BP25" s="1367">
        <v>55</v>
      </c>
      <c r="BQ25" s="1367">
        <v>56</v>
      </c>
      <c r="BR25" s="1038">
        <v>51</v>
      </c>
      <c r="BS25" s="1038">
        <v>44</v>
      </c>
      <c r="BT25" s="1038">
        <v>44</v>
      </c>
      <c r="BU25" s="1038">
        <v>41</v>
      </c>
      <c r="BV25" s="1038">
        <v>1</v>
      </c>
      <c r="BW25" s="1038">
        <v>9</v>
      </c>
      <c r="BX25" s="1367">
        <v>13</v>
      </c>
      <c r="BY25" s="1367">
        <v>12</v>
      </c>
      <c r="BZ25" s="1237">
        <v>150</v>
      </c>
      <c r="CA25" s="1237">
        <v>0</v>
      </c>
      <c r="CB25" s="1237">
        <v>0</v>
      </c>
      <c r="CC25" s="1193"/>
      <c r="CG25" s="1315"/>
    </row>
    <row r="26" spans="1:85" ht="12.75" customHeight="1" x14ac:dyDescent="0.2">
      <c r="A26" s="1201"/>
      <c r="B26" s="1201" t="s">
        <v>306</v>
      </c>
      <c r="C26" s="1396">
        <v>4</v>
      </c>
      <c r="D26" s="1035">
        <v>0.36363636363636365</v>
      </c>
      <c r="E26" s="920"/>
      <c r="F26" s="1155">
        <v>15</v>
      </c>
      <c r="G26" s="1155">
        <v>10</v>
      </c>
      <c r="H26" s="1205">
        <v>10</v>
      </c>
      <c r="I26" s="1230">
        <v>10</v>
      </c>
      <c r="J26" s="1258">
        <v>11</v>
      </c>
      <c r="K26" s="1230">
        <v>11</v>
      </c>
      <c r="L26" s="1205">
        <v>12</v>
      </c>
      <c r="M26" s="1230">
        <v>12</v>
      </c>
      <c r="N26" s="1258">
        <v>11</v>
      </c>
      <c r="O26" s="1930">
        <v>11</v>
      </c>
      <c r="P26" s="1205">
        <v>11</v>
      </c>
      <c r="Q26" s="1230">
        <v>11</v>
      </c>
      <c r="R26" s="1258">
        <v>11</v>
      </c>
      <c r="S26" s="1230">
        <v>10</v>
      </c>
      <c r="T26" s="1230">
        <v>10</v>
      </c>
      <c r="U26" s="1230">
        <v>14</v>
      </c>
      <c r="V26" s="1258">
        <v>14</v>
      </c>
      <c r="W26" s="1230">
        <v>13</v>
      </c>
      <c r="X26" s="1230">
        <v>13</v>
      </c>
      <c r="Y26" s="1230">
        <v>13</v>
      </c>
      <c r="Z26" s="1258">
        <v>13</v>
      </c>
      <c r="AA26" s="1230"/>
      <c r="AB26" s="1230"/>
      <c r="AC26" s="1230"/>
      <c r="AD26" s="1258"/>
      <c r="AE26" s="1230"/>
      <c r="AF26" s="1230"/>
      <c r="AG26" s="1230"/>
      <c r="AH26" s="1258"/>
      <c r="AI26" s="1901"/>
      <c r="AJ26" s="1901"/>
      <c r="AK26" s="1901"/>
      <c r="AL26" s="1902"/>
      <c r="AM26" s="1901"/>
      <c r="AN26" s="1901"/>
      <c r="AO26" s="1901"/>
      <c r="AP26" s="1902"/>
      <c r="AQ26" s="1901"/>
      <c r="AR26" s="1901"/>
      <c r="AS26" s="1901"/>
      <c r="AT26" s="1902"/>
      <c r="AU26" s="1903"/>
      <c r="AV26" s="1901"/>
      <c r="AW26" s="1901"/>
      <c r="AX26" s="1037"/>
      <c r="AY26" s="1236"/>
      <c r="AZ26" s="1236"/>
      <c r="BA26" s="1236"/>
      <c r="BB26" s="1233"/>
      <c r="BC26" s="1234"/>
      <c r="BD26" s="1233"/>
      <c r="BE26" s="1233"/>
      <c r="BF26" s="1233"/>
      <c r="BG26" s="1389"/>
      <c r="BH26" s="1811"/>
      <c r="BI26" s="1391"/>
      <c r="BJ26" s="1009"/>
      <c r="BK26" s="1902"/>
      <c r="BL26" s="1391"/>
      <c r="BM26" s="1367">
        <v>10</v>
      </c>
      <c r="BN26" s="1367">
        <v>11</v>
      </c>
      <c r="BO26" s="1367">
        <v>11</v>
      </c>
      <c r="BP26" s="1367">
        <v>10</v>
      </c>
      <c r="BQ26" s="1367">
        <v>13</v>
      </c>
      <c r="BR26" s="1038">
        <v>12</v>
      </c>
      <c r="BS26" s="1038">
        <v>14</v>
      </c>
      <c r="BT26" s="1038">
        <v>0</v>
      </c>
      <c r="BU26" s="1038"/>
      <c r="BV26" s="1038"/>
      <c r="BW26" s="1038"/>
      <c r="BX26" s="1367"/>
      <c r="BY26" s="1367"/>
      <c r="BZ26" s="1237"/>
      <c r="CA26" s="1237"/>
      <c r="CB26" s="1237"/>
      <c r="CC26" s="1193"/>
      <c r="CG26" s="1315"/>
    </row>
    <row r="27" spans="1:85" ht="12.75" customHeight="1" x14ac:dyDescent="0.2">
      <c r="A27" s="1201"/>
      <c r="B27" s="1201"/>
      <c r="C27" s="1396"/>
      <c r="D27" s="1035"/>
      <c r="E27" s="920"/>
      <c r="F27" s="1155"/>
      <c r="G27" s="1155"/>
      <c r="H27" s="1065"/>
      <c r="I27" s="1230"/>
      <c r="J27" s="1258"/>
      <c r="K27" s="1230"/>
      <c r="L27" s="1065"/>
      <c r="M27" s="1230"/>
      <c r="N27" s="1258"/>
      <c r="O27" s="1930"/>
      <c r="P27" s="1065"/>
      <c r="Q27" s="1230"/>
      <c r="R27" s="1258"/>
      <c r="S27" s="1230"/>
      <c r="T27" s="1230"/>
      <c r="U27" s="1230"/>
      <c r="V27" s="1258"/>
      <c r="W27" s="1230"/>
      <c r="X27" s="1230"/>
      <c r="Y27" s="1230"/>
      <c r="Z27" s="1258"/>
      <c r="AA27" s="1230"/>
      <c r="AB27" s="1230"/>
      <c r="AC27" s="1230"/>
      <c r="AD27" s="1258"/>
      <c r="AE27" s="1230"/>
      <c r="AF27" s="1230"/>
      <c r="AG27" s="1230"/>
      <c r="AH27" s="1258"/>
      <c r="AI27" s="1901"/>
      <c r="AJ27" s="1901"/>
      <c r="AK27" s="1901"/>
      <c r="AL27" s="1902"/>
      <c r="AM27" s="1901"/>
      <c r="AN27" s="1901"/>
      <c r="AO27" s="1901"/>
      <c r="AP27" s="1902"/>
      <c r="AQ27" s="1901"/>
      <c r="AR27" s="1901"/>
      <c r="AS27" s="1901"/>
      <c r="AT27" s="1902"/>
      <c r="AU27" s="1903"/>
      <c r="AV27" s="1901"/>
      <c r="AW27" s="1901"/>
      <c r="AX27" s="1037"/>
      <c r="AY27" s="1236"/>
      <c r="AZ27" s="1236"/>
      <c r="BA27" s="1236"/>
      <c r="BB27" s="1233"/>
      <c r="BC27" s="1234"/>
      <c r="BD27" s="1233"/>
      <c r="BE27" s="1233"/>
      <c r="BF27" s="1233"/>
      <c r="BG27" s="1389"/>
      <c r="BH27" s="1811"/>
      <c r="BI27" s="1391"/>
      <c r="BJ27" s="1009"/>
      <c r="BK27" s="1902"/>
      <c r="BL27" s="1391"/>
      <c r="BM27" s="1367"/>
      <c r="BN27" s="1367"/>
      <c r="BO27" s="1367"/>
      <c r="BP27" s="1367"/>
      <c r="BQ27" s="1367"/>
      <c r="BR27" s="1038"/>
      <c r="BS27" s="1038"/>
      <c r="BT27" s="1038"/>
      <c r="BU27" s="1038"/>
      <c r="BV27" s="1038"/>
      <c r="BW27" s="1038"/>
      <c r="BX27" s="1367"/>
      <c r="BY27" s="1367"/>
      <c r="BZ27" s="1237"/>
      <c r="CA27" s="1237"/>
      <c r="CB27" s="1237"/>
      <c r="CC27" s="1193"/>
      <c r="CG27" s="1315"/>
    </row>
    <row r="28" spans="1:85" ht="12.75" customHeight="1" x14ac:dyDescent="0.2">
      <c r="A28" s="1896" t="s">
        <v>242</v>
      </c>
      <c r="B28" s="1896"/>
      <c r="C28" s="1396"/>
      <c r="D28" s="1035"/>
      <c r="E28" s="920"/>
      <c r="F28" s="1155"/>
      <c r="G28" s="1155"/>
      <c r="H28" s="1065"/>
      <c r="I28" s="1230"/>
      <c r="J28" s="1397"/>
      <c r="K28" s="1230"/>
      <c r="L28" s="1065"/>
      <c r="M28" s="1230"/>
      <c r="N28" s="1397"/>
      <c r="O28" s="1930"/>
      <c r="P28" s="1065"/>
      <c r="Q28" s="1230"/>
      <c r="R28" s="1397"/>
      <c r="S28" s="1230"/>
      <c r="T28" s="1230"/>
      <c r="U28" s="1230"/>
      <c r="V28" s="1397"/>
      <c r="W28" s="1230"/>
      <c r="X28" s="1230"/>
      <c r="Y28" s="1230"/>
      <c r="Z28" s="1397"/>
      <c r="AA28" s="1230"/>
      <c r="AB28" s="1230"/>
      <c r="AC28" s="1230"/>
      <c r="AD28" s="1397"/>
      <c r="AE28" s="1230"/>
      <c r="AF28" s="1230"/>
      <c r="AG28" s="1230"/>
      <c r="AH28" s="1397"/>
      <c r="AI28" s="1901"/>
      <c r="AJ28" s="1901"/>
      <c r="AK28" s="1901"/>
      <c r="AL28" s="1037"/>
      <c r="AM28" s="1901"/>
      <c r="AN28" s="1901"/>
      <c r="AO28" s="1901"/>
      <c r="AP28" s="1037"/>
      <c r="AQ28" s="1901"/>
      <c r="AR28" s="1901"/>
      <c r="AS28" s="1901"/>
      <c r="AT28" s="1037"/>
      <c r="AU28" s="1903"/>
      <c r="AV28" s="1901"/>
      <c r="AW28" s="1901"/>
      <c r="AX28" s="1037"/>
      <c r="AY28" s="1236"/>
      <c r="AZ28" s="1236"/>
      <c r="BA28" s="1236"/>
      <c r="BB28" s="1233"/>
      <c r="BC28" s="1234"/>
      <c r="BD28" s="1233"/>
      <c r="BE28" s="1233"/>
      <c r="BF28" s="1233"/>
      <c r="BG28" s="1389"/>
      <c r="BH28" s="1811"/>
      <c r="BI28" s="1391"/>
      <c r="BJ28" s="1009"/>
      <c r="BK28" s="1902"/>
      <c r="BL28" s="1391"/>
      <c r="BM28" s="1367"/>
      <c r="BN28" s="1367"/>
      <c r="BO28" s="1367"/>
      <c r="BP28" s="1367"/>
      <c r="BQ28" s="1367"/>
      <c r="BR28" s="1038"/>
      <c r="BS28" s="1038"/>
      <c r="BT28" s="1038"/>
      <c r="BU28" s="1038"/>
      <c r="BV28" s="1038"/>
      <c r="BW28" s="1038"/>
      <c r="BX28" s="1273"/>
      <c r="BY28" s="1273"/>
      <c r="BZ28" s="1237"/>
      <c r="CA28" s="1237"/>
      <c r="CB28" s="1237"/>
      <c r="CC28" s="1193"/>
      <c r="CG28" s="1315"/>
    </row>
    <row r="29" spans="1:85" ht="12.75" customHeight="1" x14ac:dyDescent="0.2">
      <c r="A29" s="1201"/>
      <c r="B29" s="1201" t="s">
        <v>243</v>
      </c>
      <c r="C29" s="1396">
        <v>0</v>
      </c>
      <c r="D29" s="1035">
        <v>0</v>
      </c>
      <c r="E29" s="920"/>
      <c r="F29" s="1155">
        <v>4</v>
      </c>
      <c r="G29" s="1155">
        <v>4</v>
      </c>
      <c r="H29" s="1205">
        <v>4</v>
      </c>
      <c r="I29" s="1230">
        <v>4</v>
      </c>
      <c r="J29" s="1258">
        <v>4</v>
      </c>
      <c r="K29" s="1230">
        <v>3</v>
      </c>
      <c r="L29" s="1205">
        <v>3</v>
      </c>
      <c r="M29" s="1230">
        <v>2</v>
      </c>
      <c r="N29" s="1258">
        <v>2</v>
      </c>
      <c r="O29" s="1930">
        <v>2</v>
      </c>
      <c r="P29" s="1205">
        <v>3</v>
      </c>
      <c r="Q29" s="1230">
        <v>3</v>
      </c>
      <c r="R29" s="1258">
        <v>6</v>
      </c>
      <c r="S29" s="1230">
        <v>23</v>
      </c>
      <c r="T29" s="1230">
        <v>25</v>
      </c>
      <c r="U29" s="1230">
        <v>28</v>
      </c>
      <c r="V29" s="1258">
        <v>32</v>
      </c>
      <c r="W29" s="1230">
        <v>33</v>
      </c>
      <c r="X29" s="1230">
        <v>34</v>
      </c>
      <c r="Y29" s="1230">
        <v>35</v>
      </c>
      <c r="Z29" s="1258">
        <v>40</v>
      </c>
      <c r="AA29" s="1230">
        <v>89</v>
      </c>
      <c r="AB29" s="1230">
        <v>90</v>
      </c>
      <c r="AC29" s="1230">
        <v>90</v>
      </c>
      <c r="AD29" s="1258">
        <v>88</v>
      </c>
      <c r="AE29" s="1230">
        <v>84</v>
      </c>
      <c r="AF29" s="1230">
        <v>85</v>
      </c>
      <c r="AG29" s="1230">
        <v>81</v>
      </c>
      <c r="AH29" s="1258">
        <v>82</v>
      </c>
      <c r="AI29" s="1901">
        <v>80</v>
      </c>
      <c r="AJ29" s="1901">
        <v>69</v>
      </c>
      <c r="AK29" s="1901">
        <v>36</v>
      </c>
      <c r="AL29" s="1902">
        <v>36</v>
      </c>
      <c r="AM29" s="1901">
        <v>41</v>
      </c>
      <c r="AN29" s="1901">
        <v>1</v>
      </c>
      <c r="AO29" s="1901">
        <v>1</v>
      </c>
      <c r="AP29" s="1902">
        <v>1</v>
      </c>
      <c r="AQ29" s="1904">
        <v>1</v>
      </c>
      <c r="AR29" s="1901">
        <v>1</v>
      </c>
      <c r="AS29" s="1901">
        <v>1</v>
      </c>
      <c r="AT29" s="1902">
        <v>7</v>
      </c>
      <c r="AU29" s="1903" t="s">
        <v>181</v>
      </c>
      <c r="AV29" s="1901"/>
      <c r="AW29" s="1901"/>
      <c r="AX29" s="1037"/>
      <c r="AY29" s="1236"/>
      <c r="AZ29" s="1236"/>
      <c r="BA29" s="1236"/>
      <c r="BB29" s="1233"/>
      <c r="BC29" s="1234"/>
      <c r="BD29" s="1233"/>
      <c r="BE29" s="1233"/>
      <c r="BF29" s="1233"/>
      <c r="BG29" s="1389"/>
      <c r="BH29" s="1811"/>
      <c r="BI29" s="1391"/>
      <c r="BJ29" s="1009"/>
      <c r="BK29" s="1902"/>
      <c r="BL29" s="1391"/>
      <c r="BM29" s="1367">
        <v>4</v>
      </c>
      <c r="BN29" s="1367">
        <v>3</v>
      </c>
      <c r="BO29" s="1367">
        <v>2</v>
      </c>
      <c r="BP29" s="1367">
        <v>23</v>
      </c>
      <c r="BQ29" s="1367">
        <v>33</v>
      </c>
      <c r="BR29" s="1038">
        <v>38</v>
      </c>
      <c r="BS29" s="1038">
        <v>40</v>
      </c>
      <c r="BT29" s="1038">
        <v>36</v>
      </c>
      <c r="BU29" s="1038">
        <v>41</v>
      </c>
      <c r="BV29" s="1038">
        <v>1</v>
      </c>
      <c r="BW29" s="1038">
        <v>9</v>
      </c>
      <c r="BX29" s="1367">
        <v>13</v>
      </c>
      <c r="BY29" s="1367">
        <v>12</v>
      </c>
      <c r="BZ29" s="1237">
        <v>150</v>
      </c>
      <c r="CA29" s="1237">
        <v>0</v>
      </c>
      <c r="CB29" s="1237">
        <v>0</v>
      </c>
      <c r="CC29" s="1193"/>
      <c r="CG29" s="1315"/>
    </row>
    <row r="30" spans="1:85" ht="12.75" customHeight="1" x14ac:dyDescent="0.2">
      <c r="A30" s="1201"/>
      <c r="B30" s="1201"/>
      <c r="C30" s="1396"/>
      <c r="D30" s="1035"/>
      <c r="E30" s="1166"/>
      <c r="F30" s="1155"/>
      <c r="G30" s="1155"/>
      <c r="H30" s="1065"/>
      <c r="I30" s="1230"/>
      <c r="J30" s="1397"/>
      <c r="K30" s="1230"/>
      <c r="L30" s="1065"/>
      <c r="M30" s="1230"/>
      <c r="N30" s="1397"/>
      <c r="O30" s="1930"/>
      <c r="P30" s="1065"/>
      <c r="Q30" s="1230"/>
      <c r="R30" s="1397"/>
      <c r="S30" s="1230"/>
      <c r="T30" s="1230"/>
      <c r="U30" s="1230"/>
      <c r="V30" s="1397"/>
      <c r="W30" s="1230"/>
      <c r="X30" s="1230"/>
      <c r="Y30" s="1230"/>
      <c r="Z30" s="1397"/>
      <c r="AA30" s="1230"/>
      <c r="AB30" s="1230"/>
      <c r="AC30" s="1230"/>
      <c r="AD30" s="1397"/>
      <c r="AE30" s="1230"/>
      <c r="AF30" s="1230"/>
      <c r="AG30" s="1230"/>
      <c r="AH30" s="1397"/>
      <c r="AI30" s="1901"/>
      <c r="AJ30" s="1901"/>
      <c r="AK30" s="1901"/>
      <c r="AL30" s="1037"/>
      <c r="AM30" s="1901"/>
      <c r="AN30" s="1901"/>
      <c r="AO30" s="1901"/>
      <c r="AP30" s="1037"/>
      <c r="AQ30" s="1904"/>
      <c r="AR30" s="1901"/>
      <c r="AS30" s="1901"/>
      <c r="AT30" s="1037"/>
      <c r="AU30" s="1903"/>
      <c r="AV30" s="1901"/>
      <c r="AW30" s="1901"/>
      <c r="AX30" s="1037"/>
      <c r="AY30" s="1236"/>
      <c r="AZ30" s="1236"/>
      <c r="BA30" s="1236"/>
      <c r="BB30" s="1233"/>
      <c r="BC30" s="1234"/>
      <c r="BD30" s="1233"/>
      <c r="BE30" s="1233"/>
      <c r="BF30" s="1233"/>
      <c r="BG30" s="1389"/>
      <c r="BH30" s="1811"/>
      <c r="BI30" s="1391"/>
      <c r="BJ30" s="1009"/>
      <c r="BK30" s="1902"/>
      <c r="BL30" s="1391"/>
      <c r="BM30" s="1367"/>
      <c r="BN30" s="1367"/>
      <c r="BO30" s="1367"/>
      <c r="BP30" s="1367"/>
      <c r="BQ30" s="1367"/>
      <c r="BR30" s="1038"/>
      <c r="BS30" s="1038"/>
      <c r="BT30" s="1038"/>
      <c r="BU30" s="1038"/>
      <c r="BV30" s="1038"/>
      <c r="BW30" s="1038"/>
      <c r="BX30" s="1273"/>
      <c r="BY30" s="1273"/>
      <c r="BZ30" s="1237"/>
      <c r="CA30" s="1237"/>
      <c r="CB30" s="1237"/>
      <c r="CC30" s="1193"/>
      <c r="CG30" s="1315"/>
    </row>
    <row r="31" spans="1:85" ht="12.75" customHeight="1" x14ac:dyDescent="0.2">
      <c r="A31" s="1896" t="s">
        <v>721</v>
      </c>
      <c r="B31" s="1201"/>
      <c r="C31" s="1396">
        <v>90</v>
      </c>
      <c r="D31" s="1035">
        <v>4.4160942100098133E-2</v>
      </c>
      <c r="E31" s="920"/>
      <c r="F31" s="1159">
        <v>2128</v>
      </c>
      <c r="G31" s="1159">
        <v>2135</v>
      </c>
      <c r="H31" s="1230">
        <v>2048</v>
      </c>
      <c r="I31" s="1230">
        <v>2036</v>
      </c>
      <c r="J31" s="1258">
        <v>2038</v>
      </c>
      <c r="K31" s="1205">
        <v>1956</v>
      </c>
      <c r="L31" s="1205">
        <v>1939</v>
      </c>
      <c r="M31" s="1230">
        <v>1953</v>
      </c>
      <c r="N31" s="1258">
        <v>1697</v>
      </c>
      <c r="O31" s="1413">
        <v>1700</v>
      </c>
      <c r="P31" s="1205">
        <v>1733</v>
      </c>
      <c r="Q31" s="1230">
        <v>1727</v>
      </c>
      <c r="R31" s="1258">
        <v>1737</v>
      </c>
      <c r="S31" s="1230">
        <v>1795</v>
      </c>
      <c r="T31" s="1230">
        <v>1858</v>
      </c>
      <c r="U31" s="1230">
        <v>1887</v>
      </c>
      <c r="V31" s="1258">
        <v>1902</v>
      </c>
      <c r="W31" s="1230">
        <v>1928</v>
      </c>
      <c r="X31" s="1230">
        <v>2002</v>
      </c>
      <c r="Y31" s="1230">
        <v>2018</v>
      </c>
      <c r="Z31" s="1258">
        <v>2011</v>
      </c>
      <c r="AA31" s="1230">
        <v>2081</v>
      </c>
      <c r="AB31" s="1230">
        <v>2072</v>
      </c>
      <c r="AC31" s="1230">
        <v>2092</v>
      </c>
      <c r="AD31" s="1258">
        <v>2109</v>
      </c>
      <c r="AE31" s="1230">
        <v>2130</v>
      </c>
      <c r="AF31" s="1230">
        <v>2200</v>
      </c>
      <c r="AG31" s="1230">
        <v>2281</v>
      </c>
      <c r="AH31" s="1258">
        <v>2439</v>
      </c>
      <c r="AI31" s="1901">
        <v>2508</v>
      </c>
      <c r="AJ31" s="1901">
        <v>1804</v>
      </c>
      <c r="AK31" s="1901">
        <v>1746</v>
      </c>
      <c r="AL31" s="1902">
        <v>1720</v>
      </c>
      <c r="AM31" s="1901">
        <v>1725</v>
      </c>
      <c r="AN31" s="1901">
        <v>1629</v>
      </c>
      <c r="AO31" s="1901">
        <v>1632</v>
      </c>
      <c r="AP31" s="1902">
        <v>1641</v>
      </c>
      <c r="AQ31" s="1904">
        <v>1550</v>
      </c>
      <c r="AR31" s="1901">
        <v>1571</v>
      </c>
      <c r="AS31" s="1901">
        <v>1540</v>
      </c>
      <c r="AT31" s="1037">
        <v>1521</v>
      </c>
      <c r="AU31" s="1903" t="e">
        <v>#VALUE!</v>
      </c>
      <c r="AV31" s="1901">
        <v>1570</v>
      </c>
      <c r="AW31" s="1901">
        <v>1688</v>
      </c>
      <c r="AX31" s="1037">
        <v>1698</v>
      </c>
      <c r="AY31" s="1007">
        <v>1683</v>
      </c>
      <c r="AZ31" s="1007">
        <v>1676</v>
      </c>
      <c r="BA31" s="1007">
        <v>1689</v>
      </c>
      <c r="BB31" s="1260">
        <v>1657</v>
      </c>
      <c r="BC31" s="1261">
        <v>1590</v>
      </c>
      <c r="BD31" s="1260">
        <v>1575</v>
      </c>
      <c r="BE31" s="1260">
        <v>1562</v>
      </c>
      <c r="BF31" s="1260">
        <v>1534</v>
      </c>
      <c r="BG31" s="1905">
        <v>0</v>
      </c>
      <c r="BH31" s="1388">
        <v>1521</v>
      </c>
      <c r="BI31" s="1391">
        <v>1670</v>
      </c>
      <c r="BJ31" s="1009">
        <v>-149</v>
      </c>
      <c r="BK31" s="1902">
        <v>-0.22930959605954659</v>
      </c>
      <c r="BL31" s="1391">
        <v>0</v>
      </c>
      <c r="BM31" s="1367">
        <v>2135</v>
      </c>
      <c r="BN31" s="1367">
        <v>1956</v>
      </c>
      <c r="BO31" s="1367">
        <v>1700</v>
      </c>
      <c r="BP31" s="1367">
        <v>1795</v>
      </c>
      <c r="BQ31" s="1367">
        <v>1928</v>
      </c>
      <c r="BR31" s="1038">
        <v>2004</v>
      </c>
      <c r="BS31" s="1038">
        <v>2060</v>
      </c>
      <c r="BT31" s="1038">
        <v>2428</v>
      </c>
      <c r="BU31" s="1902">
        <v>1684</v>
      </c>
      <c r="BV31" s="1038">
        <v>1549</v>
      </c>
      <c r="BW31" s="1038">
        <v>1530</v>
      </c>
      <c r="BX31" s="1273">
        <v>1683</v>
      </c>
      <c r="BY31" s="1273">
        <v>1590</v>
      </c>
      <c r="BZ31" s="1237">
        <v>1638</v>
      </c>
      <c r="CA31" s="1237">
        <v>1260</v>
      </c>
      <c r="CB31" s="1237">
        <v>1156</v>
      </c>
      <c r="CC31" s="1193"/>
      <c r="CG31" s="1315"/>
    </row>
    <row r="32" spans="1:85" ht="12.75" customHeight="1" x14ac:dyDescent="0.2">
      <c r="A32" s="1201"/>
      <c r="B32" s="1201"/>
      <c r="C32" s="1396"/>
      <c r="D32" s="1035"/>
      <c r="E32" s="920"/>
      <c r="F32" s="908"/>
      <c r="G32" s="908"/>
      <c r="H32" s="1065"/>
      <c r="I32" s="1230"/>
      <c r="J32" s="1397"/>
      <c r="K32" s="952"/>
      <c r="L32" s="1065"/>
      <c r="M32" s="1230"/>
      <c r="N32" s="1397"/>
      <c r="O32" s="2316"/>
      <c r="P32" s="1065"/>
      <c r="Q32" s="1230"/>
      <c r="R32" s="1397"/>
      <c r="S32" s="952"/>
      <c r="T32" s="952"/>
      <c r="U32" s="1230"/>
      <c r="V32" s="1397"/>
      <c r="W32" s="952"/>
      <c r="X32" s="952"/>
      <c r="Y32" s="1230"/>
      <c r="Z32" s="1397"/>
      <c r="AA32" s="952"/>
      <c r="AB32" s="952"/>
      <c r="AC32" s="1230"/>
      <c r="AD32" s="1397"/>
      <c r="AE32" s="952"/>
      <c r="AF32" s="952"/>
      <c r="AG32" s="1230"/>
      <c r="AH32" s="1397"/>
      <c r="AI32" s="1901"/>
      <c r="AJ32" s="1901"/>
      <c r="AK32" s="1901"/>
      <c r="AL32" s="1037"/>
      <c r="AM32" s="1901"/>
      <c r="AN32" s="1901"/>
      <c r="AO32" s="1901"/>
      <c r="AP32" s="1037"/>
      <c r="AQ32" s="1901"/>
      <c r="AR32" s="1901"/>
      <c r="AS32" s="1901"/>
      <c r="AT32" s="1037"/>
      <c r="AU32" s="1903"/>
      <c r="AV32" s="1901"/>
      <c r="AW32" s="1901"/>
      <c r="AX32" s="1037"/>
      <c r="AY32" s="1007"/>
      <c r="AZ32" s="1007"/>
      <c r="BA32" s="1007"/>
      <c r="BB32" s="1260"/>
      <c r="BC32" s="1261"/>
      <c r="BD32" s="1260"/>
      <c r="BE32" s="1260"/>
      <c r="BF32" s="1260"/>
      <c r="BG32" s="1905"/>
      <c r="BH32" s="1388"/>
      <c r="BI32" s="1391"/>
      <c r="BJ32" s="1009"/>
      <c r="BK32" s="1902"/>
      <c r="BL32" s="1391"/>
      <c r="BM32" s="1367">
        <v>0</v>
      </c>
      <c r="BN32" s="1367"/>
      <c r="BO32" s="1367"/>
      <c r="BP32" s="1367"/>
      <c r="BQ32" s="1367"/>
      <c r="BR32" s="1038"/>
      <c r="BS32" s="1038"/>
      <c r="BT32" s="1038"/>
      <c r="BU32" s="1038"/>
      <c r="BV32" s="1038"/>
      <c r="BW32" s="1038"/>
      <c r="BX32" s="1273"/>
      <c r="BY32" s="1273"/>
      <c r="BZ32" s="1237"/>
      <c r="CA32" s="1237"/>
      <c r="CB32" s="1237"/>
      <c r="CC32" s="1193"/>
      <c r="CG32" s="1315"/>
    </row>
    <row r="33" spans="1:85" ht="12.75" customHeight="1" x14ac:dyDescent="0.2">
      <c r="A33" s="1896" t="s">
        <v>643</v>
      </c>
      <c r="B33" s="1201"/>
      <c r="C33" s="1396">
        <v>5</v>
      </c>
      <c r="D33" s="1035">
        <v>3.3783783783783786E-2</v>
      </c>
      <c r="E33" s="920"/>
      <c r="F33" s="1155">
        <v>153</v>
      </c>
      <c r="G33" s="1155">
        <v>155</v>
      </c>
      <c r="H33" s="1205">
        <v>150</v>
      </c>
      <c r="I33" s="1230">
        <v>150</v>
      </c>
      <c r="J33" s="1397">
        <v>148</v>
      </c>
      <c r="K33" s="1230">
        <v>142</v>
      </c>
      <c r="L33" s="1205">
        <v>134</v>
      </c>
      <c r="M33" s="1230">
        <v>134</v>
      </c>
      <c r="N33" s="1397">
        <v>135</v>
      </c>
      <c r="O33" s="1930">
        <v>141</v>
      </c>
      <c r="P33" s="1205">
        <v>139</v>
      </c>
      <c r="Q33" s="1230">
        <v>139</v>
      </c>
      <c r="R33" s="1397">
        <v>138</v>
      </c>
      <c r="S33" s="1230">
        <v>139</v>
      </c>
      <c r="T33" s="1230">
        <v>140</v>
      </c>
      <c r="U33" s="1230">
        <v>141</v>
      </c>
      <c r="V33" s="1397">
        <v>147</v>
      </c>
      <c r="W33" s="1230">
        <v>152</v>
      </c>
      <c r="X33" s="1230">
        <v>161</v>
      </c>
      <c r="Y33" s="1230">
        <v>162</v>
      </c>
      <c r="Z33" s="1397">
        <v>163</v>
      </c>
      <c r="AA33" s="1230">
        <v>160</v>
      </c>
      <c r="AB33" s="1230">
        <v>163</v>
      </c>
      <c r="AC33" s="1230">
        <v>163</v>
      </c>
      <c r="AD33" s="1397">
        <v>173</v>
      </c>
      <c r="AE33" s="1230">
        <v>178</v>
      </c>
      <c r="AF33" s="1230">
        <v>184</v>
      </c>
      <c r="AG33" s="1230">
        <v>231</v>
      </c>
      <c r="AH33" s="1397">
        <v>269</v>
      </c>
      <c r="AI33" s="1901">
        <v>280</v>
      </c>
      <c r="AJ33" s="1901">
        <v>278</v>
      </c>
      <c r="AK33" s="1901">
        <v>271</v>
      </c>
      <c r="AL33" s="1037">
        <v>263</v>
      </c>
      <c r="AM33" s="1901">
        <v>271</v>
      </c>
      <c r="AN33" s="1901">
        <v>272</v>
      </c>
      <c r="AO33" s="1901">
        <v>280</v>
      </c>
      <c r="AP33" s="1037">
        <v>290</v>
      </c>
      <c r="AQ33" s="1901">
        <v>303</v>
      </c>
      <c r="AR33" s="1901">
        <v>327</v>
      </c>
      <c r="AS33" s="1901">
        <v>334</v>
      </c>
      <c r="AT33" s="1037">
        <v>335</v>
      </c>
      <c r="AU33" s="1903">
        <v>338</v>
      </c>
      <c r="AV33" s="1901">
        <v>347</v>
      </c>
      <c r="AW33" s="1901">
        <v>341</v>
      </c>
      <c r="AX33" s="1037">
        <v>354</v>
      </c>
      <c r="AY33" s="1007">
        <v>354</v>
      </c>
      <c r="AZ33" s="1007">
        <v>377</v>
      </c>
      <c r="BA33" s="1007">
        <v>378</v>
      </c>
      <c r="BB33" s="1260">
        <v>373</v>
      </c>
      <c r="BC33" s="1261">
        <v>368</v>
      </c>
      <c r="BD33" s="1260">
        <v>368</v>
      </c>
      <c r="BE33" s="1260">
        <v>371</v>
      </c>
      <c r="BF33" s="1260">
        <v>373</v>
      </c>
      <c r="BG33" s="1905"/>
      <c r="BH33" s="1388">
        <v>338</v>
      </c>
      <c r="BI33" s="1391">
        <v>354</v>
      </c>
      <c r="BJ33" s="1009">
        <v>-16</v>
      </c>
      <c r="BK33" s="1902">
        <v>-4.519774011299435E-2</v>
      </c>
      <c r="BL33" s="1391"/>
      <c r="BM33" s="1367">
        <v>155</v>
      </c>
      <c r="BN33" s="1367">
        <v>142</v>
      </c>
      <c r="BO33" s="1367">
        <v>141</v>
      </c>
      <c r="BP33" s="1367">
        <v>139</v>
      </c>
      <c r="BQ33" s="1367">
        <v>152</v>
      </c>
      <c r="BR33" s="1038">
        <v>160</v>
      </c>
      <c r="BS33" s="1038">
        <v>178</v>
      </c>
      <c r="BT33" s="1038">
        <v>280</v>
      </c>
      <c r="BU33" s="1038">
        <v>271</v>
      </c>
      <c r="BV33" s="1038">
        <v>303</v>
      </c>
      <c r="BW33" s="1038">
        <v>338</v>
      </c>
      <c r="BX33" s="1273">
        <v>354</v>
      </c>
      <c r="BY33" s="1273">
        <v>368</v>
      </c>
      <c r="BZ33" s="1237">
        <v>365</v>
      </c>
      <c r="CA33" s="1237">
        <v>343</v>
      </c>
      <c r="CB33" s="1237">
        <v>327</v>
      </c>
      <c r="CC33" s="1193"/>
      <c r="CD33" s="1921"/>
      <c r="CG33" s="1315"/>
    </row>
    <row r="34" spans="1:85" ht="12.75" customHeight="1" x14ac:dyDescent="0.2">
      <c r="A34" s="1896" t="s">
        <v>253</v>
      </c>
      <c r="B34" s="1201"/>
      <c r="C34" s="1396">
        <v>14</v>
      </c>
      <c r="D34" s="1035">
        <v>3.4398034398034398E-2</v>
      </c>
      <c r="E34" s="920"/>
      <c r="F34" s="1155">
        <v>421</v>
      </c>
      <c r="G34" s="1155">
        <v>420</v>
      </c>
      <c r="H34" s="1205">
        <v>416</v>
      </c>
      <c r="I34" s="1230">
        <v>410</v>
      </c>
      <c r="J34" s="1397">
        <v>407</v>
      </c>
      <c r="K34" s="1230">
        <v>374</v>
      </c>
      <c r="L34" s="1205">
        <v>353</v>
      </c>
      <c r="M34" s="1230">
        <v>356</v>
      </c>
      <c r="N34" s="1397">
        <v>355</v>
      </c>
      <c r="O34" s="1930">
        <v>367</v>
      </c>
      <c r="P34" s="1205">
        <v>367</v>
      </c>
      <c r="Q34" s="1230">
        <v>356</v>
      </c>
      <c r="R34" s="1397">
        <v>392</v>
      </c>
      <c r="S34" s="1230">
        <v>392</v>
      </c>
      <c r="T34" s="1230">
        <v>392</v>
      </c>
      <c r="U34" s="1230">
        <v>397</v>
      </c>
      <c r="V34" s="1397">
        <v>437</v>
      </c>
      <c r="W34" s="1230">
        <v>437</v>
      </c>
      <c r="X34" s="1230">
        <v>422</v>
      </c>
      <c r="Y34" s="1230">
        <v>426</v>
      </c>
      <c r="Z34" s="1397">
        <v>422</v>
      </c>
      <c r="AA34" s="1230">
        <v>436</v>
      </c>
      <c r="AB34" s="1230">
        <v>441</v>
      </c>
      <c r="AC34" s="1230">
        <v>446</v>
      </c>
      <c r="AD34" s="1397">
        <v>472</v>
      </c>
      <c r="AE34" s="1230">
        <v>494</v>
      </c>
      <c r="AF34" s="1230">
        <v>483</v>
      </c>
      <c r="AG34" s="1230">
        <v>553</v>
      </c>
      <c r="AH34" s="1397">
        <v>604</v>
      </c>
      <c r="AI34" s="1901">
        <v>604</v>
      </c>
      <c r="AJ34" s="1901">
        <v>631</v>
      </c>
      <c r="AK34" s="1901">
        <v>626</v>
      </c>
      <c r="AL34" s="1037">
        <v>628</v>
      </c>
      <c r="AM34" s="1901">
        <v>645</v>
      </c>
      <c r="AN34" s="1901">
        <v>653</v>
      </c>
      <c r="AO34" s="1901">
        <v>712</v>
      </c>
      <c r="AP34" s="1037">
        <v>684</v>
      </c>
      <c r="AQ34" s="1901">
        <v>718</v>
      </c>
      <c r="AR34" s="1901">
        <v>753</v>
      </c>
      <c r="AS34" s="1901">
        <v>763</v>
      </c>
      <c r="AT34" s="1037">
        <v>773</v>
      </c>
      <c r="AU34" s="1903">
        <v>790</v>
      </c>
      <c r="AV34" s="1901">
        <v>809</v>
      </c>
      <c r="AW34" s="1901">
        <v>818</v>
      </c>
      <c r="AX34" s="1037">
        <v>832</v>
      </c>
      <c r="AY34" s="1007">
        <v>852</v>
      </c>
      <c r="AZ34" s="1007">
        <v>859</v>
      </c>
      <c r="BA34" s="1007">
        <v>865</v>
      </c>
      <c r="BB34" s="1260">
        <v>840</v>
      </c>
      <c r="BC34" s="1261">
        <v>817</v>
      </c>
      <c r="BD34" s="1260">
        <v>797</v>
      </c>
      <c r="BE34" s="1260">
        <v>790</v>
      </c>
      <c r="BF34" s="1260">
        <v>775</v>
      </c>
      <c r="BG34" s="1905"/>
      <c r="BH34" s="1388">
        <v>790</v>
      </c>
      <c r="BI34" s="1391">
        <v>852</v>
      </c>
      <c r="BJ34" s="1009">
        <v>-62</v>
      </c>
      <c r="BK34" s="1902">
        <v>-7.2769953051643188E-2</v>
      </c>
      <c r="BL34" s="1391"/>
      <c r="BM34" s="1367">
        <v>420</v>
      </c>
      <c r="BN34" s="1367">
        <v>374</v>
      </c>
      <c r="BO34" s="1367">
        <v>367</v>
      </c>
      <c r="BP34" s="1367">
        <v>392</v>
      </c>
      <c r="BQ34" s="1367">
        <v>437</v>
      </c>
      <c r="BR34" s="1038">
        <v>436</v>
      </c>
      <c r="BS34" s="1038">
        <v>494</v>
      </c>
      <c r="BT34" s="1038">
        <v>604</v>
      </c>
      <c r="BU34" s="1038">
        <v>645</v>
      </c>
      <c r="BV34" s="1038">
        <v>718</v>
      </c>
      <c r="BW34" s="1038">
        <v>790</v>
      </c>
      <c r="BX34" s="1273">
        <v>852</v>
      </c>
      <c r="BY34" s="1273">
        <v>817</v>
      </c>
      <c r="BZ34" s="1237">
        <v>763</v>
      </c>
      <c r="CA34" s="1237">
        <v>710</v>
      </c>
      <c r="CB34" s="1237">
        <v>675</v>
      </c>
      <c r="CC34" s="1193"/>
      <c r="CD34" s="1921"/>
      <c r="CG34" s="1315"/>
    </row>
    <row r="35" spans="1:85" ht="25.5" customHeight="1" x14ac:dyDescent="0.2">
      <c r="A35" s="3219" t="s">
        <v>644</v>
      </c>
      <c r="B35" s="3220"/>
      <c r="C35" s="1396">
        <v>28</v>
      </c>
      <c r="D35" s="1035">
        <v>0.14736842105263157</v>
      </c>
      <c r="E35" s="920"/>
      <c r="F35" s="1155">
        <v>218</v>
      </c>
      <c r="G35" s="1155">
        <v>190</v>
      </c>
      <c r="H35" s="1205">
        <v>188</v>
      </c>
      <c r="I35" s="1205">
        <v>193</v>
      </c>
      <c r="J35" s="1409">
        <v>190</v>
      </c>
      <c r="K35" s="1230">
        <v>188</v>
      </c>
      <c r="L35" s="1205">
        <v>197</v>
      </c>
      <c r="M35" s="1205">
        <v>200</v>
      </c>
      <c r="N35" s="1409">
        <v>119</v>
      </c>
      <c r="O35" s="1930">
        <v>118</v>
      </c>
      <c r="P35" s="1205">
        <v>115</v>
      </c>
      <c r="Q35" s="1205">
        <v>118</v>
      </c>
      <c r="R35" s="1409">
        <v>117</v>
      </c>
      <c r="S35" s="1230">
        <v>118</v>
      </c>
      <c r="T35" s="1205">
        <v>117</v>
      </c>
      <c r="U35" s="1205">
        <v>114</v>
      </c>
      <c r="V35" s="1409">
        <v>111</v>
      </c>
      <c r="W35" s="1230">
        <v>114</v>
      </c>
      <c r="X35" s="1205">
        <v>113</v>
      </c>
      <c r="Y35" s="1205">
        <v>113</v>
      </c>
      <c r="Z35" s="1409">
        <v>116</v>
      </c>
      <c r="AA35" s="1230">
        <v>118</v>
      </c>
      <c r="AB35" s="1205">
        <v>119</v>
      </c>
      <c r="AC35" s="1205">
        <v>115</v>
      </c>
      <c r="AD35" s="1409">
        <v>119</v>
      </c>
      <c r="AE35" s="1230">
        <v>122</v>
      </c>
      <c r="AF35" s="1205">
        <v>119</v>
      </c>
      <c r="AG35" s="1205">
        <v>96</v>
      </c>
      <c r="AH35" s="1409">
        <v>98</v>
      </c>
      <c r="AI35" s="1901">
        <v>106</v>
      </c>
      <c r="AJ35" s="1009">
        <v>0</v>
      </c>
      <c r="AK35" s="1009">
        <v>0</v>
      </c>
      <c r="AL35" s="1037">
        <v>0</v>
      </c>
      <c r="AM35" s="1009">
        <v>0</v>
      </c>
      <c r="AN35" s="1009">
        <v>0</v>
      </c>
      <c r="AO35" s="1009">
        <v>0</v>
      </c>
      <c r="AP35" s="1037">
        <v>0</v>
      </c>
      <c r="AQ35" s="1009">
        <v>0</v>
      </c>
      <c r="AR35" s="1009">
        <v>0</v>
      </c>
      <c r="AS35" s="1901"/>
      <c r="AT35" s="1037"/>
      <c r="AU35" s="1901"/>
      <c r="AV35" s="1901"/>
      <c r="AW35" s="1901"/>
      <c r="AX35" s="1037"/>
      <c r="AY35" s="1007"/>
      <c r="AZ35" s="1007"/>
      <c r="BA35" s="1007"/>
      <c r="BB35" s="1260"/>
      <c r="BC35" s="1261"/>
      <c r="BD35" s="1260"/>
      <c r="BE35" s="1260"/>
      <c r="BF35" s="1260"/>
      <c r="BG35" s="1905"/>
      <c r="BH35" s="1388"/>
      <c r="BI35" s="1391"/>
      <c r="BJ35" s="1009"/>
      <c r="BK35" s="1902"/>
      <c r="BL35" s="1391"/>
      <c r="BM35" s="1367">
        <v>190</v>
      </c>
      <c r="BN35" s="1367">
        <v>188</v>
      </c>
      <c r="BO35" s="1367">
        <v>118</v>
      </c>
      <c r="BP35" s="1367">
        <v>118</v>
      </c>
      <c r="BQ35" s="1367">
        <v>114</v>
      </c>
      <c r="BR35" s="1038">
        <v>118</v>
      </c>
      <c r="BS35" s="1038">
        <v>122</v>
      </c>
      <c r="BT35" s="1038">
        <v>106</v>
      </c>
      <c r="BU35" s="1038">
        <v>0</v>
      </c>
      <c r="BV35" s="1038">
        <v>0</v>
      </c>
      <c r="BW35" s="1038">
        <v>0</v>
      </c>
      <c r="BX35" s="1249">
        <v>0</v>
      </c>
      <c r="BY35" s="1273"/>
      <c r="BZ35" s="1237"/>
      <c r="CA35" s="1237"/>
      <c r="CB35" s="1237"/>
      <c r="CC35" s="1193"/>
      <c r="CD35" s="1921"/>
      <c r="CG35" s="1315"/>
    </row>
    <row r="36" spans="1:85" ht="12.75" customHeight="1" x14ac:dyDescent="0.2">
      <c r="A36" s="1896" t="s">
        <v>281</v>
      </c>
      <c r="B36" s="1201"/>
      <c r="C36" s="1396">
        <v>4</v>
      </c>
      <c r="D36" s="1035">
        <v>0.5714285714285714</v>
      </c>
      <c r="E36" s="920"/>
      <c r="F36" s="1155">
        <v>11</v>
      </c>
      <c r="G36" s="1155">
        <v>6</v>
      </c>
      <c r="H36" s="1205">
        <v>6</v>
      </c>
      <c r="I36" s="1230">
        <v>6</v>
      </c>
      <c r="J36" s="1397">
        <v>7</v>
      </c>
      <c r="K36" s="1230">
        <v>7</v>
      </c>
      <c r="L36" s="1205">
        <v>8</v>
      </c>
      <c r="M36" s="1230">
        <v>8</v>
      </c>
      <c r="N36" s="1397">
        <v>8</v>
      </c>
      <c r="O36" s="1930">
        <v>8</v>
      </c>
      <c r="P36" s="1205">
        <v>7</v>
      </c>
      <c r="Q36" s="1230">
        <v>7</v>
      </c>
      <c r="R36" s="1397">
        <v>7</v>
      </c>
      <c r="S36" s="1230">
        <v>7</v>
      </c>
      <c r="T36" s="1230">
        <v>7</v>
      </c>
      <c r="U36" s="1230">
        <v>9</v>
      </c>
      <c r="V36" s="1397">
        <v>9</v>
      </c>
      <c r="W36" s="1230">
        <v>9</v>
      </c>
      <c r="X36" s="1230">
        <v>9</v>
      </c>
      <c r="Y36" s="1230">
        <v>9</v>
      </c>
      <c r="Z36" s="1397">
        <v>9</v>
      </c>
      <c r="AA36" s="1230">
        <v>9</v>
      </c>
      <c r="AB36" s="1230">
        <v>9</v>
      </c>
      <c r="AC36" s="1230">
        <v>8</v>
      </c>
      <c r="AD36" s="1397">
        <v>7</v>
      </c>
      <c r="AE36" s="1230">
        <v>12</v>
      </c>
      <c r="AF36" s="1230">
        <v>11</v>
      </c>
      <c r="AG36" s="1230">
        <v>11</v>
      </c>
      <c r="AH36" s="1397">
        <v>10</v>
      </c>
      <c r="AI36" s="1009">
        <v>0</v>
      </c>
      <c r="AJ36" s="1009">
        <v>0</v>
      </c>
      <c r="AK36" s="1009">
        <v>0</v>
      </c>
      <c r="AL36" s="1037">
        <v>0</v>
      </c>
      <c r="AM36" s="1009">
        <v>0</v>
      </c>
      <c r="AN36" s="1009">
        <v>0</v>
      </c>
      <c r="AO36" s="1009">
        <v>0</v>
      </c>
      <c r="AP36" s="1037">
        <v>0</v>
      </c>
      <c r="AQ36" s="1901"/>
      <c r="AR36" s="1901"/>
      <c r="AS36" s="1901"/>
      <c r="AT36" s="1037"/>
      <c r="AU36" s="1903"/>
      <c r="AV36" s="1901"/>
      <c r="AW36" s="1901"/>
      <c r="AX36" s="1037"/>
      <c r="AY36" s="1007"/>
      <c r="AZ36" s="1007"/>
      <c r="BA36" s="1007"/>
      <c r="BB36" s="1260"/>
      <c r="BC36" s="1261"/>
      <c r="BD36" s="1260"/>
      <c r="BE36" s="1260"/>
      <c r="BF36" s="1260"/>
      <c r="BG36" s="1905"/>
      <c r="BH36" s="1388"/>
      <c r="BI36" s="1391"/>
      <c r="BJ36" s="1009"/>
      <c r="BK36" s="1902"/>
      <c r="BL36" s="1391"/>
      <c r="BM36" s="1367">
        <v>6</v>
      </c>
      <c r="BN36" s="1367">
        <v>7</v>
      </c>
      <c r="BO36" s="1367">
        <v>8</v>
      </c>
      <c r="BP36" s="1367">
        <v>7</v>
      </c>
      <c r="BQ36" s="1367">
        <v>9</v>
      </c>
      <c r="BR36" s="1038">
        <v>9</v>
      </c>
      <c r="BS36" s="1038">
        <v>12</v>
      </c>
      <c r="BT36" s="1038">
        <v>0</v>
      </c>
      <c r="BU36" s="1038">
        <v>0</v>
      </c>
      <c r="BV36" s="1038">
        <v>0</v>
      </c>
      <c r="BW36" s="1038">
        <v>0</v>
      </c>
      <c r="BX36" s="1413">
        <v>0</v>
      </c>
      <c r="BY36" s="1273"/>
      <c r="BZ36" s="1237"/>
      <c r="CA36" s="1237"/>
      <c r="CB36" s="1237"/>
      <c r="CC36" s="1193"/>
      <c r="CD36" s="1921"/>
      <c r="CG36" s="1315"/>
    </row>
    <row r="37" spans="1:85" ht="12.75" customHeight="1" x14ac:dyDescent="0.2">
      <c r="A37" s="1896"/>
      <c r="B37" s="1201"/>
      <c r="C37" s="1396"/>
      <c r="D37" s="1035"/>
      <c r="E37" s="920"/>
      <c r="F37" s="1155"/>
      <c r="G37" s="1155"/>
      <c r="H37" s="1065"/>
      <c r="I37" s="1230"/>
      <c r="J37" s="1397"/>
      <c r="K37" s="1230"/>
      <c r="L37" s="1065"/>
      <c r="M37" s="1230"/>
      <c r="N37" s="1397"/>
      <c r="O37" s="1930"/>
      <c r="P37" s="1065"/>
      <c r="Q37" s="1230"/>
      <c r="R37" s="1397"/>
      <c r="S37" s="1230"/>
      <c r="T37" s="1230"/>
      <c r="U37" s="1230"/>
      <c r="V37" s="1397"/>
      <c r="W37" s="1230"/>
      <c r="X37" s="1230"/>
      <c r="Y37" s="1230"/>
      <c r="Z37" s="1397"/>
      <c r="AA37" s="1230"/>
      <c r="AB37" s="1230"/>
      <c r="AC37" s="1230"/>
      <c r="AD37" s="1397"/>
      <c r="AE37" s="1230"/>
      <c r="AF37" s="1230"/>
      <c r="AG37" s="1230"/>
      <c r="AH37" s="1397"/>
      <c r="AI37" s="1901"/>
      <c r="AJ37" s="1901"/>
      <c r="AK37" s="1901"/>
      <c r="AL37" s="1037"/>
      <c r="AM37" s="1901"/>
      <c r="AN37" s="1901"/>
      <c r="AO37" s="1901"/>
      <c r="AP37" s="1037"/>
      <c r="AQ37" s="1901"/>
      <c r="AR37" s="1901"/>
      <c r="AS37" s="1901"/>
      <c r="AT37" s="1037"/>
      <c r="AU37" s="1903"/>
      <c r="AV37" s="1901"/>
      <c r="AW37" s="1901"/>
      <c r="AX37" s="1037"/>
      <c r="AY37" s="1007"/>
      <c r="AZ37" s="1007"/>
      <c r="BA37" s="1007"/>
      <c r="BB37" s="1260"/>
      <c r="BC37" s="1261"/>
      <c r="BD37" s="1260"/>
      <c r="BE37" s="1260"/>
      <c r="BF37" s="1260"/>
      <c r="BG37" s="1905"/>
      <c r="BH37" s="1388"/>
      <c r="BI37" s="1391"/>
      <c r="BJ37" s="1009"/>
      <c r="BK37" s="1902"/>
      <c r="BL37" s="1391"/>
      <c r="BM37" s="1367"/>
      <c r="BN37" s="1367"/>
      <c r="BO37" s="1367"/>
      <c r="BP37" s="1367"/>
      <c r="BQ37" s="1367"/>
      <c r="BR37" s="1038"/>
      <c r="BS37" s="1038"/>
      <c r="BT37" s="1038"/>
      <c r="BU37" s="1038"/>
      <c r="BV37" s="1038"/>
      <c r="BW37" s="1038"/>
      <c r="BX37" s="1273"/>
      <c r="BY37" s="1273"/>
      <c r="BZ37" s="1237"/>
      <c r="CA37" s="1237"/>
      <c r="CB37" s="1237"/>
      <c r="CC37" s="1193"/>
      <c r="CG37" s="1315"/>
    </row>
    <row r="38" spans="1:85" ht="12.75" customHeight="1" x14ac:dyDescent="0.2">
      <c r="A38" s="1896" t="s">
        <v>260</v>
      </c>
      <c r="B38" s="1201"/>
      <c r="C38" s="1396">
        <v>625</v>
      </c>
      <c r="D38" s="1035">
        <v>0.16796560064498792</v>
      </c>
      <c r="E38" s="920"/>
      <c r="F38" s="1155">
        <v>4346</v>
      </c>
      <c r="G38" s="914">
        <v>4221</v>
      </c>
      <c r="H38" s="1205">
        <v>3954</v>
      </c>
      <c r="I38" s="1230">
        <v>4158</v>
      </c>
      <c r="J38" s="1397">
        <v>3721</v>
      </c>
      <c r="K38" s="1230">
        <v>2815</v>
      </c>
      <c r="L38" s="1205">
        <v>2838</v>
      </c>
      <c r="M38" s="1230">
        <v>2688</v>
      </c>
      <c r="N38" s="1397">
        <v>2647</v>
      </c>
      <c r="O38" s="1930">
        <v>2637</v>
      </c>
      <c r="P38" s="1205">
        <v>2527</v>
      </c>
      <c r="Q38" s="1230">
        <v>1219</v>
      </c>
      <c r="R38" s="1397">
        <v>1268</v>
      </c>
      <c r="S38" s="1230">
        <v>1257</v>
      </c>
      <c r="T38" s="1230">
        <v>1262</v>
      </c>
      <c r="U38" s="1230">
        <v>1360</v>
      </c>
      <c r="V38" s="1397">
        <v>1419</v>
      </c>
      <c r="W38" s="1230">
        <v>1561</v>
      </c>
      <c r="X38" s="1230">
        <v>1441</v>
      </c>
      <c r="Y38" s="1230">
        <v>1391</v>
      </c>
      <c r="Z38" s="1397">
        <v>1270</v>
      </c>
      <c r="AA38" s="1230">
        <v>1204</v>
      </c>
      <c r="AB38" s="1230">
        <v>1070</v>
      </c>
      <c r="AC38" s="1230">
        <v>935</v>
      </c>
      <c r="AD38" s="1397">
        <v>880</v>
      </c>
      <c r="AE38" s="1230">
        <v>835</v>
      </c>
      <c r="AF38" s="1230">
        <v>791</v>
      </c>
      <c r="AG38" s="1230">
        <v>784</v>
      </c>
      <c r="AH38" s="1397">
        <v>709</v>
      </c>
      <c r="AI38" s="1901">
        <v>677</v>
      </c>
      <c r="AJ38" s="1901">
        <v>607</v>
      </c>
      <c r="AK38" s="1901">
        <v>574</v>
      </c>
      <c r="AL38" s="1037">
        <v>575</v>
      </c>
      <c r="AM38" s="1901">
        <v>546</v>
      </c>
      <c r="AN38" s="1901">
        <v>514</v>
      </c>
      <c r="AO38" s="1901">
        <v>473</v>
      </c>
      <c r="AP38" s="1037">
        <v>431</v>
      </c>
      <c r="AQ38" s="1901">
        <v>445</v>
      </c>
      <c r="AR38" s="1901"/>
      <c r="AS38" s="1901"/>
      <c r="AT38" s="1037"/>
      <c r="AU38" s="1901"/>
      <c r="AV38" s="1901"/>
      <c r="AW38" s="1901"/>
      <c r="AX38" s="1037"/>
      <c r="AY38" s="1007"/>
      <c r="AZ38" s="1007"/>
      <c r="BA38" s="1007"/>
      <c r="BB38" s="1260"/>
      <c r="BC38" s="1261"/>
      <c r="BD38" s="1260"/>
      <c r="BE38" s="1260"/>
      <c r="BF38" s="1260"/>
      <c r="BG38" s="1905"/>
      <c r="BH38" s="1388"/>
      <c r="BI38" s="1391"/>
      <c r="BJ38" s="1009"/>
      <c r="BK38" s="1902"/>
      <c r="BL38" s="1391"/>
      <c r="BM38" s="1367">
        <v>4221</v>
      </c>
      <c r="BN38" s="1367">
        <v>2815</v>
      </c>
      <c r="BO38" s="1367">
        <v>2637</v>
      </c>
      <c r="BP38" s="1367">
        <v>1257</v>
      </c>
      <c r="BQ38" s="1367">
        <v>1561</v>
      </c>
      <c r="BR38" s="1038">
        <v>1204</v>
      </c>
      <c r="BS38" s="1038">
        <v>835</v>
      </c>
      <c r="BT38" s="1038">
        <v>677</v>
      </c>
      <c r="BU38" s="1038">
        <v>546</v>
      </c>
      <c r="BV38" s="1038">
        <v>445</v>
      </c>
      <c r="BW38" s="1038">
        <v>393</v>
      </c>
      <c r="BX38" s="1273">
        <v>730</v>
      </c>
      <c r="BY38" s="1273"/>
      <c r="BZ38" s="1237"/>
      <c r="CA38" s="1237"/>
      <c r="CB38" s="1237"/>
      <c r="CC38" s="1193"/>
      <c r="CG38" s="1315"/>
    </row>
    <row r="39" spans="1:85" s="2304" customFormat="1" ht="12.75" customHeight="1" x14ac:dyDescent="0.2">
      <c r="A39" s="1897" t="s">
        <v>378</v>
      </c>
      <c r="B39" s="1898"/>
      <c r="C39" s="1396">
        <v>2302</v>
      </c>
      <c r="D39" s="1035">
        <v>0.12166375984356007</v>
      </c>
      <c r="E39" s="931"/>
      <c r="F39" s="1892">
        <v>21223</v>
      </c>
      <c r="G39" s="914">
        <v>20674</v>
      </c>
      <c r="H39" s="1269">
        <v>18260</v>
      </c>
      <c r="I39" s="1906">
        <v>19746</v>
      </c>
      <c r="J39" s="1397">
        <v>18921</v>
      </c>
      <c r="K39" s="1906">
        <v>15567</v>
      </c>
      <c r="L39" s="1269">
        <v>14451</v>
      </c>
      <c r="M39" s="1906">
        <v>12801</v>
      </c>
      <c r="N39" s="1397">
        <v>12669</v>
      </c>
      <c r="O39" s="1909">
        <v>13228</v>
      </c>
      <c r="P39" s="1269">
        <v>11969</v>
      </c>
      <c r="Q39" s="1906">
        <v>10334</v>
      </c>
      <c r="R39" s="1397">
        <v>9817</v>
      </c>
      <c r="S39" s="1906">
        <v>9192</v>
      </c>
      <c r="T39" s="1906">
        <v>9035</v>
      </c>
      <c r="U39" s="1906">
        <v>9481</v>
      </c>
      <c r="V39" s="1397">
        <v>10648</v>
      </c>
      <c r="W39" s="1906">
        <v>10729</v>
      </c>
      <c r="X39" s="1906">
        <v>10310</v>
      </c>
      <c r="Y39" s="1906">
        <v>10757</v>
      </c>
      <c r="Z39" s="1397">
        <v>10958</v>
      </c>
      <c r="AA39" s="1906">
        <v>10160</v>
      </c>
      <c r="AB39" s="1906">
        <v>9536</v>
      </c>
      <c r="AC39" s="1906">
        <v>9427</v>
      </c>
      <c r="AD39" s="1397">
        <v>9325</v>
      </c>
      <c r="AE39" s="1906">
        <v>10429</v>
      </c>
      <c r="AF39" s="1906">
        <v>11403</v>
      </c>
      <c r="AG39" s="1906">
        <v>13344</v>
      </c>
      <c r="AH39" s="1397">
        <v>13137</v>
      </c>
      <c r="AI39" s="1907">
        <v>14828</v>
      </c>
      <c r="AJ39" s="1907">
        <v>14367</v>
      </c>
      <c r="AK39" s="1907">
        <v>14635</v>
      </c>
      <c r="AL39" s="1037">
        <v>15676</v>
      </c>
      <c r="AM39" s="1907">
        <v>16985</v>
      </c>
      <c r="AN39" s="1907">
        <v>16006</v>
      </c>
      <c r="AO39" s="1907">
        <v>13895</v>
      </c>
      <c r="AP39" s="1037">
        <v>12571</v>
      </c>
      <c r="AQ39" s="1907">
        <v>12922</v>
      </c>
      <c r="AR39" s="1907">
        <v>12210</v>
      </c>
      <c r="AS39" s="1907">
        <v>11386</v>
      </c>
      <c r="AT39" s="1037">
        <v>10341</v>
      </c>
      <c r="AU39" s="1907">
        <v>9184</v>
      </c>
      <c r="AV39" s="1907">
        <v>9030</v>
      </c>
      <c r="AW39" s="1907">
        <v>11584</v>
      </c>
      <c r="AX39" s="1037">
        <v>14695</v>
      </c>
      <c r="AY39" s="1007">
        <v>14295</v>
      </c>
      <c r="AZ39" s="1007">
        <v>14860</v>
      </c>
      <c r="BA39" s="1007">
        <v>15288</v>
      </c>
      <c r="BB39" s="1260">
        <v>15701</v>
      </c>
      <c r="BC39" s="1261">
        <v>15014</v>
      </c>
      <c r="BD39" s="1260">
        <v>14121</v>
      </c>
      <c r="BE39" s="1260">
        <v>13826</v>
      </c>
      <c r="BF39" s="1260">
        <v>13942</v>
      </c>
      <c r="BG39" s="1908"/>
      <c r="BH39" s="1388">
        <v>9184</v>
      </c>
      <c r="BI39" s="1391">
        <v>14295</v>
      </c>
      <c r="BJ39" s="1009">
        <v>-5111</v>
      </c>
      <c r="BK39" s="1902">
        <v>-0.35753760055963624</v>
      </c>
      <c r="BL39" s="1907"/>
      <c r="BM39" s="1367">
        <v>20674</v>
      </c>
      <c r="BN39" s="1367">
        <v>15567</v>
      </c>
      <c r="BO39" s="1367">
        <v>13228</v>
      </c>
      <c r="BP39" s="1367">
        <v>9192</v>
      </c>
      <c r="BQ39" s="1367">
        <v>10729</v>
      </c>
      <c r="BR39" s="1038">
        <v>10160</v>
      </c>
      <c r="BS39" s="1038">
        <v>10429</v>
      </c>
      <c r="BT39" s="1038">
        <v>14828</v>
      </c>
      <c r="BU39" s="1038">
        <v>16985</v>
      </c>
      <c r="BV39" s="1038">
        <v>12922</v>
      </c>
      <c r="BW39" s="1038">
        <v>9184</v>
      </c>
      <c r="BX39" s="1273">
        <v>14295</v>
      </c>
      <c r="BY39" s="1273">
        <v>15014</v>
      </c>
      <c r="BZ39" s="1237">
        <v>14310</v>
      </c>
      <c r="CA39" s="1237">
        <v>9967</v>
      </c>
      <c r="CB39" s="1237">
        <v>8292</v>
      </c>
      <c r="CC39" s="1197"/>
      <c r="CD39" s="2767"/>
      <c r="CG39" s="1819"/>
    </row>
    <row r="40" spans="1:85" s="2304" customFormat="1" ht="12.75" customHeight="1" x14ac:dyDescent="0.2">
      <c r="A40" s="1897" t="s">
        <v>264</v>
      </c>
      <c r="B40" s="1898"/>
      <c r="C40" s="1396">
        <v>-860</v>
      </c>
      <c r="D40" s="1035">
        <v>-1.8520911401128482E-2</v>
      </c>
      <c r="E40" s="931"/>
      <c r="F40" s="1892">
        <v>45574</v>
      </c>
      <c r="G40" s="914">
        <v>44195</v>
      </c>
      <c r="H40" s="1205">
        <v>41153</v>
      </c>
      <c r="I40" s="1205">
        <v>45230</v>
      </c>
      <c r="J40" s="1409">
        <v>46434</v>
      </c>
      <c r="K40" s="1906">
        <v>44877</v>
      </c>
      <c r="L40" s="1205">
        <v>43791</v>
      </c>
      <c r="M40" s="1205">
        <v>40797</v>
      </c>
      <c r="N40" s="1409">
        <v>25755</v>
      </c>
      <c r="O40" s="1909">
        <v>24526</v>
      </c>
      <c r="P40" s="1205">
        <v>23383</v>
      </c>
      <c r="Q40" s="1205">
        <v>23208</v>
      </c>
      <c r="R40" s="1409">
        <v>22410</v>
      </c>
      <c r="S40" s="1906">
        <v>22791</v>
      </c>
      <c r="T40" s="1205">
        <v>24530</v>
      </c>
      <c r="U40" s="1205">
        <v>22948</v>
      </c>
      <c r="V40" s="1409">
        <v>22813</v>
      </c>
      <c r="W40" s="1906">
        <v>21763</v>
      </c>
      <c r="X40" s="1205">
        <v>20307</v>
      </c>
      <c r="Y40" s="1205">
        <v>20420</v>
      </c>
      <c r="Z40" s="1409">
        <v>20486</v>
      </c>
      <c r="AA40" s="1906">
        <v>20156</v>
      </c>
      <c r="AB40" s="1205">
        <v>18984</v>
      </c>
      <c r="AC40" s="1205">
        <v>17655</v>
      </c>
      <c r="AD40" s="1409">
        <v>16125</v>
      </c>
      <c r="AE40" s="1906">
        <v>15936</v>
      </c>
      <c r="AF40" s="1205">
        <v>15228</v>
      </c>
      <c r="AG40" s="1205">
        <v>13122</v>
      </c>
      <c r="AH40" s="1409">
        <v>12583</v>
      </c>
      <c r="AI40" s="1907">
        <v>13087.2</v>
      </c>
      <c r="AJ40" s="1009">
        <v>0</v>
      </c>
      <c r="AK40" s="1009">
        <v>0</v>
      </c>
      <c r="AL40" s="1037">
        <v>0</v>
      </c>
      <c r="AM40" s="1009">
        <v>0</v>
      </c>
      <c r="AN40" s="1009">
        <v>0</v>
      </c>
      <c r="AO40" s="1009">
        <v>0</v>
      </c>
      <c r="AP40" s="1037">
        <v>0</v>
      </c>
      <c r="AQ40" s="1009">
        <v>0</v>
      </c>
      <c r="AR40" s="1009">
        <v>0</v>
      </c>
      <c r="AS40" s="1901"/>
      <c r="AT40" s="1037"/>
      <c r="AU40" s="1901"/>
      <c r="AV40" s="1901"/>
      <c r="AW40" s="1901"/>
      <c r="AX40" s="1037"/>
      <c r="AY40" s="1007"/>
      <c r="AZ40" s="1007"/>
      <c r="BA40" s="1007"/>
      <c r="BB40" s="1260"/>
      <c r="BC40" s="1261"/>
      <c r="BD40" s="1260"/>
      <c r="BE40" s="1260"/>
      <c r="BF40" s="1260"/>
      <c r="BG40" s="1905"/>
      <c r="BH40" s="1388"/>
      <c r="BI40" s="1391"/>
      <c r="BJ40" s="1009"/>
      <c r="BK40" s="1902"/>
      <c r="BL40" s="1391"/>
      <c r="BM40" s="1367">
        <v>44195</v>
      </c>
      <c r="BN40" s="1367">
        <v>44877</v>
      </c>
      <c r="BO40" s="1367">
        <v>24526</v>
      </c>
      <c r="BP40" s="1367">
        <v>22791</v>
      </c>
      <c r="BQ40" s="1367">
        <v>21763</v>
      </c>
      <c r="BR40" s="1038">
        <v>20156</v>
      </c>
      <c r="BS40" s="1038">
        <v>15936</v>
      </c>
      <c r="BT40" s="1038">
        <v>13087.2</v>
      </c>
      <c r="BU40" s="1038">
        <v>0</v>
      </c>
      <c r="BV40" s="1038">
        <v>0</v>
      </c>
      <c r="BW40" s="1038">
        <v>0</v>
      </c>
      <c r="BX40" s="1249">
        <v>0</v>
      </c>
      <c r="BY40" s="1273">
        <v>807</v>
      </c>
      <c r="BZ40" s="1237">
        <v>613</v>
      </c>
      <c r="CA40" s="1237">
        <v>380</v>
      </c>
      <c r="CB40" s="1237">
        <v>237</v>
      </c>
      <c r="CC40" s="1197"/>
      <c r="CD40" s="2767"/>
      <c r="CG40" s="1819"/>
    </row>
    <row r="41" spans="1:85" s="2304" customFormat="1" ht="12.75" customHeight="1" x14ac:dyDescent="0.2">
      <c r="A41" s="1897" t="s">
        <v>371</v>
      </c>
      <c r="B41" s="1898"/>
      <c r="C41" s="1396">
        <v>-71</v>
      </c>
      <c r="D41" s="1035">
        <v>-8.4023668639053251E-2</v>
      </c>
      <c r="E41" s="931"/>
      <c r="F41" s="1892">
        <v>774</v>
      </c>
      <c r="G41" s="914">
        <v>854</v>
      </c>
      <c r="H41" s="1205">
        <v>771</v>
      </c>
      <c r="I41" s="1205">
        <v>834</v>
      </c>
      <c r="J41" s="1409">
        <v>845</v>
      </c>
      <c r="K41" s="1906">
        <v>830</v>
      </c>
      <c r="L41" s="1205">
        <v>928</v>
      </c>
      <c r="M41" s="1205">
        <v>866</v>
      </c>
      <c r="N41" s="1409">
        <v>860</v>
      </c>
      <c r="O41" s="1909">
        <v>862</v>
      </c>
      <c r="P41" s="1205">
        <v>769</v>
      </c>
      <c r="Q41" s="1205">
        <v>845</v>
      </c>
      <c r="R41" s="1409">
        <v>742</v>
      </c>
      <c r="S41" s="1906">
        <v>731</v>
      </c>
      <c r="T41" s="1205">
        <v>816</v>
      </c>
      <c r="U41" s="1205">
        <v>790</v>
      </c>
      <c r="V41" s="1409">
        <v>803</v>
      </c>
      <c r="W41" s="1906">
        <v>836</v>
      </c>
      <c r="X41" s="1205">
        <v>634</v>
      </c>
      <c r="Y41" s="1205">
        <v>569</v>
      </c>
      <c r="Z41" s="1409">
        <v>631</v>
      </c>
      <c r="AA41" s="1906">
        <v>555</v>
      </c>
      <c r="AB41" s="1205">
        <v>463</v>
      </c>
      <c r="AC41" s="1205">
        <v>411</v>
      </c>
      <c r="AD41" s="1409">
        <v>360</v>
      </c>
      <c r="AE41" s="1906">
        <v>451</v>
      </c>
      <c r="AF41" s="1205">
        <v>408</v>
      </c>
      <c r="AG41" s="1205">
        <v>354</v>
      </c>
      <c r="AH41" s="1409">
        <v>305.20875765857699</v>
      </c>
      <c r="AI41" s="1009">
        <v>0</v>
      </c>
      <c r="AJ41" s="1009">
        <v>0</v>
      </c>
      <c r="AK41" s="1009">
        <v>0</v>
      </c>
      <c r="AL41" s="1037">
        <v>0</v>
      </c>
      <c r="AM41" s="1009">
        <v>0</v>
      </c>
      <c r="AN41" s="1009">
        <v>0</v>
      </c>
      <c r="AO41" s="1009">
        <v>0</v>
      </c>
      <c r="AP41" s="1037">
        <v>0</v>
      </c>
      <c r="AQ41" s="1009"/>
      <c r="AR41" s="1009"/>
      <c r="AS41" s="1901"/>
      <c r="AT41" s="1037"/>
      <c r="AU41" s="1901"/>
      <c r="AV41" s="1901"/>
      <c r="AW41" s="1901"/>
      <c r="AX41" s="1037"/>
      <c r="AY41" s="1007"/>
      <c r="AZ41" s="1007"/>
      <c r="BA41" s="1007"/>
      <c r="BB41" s="1260"/>
      <c r="BC41" s="1261"/>
      <c r="BD41" s="1260"/>
      <c r="BE41" s="1260"/>
      <c r="BF41" s="1260"/>
      <c r="BG41" s="1905"/>
      <c r="BH41" s="1388"/>
      <c r="BI41" s="1391"/>
      <c r="BJ41" s="1009"/>
      <c r="BK41" s="1902"/>
      <c r="BL41" s="1391"/>
      <c r="BM41" s="1367">
        <v>854</v>
      </c>
      <c r="BN41" s="1367">
        <v>830</v>
      </c>
      <c r="BO41" s="1367">
        <v>862</v>
      </c>
      <c r="BP41" s="1367">
        <v>731</v>
      </c>
      <c r="BQ41" s="1367">
        <v>836</v>
      </c>
      <c r="BR41" s="1038">
        <v>555</v>
      </c>
      <c r="BS41" s="1038">
        <v>451</v>
      </c>
      <c r="BT41" s="1038">
        <v>0</v>
      </c>
      <c r="BU41" s="1038">
        <v>0</v>
      </c>
      <c r="BV41" s="1038">
        <v>0</v>
      </c>
      <c r="BW41" s="1038">
        <v>0</v>
      </c>
      <c r="BX41" s="1413">
        <v>0</v>
      </c>
      <c r="BY41" s="1273"/>
      <c r="BZ41" s="1237"/>
      <c r="CA41" s="1237"/>
      <c r="CB41" s="1237"/>
      <c r="CC41" s="1197"/>
      <c r="CD41" s="2767"/>
      <c r="CG41" s="1819"/>
    </row>
    <row r="42" spans="1:85" s="2304" customFormat="1" ht="12.75" customHeight="1" x14ac:dyDescent="0.2">
      <c r="A42" s="1897" t="s">
        <v>499</v>
      </c>
      <c r="B42" s="1898"/>
      <c r="C42" s="1396">
        <v>1371</v>
      </c>
      <c r="D42" s="1035">
        <v>2.0709969788519637E-2</v>
      </c>
      <c r="E42" s="931"/>
      <c r="F42" s="1159">
        <v>67571</v>
      </c>
      <c r="G42" s="1159">
        <v>65723</v>
      </c>
      <c r="H42" s="1398">
        <v>60184</v>
      </c>
      <c r="I42" s="1398">
        <v>65810</v>
      </c>
      <c r="J42" s="1409">
        <v>66200</v>
      </c>
      <c r="K42" s="1205">
        <v>61274</v>
      </c>
      <c r="L42" s="1205">
        <v>59170</v>
      </c>
      <c r="M42" s="1398">
        <v>54464</v>
      </c>
      <c r="N42" s="1409">
        <v>39284</v>
      </c>
      <c r="O42" s="1413">
        <v>38616</v>
      </c>
      <c r="P42" s="1205">
        <v>36121</v>
      </c>
      <c r="Q42" s="1398">
        <v>34387</v>
      </c>
      <c r="R42" s="1409">
        <v>32969</v>
      </c>
      <c r="S42" s="1398">
        <v>32714</v>
      </c>
      <c r="T42" s="1398">
        <v>34381</v>
      </c>
      <c r="U42" s="1398">
        <v>33219</v>
      </c>
      <c r="V42" s="1409">
        <v>34264</v>
      </c>
      <c r="W42" s="1906">
        <v>33328</v>
      </c>
      <c r="X42" s="1906">
        <v>31251</v>
      </c>
      <c r="Y42" s="1906">
        <v>31746</v>
      </c>
      <c r="Z42" s="1397">
        <v>32075</v>
      </c>
      <c r="AA42" s="1906">
        <v>30871</v>
      </c>
      <c r="AB42" s="1906">
        <v>28983</v>
      </c>
      <c r="AC42" s="1906">
        <v>27493</v>
      </c>
      <c r="AD42" s="1397">
        <v>25810</v>
      </c>
      <c r="AE42" s="1906">
        <v>26816</v>
      </c>
      <c r="AF42" s="1906">
        <v>27039</v>
      </c>
      <c r="AG42" s="1906">
        <v>26820</v>
      </c>
      <c r="AH42" s="1397">
        <v>26025.208757658576</v>
      </c>
      <c r="AI42" s="1906">
        <v>27915.200000000001</v>
      </c>
      <c r="AJ42" s="1906">
        <v>14367</v>
      </c>
      <c r="AK42" s="1906">
        <v>14635</v>
      </c>
      <c r="AL42" s="1397">
        <v>15676</v>
      </c>
      <c r="AM42" s="1906">
        <v>16985</v>
      </c>
      <c r="AN42" s="1906">
        <v>16006</v>
      </c>
      <c r="AO42" s="1906">
        <v>13895</v>
      </c>
      <c r="AP42" s="1397">
        <v>12571</v>
      </c>
      <c r="AQ42" s="1906">
        <v>12922</v>
      </c>
      <c r="AR42" s="1906">
        <v>12210</v>
      </c>
      <c r="AS42" s="1906">
        <v>34.08982035928144</v>
      </c>
      <c r="AT42" s="1397">
        <v>30.86865671641791</v>
      </c>
      <c r="AU42" s="1906">
        <v>27</v>
      </c>
      <c r="AV42" s="1906">
        <v>26</v>
      </c>
      <c r="AW42" s="1906">
        <v>33.970674486803517</v>
      </c>
      <c r="AX42" s="1397">
        <v>41.511299435028249</v>
      </c>
      <c r="AY42" s="1262">
        <v>40</v>
      </c>
      <c r="AZ42" s="1262">
        <v>39</v>
      </c>
      <c r="BA42" s="1262">
        <v>40</v>
      </c>
      <c r="BB42" s="1272">
        <v>42</v>
      </c>
      <c r="BC42" s="1264">
        <v>41</v>
      </c>
      <c r="BD42" s="1272">
        <v>38</v>
      </c>
      <c r="BE42" s="1272">
        <v>37</v>
      </c>
      <c r="BF42" s="1272">
        <v>37</v>
      </c>
      <c r="BG42" s="1909"/>
      <c r="BH42" s="1910">
        <v>9184</v>
      </c>
      <c r="BI42" s="1815">
        <v>14295</v>
      </c>
      <c r="BJ42" s="1398">
        <v>-5111</v>
      </c>
      <c r="BK42" s="1035">
        <v>-0.35753760055963624</v>
      </c>
      <c r="BL42" s="1906"/>
      <c r="BM42" s="1367">
        <v>65723</v>
      </c>
      <c r="BN42" s="1367">
        <v>61274</v>
      </c>
      <c r="BO42" s="1367">
        <v>38616</v>
      </c>
      <c r="BP42" s="1367">
        <v>32714</v>
      </c>
      <c r="BQ42" s="1367">
        <v>33328</v>
      </c>
      <c r="BR42" s="1367">
        <v>30871</v>
      </c>
      <c r="BS42" s="1367">
        <v>26816</v>
      </c>
      <c r="BT42" s="1367">
        <v>27915.200000000001</v>
      </c>
      <c r="BU42" s="1367">
        <v>16985</v>
      </c>
      <c r="BV42" s="1367">
        <v>12922</v>
      </c>
      <c r="BW42" s="1367">
        <v>9184</v>
      </c>
      <c r="BX42" s="1367">
        <v>14295</v>
      </c>
      <c r="BY42" s="1273">
        <v>41</v>
      </c>
      <c r="BZ42" s="1237">
        <v>39</v>
      </c>
      <c r="CA42" s="1237">
        <v>29</v>
      </c>
      <c r="CB42" s="1237">
        <v>25</v>
      </c>
      <c r="CC42" s="1197"/>
      <c r="CD42" s="2767"/>
      <c r="CG42" s="1819"/>
    </row>
    <row r="43" spans="1:85" s="2304" customFormat="1" x14ac:dyDescent="0.2">
      <c r="A43" s="1896"/>
      <c r="B43" s="1201"/>
      <c r="C43" s="1396"/>
      <c r="D43" s="1035"/>
      <c r="E43" s="931"/>
      <c r="F43" s="1892"/>
      <c r="G43" s="1892"/>
      <c r="H43" s="1077"/>
      <c r="I43" s="1906"/>
      <c r="J43" s="1911"/>
      <c r="K43" s="1906"/>
      <c r="L43" s="1077"/>
      <c r="M43" s="1906"/>
      <c r="N43" s="1911"/>
      <c r="O43" s="1909"/>
      <c r="P43" s="1077"/>
      <c r="Q43" s="1906"/>
      <c r="R43" s="1911"/>
      <c r="S43" s="1906"/>
      <c r="T43" s="1906"/>
      <c r="U43" s="1906"/>
      <c r="V43" s="1911"/>
      <c r="W43" s="1906"/>
      <c r="X43" s="1906"/>
      <c r="Y43" s="1906"/>
      <c r="Z43" s="1911"/>
      <c r="AA43" s="1906"/>
      <c r="AB43" s="1906"/>
      <c r="AC43" s="1906"/>
      <c r="AD43" s="1911"/>
      <c r="AE43" s="1906"/>
      <c r="AF43" s="1906"/>
      <c r="AG43" s="1906"/>
      <c r="AH43" s="1911"/>
      <c r="AI43" s="1906"/>
      <c r="AJ43" s="1906"/>
      <c r="AK43" s="1906"/>
      <c r="AL43" s="1911"/>
      <c r="AM43" s="1269"/>
      <c r="AN43" s="1906"/>
      <c r="AO43" s="1906"/>
      <c r="AP43" s="1911"/>
      <c r="AQ43" s="1269"/>
      <c r="AR43" s="1906"/>
      <c r="AS43" s="1906"/>
      <c r="AT43" s="1911"/>
      <c r="AU43" s="1036"/>
      <c r="AV43" s="1906"/>
      <c r="AW43" s="1906"/>
      <c r="AX43" s="1911"/>
      <c r="AY43" s="1262"/>
      <c r="AZ43" s="1262"/>
      <c r="BA43" s="1262"/>
      <c r="BB43" s="1272"/>
      <c r="BC43" s="1264"/>
      <c r="BD43" s="1272"/>
      <c r="BE43" s="1272"/>
      <c r="BF43" s="1272"/>
      <c r="BG43" s="1909"/>
      <c r="BH43" s="1910"/>
      <c r="BI43" s="1815"/>
      <c r="BJ43" s="1398"/>
      <c r="BK43" s="1035"/>
      <c r="BL43" s="1906"/>
      <c r="BM43" s="1367"/>
      <c r="BN43" s="1367"/>
      <c r="BO43" s="1367"/>
      <c r="BP43" s="1367"/>
      <c r="BQ43" s="1367"/>
      <c r="BR43" s="1367"/>
      <c r="BS43" s="1367"/>
      <c r="BT43" s="1367"/>
      <c r="BU43" s="1367"/>
      <c r="BV43" s="1367"/>
      <c r="BW43" s="1367"/>
      <c r="BX43" s="1273"/>
      <c r="BY43" s="1273"/>
      <c r="BZ43" s="1237"/>
      <c r="CA43" s="1237"/>
      <c r="CB43" s="1237"/>
      <c r="CC43" s="1197"/>
      <c r="CD43" s="2767"/>
      <c r="CG43" s="1819"/>
    </row>
    <row r="44" spans="1:85" s="2304" customFormat="1" ht="24" hidden="1" customHeight="1" x14ac:dyDescent="0.2">
      <c r="A44" s="3216" t="s">
        <v>196</v>
      </c>
      <c r="B44" s="3200"/>
      <c r="C44" s="1396"/>
      <c r="D44" s="1035"/>
      <c r="E44" s="931"/>
      <c r="F44" s="1892"/>
      <c r="G44" s="1892"/>
      <c r="H44" s="1077"/>
      <c r="I44" s="1906"/>
      <c r="J44" s="1911"/>
      <c r="K44" s="1906"/>
      <c r="L44" s="1077"/>
      <c r="M44" s="1906"/>
      <c r="N44" s="1911"/>
      <c r="O44" s="1909"/>
      <c r="P44" s="1077"/>
      <c r="Q44" s="1906"/>
      <c r="R44" s="1911"/>
      <c r="S44" s="1906"/>
      <c r="T44" s="1906"/>
      <c r="U44" s="1906"/>
      <c r="V44" s="1911"/>
      <c r="W44" s="1906"/>
      <c r="X44" s="1906"/>
      <c r="Y44" s="1906"/>
      <c r="Z44" s="1911"/>
      <c r="AA44" s="1906"/>
      <c r="AB44" s="1906"/>
      <c r="AC44" s="1906"/>
      <c r="AD44" s="1911"/>
      <c r="AE44" s="1906"/>
      <c r="AF44" s="1906"/>
      <c r="AG44" s="1906"/>
      <c r="AH44" s="1911"/>
      <c r="AI44" s="1906"/>
      <c r="AJ44" s="1906"/>
      <c r="AK44" s="1906"/>
      <c r="AL44" s="1911"/>
      <c r="AM44" s="1036"/>
      <c r="AN44" s="1906"/>
      <c r="AO44" s="1906"/>
      <c r="AP44" s="1911"/>
      <c r="AQ44" s="1036"/>
      <c r="AR44" s="1906"/>
      <c r="AS44" s="1906"/>
      <c r="AT44" s="1911"/>
      <c r="AU44" s="1036"/>
      <c r="AV44" s="1906"/>
      <c r="AW44" s="1906"/>
      <c r="AX44" s="1911"/>
      <c r="AY44" s="1262"/>
      <c r="AZ44" s="1262"/>
      <c r="BA44" s="1262"/>
      <c r="BB44" s="1272"/>
      <c r="BC44" s="1264"/>
      <c r="BD44" s="1272"/>
      <c r="BE44" s="1272"/>
      <c r="BF44" s="1272"/>
      <c r="BG44" s="1909"/>
      <c r="BH44" s="1910"/>
      <c r="BI44" s="1815"/>
      <c r="BJ44" s="1398"/>
      <c r="BK44" s="1035"/>
      <c r="BL44" s="1906"/>
      <c r="BM44" s="1367"/>
      <c r="BN44" s="1367"/>
      <c r="BO44" s="1367"/>
      <c r="BP44" s="1367"/>
      <c r="BQ44" s="1367"/>
      <c r="BR44" s="1367"/>
      <c r="BS44" s="1367"/>
      <c r="BT44" s="1367"/>
      <c r="BU44" s="1367"/>
      <c r="BV44" s="1367"/>
      <c r="BW44" s="1367"/>
      <c r="BX44" s="1273"/>
      <c r="BY44" s="1273"/>
      <c r="BZ44" s="1237"/>
      <c r="CA44" s="1237"/>
      <c r="CB44" s="1237"/>
      <c r="CC44" s="1197"/>
      <c r="CD44" s="2767"/>
      <c r="CG44" s="1819"/>
    </row>
    <row r="45" spans="1:85" s="2304" customFormat="1" hidden="1" x14ac:dyDescent="0.2">
      <c r="A45" s="1896"/>
      <c r="B45" s="1201" t="s">
        <v>113</v>
      </c>
      <c r="C45" s="1396">
        <v>-50</v>
      </c>
      <c r="D45" s="1035">
        <v>-1</v>
      </c>
      <c r="E45" s="931"/>
      <c r="F45" s="1892"/>
      <c r="G45" s="1892"/>
      <c r="H45" s="1906"/>
      <c r="I45" s="1417">
        <v>49</v>
      </c>
      <c r="J45" s="1272">
        <v>50</v>
      </c>
      <c r="K45" s="1906">
        <v>48</v>
      </c>
      <c r="L45" s="1906">
        <v>50</v>
      </c>
      <c r="M45" s="1417">
        <v>47</v>
      </c>
      <c r="N45" s="1272">
        <v>48</v>
      </c>
      <c r="O45" s="1909">
        <v>51</v>
      </c>
      <c r="P45" s="1906">
        <v>51</v>
      </c>
      <c r="Q45" s="1417">
        <v>50</v>
      </c>
      <c r="R45" s="1272">
        <v>49</v>
      </c>
      <c r="S45" s="1906">
        <v>67</v>
      </c>
      <c r="T45" s="1906">
        <v>36</v>
      </c>
      <c r="U45" s="1417">
        <v>51</v>
      </c>
      <c r="V45" s="1272">
        <v>53</v>
      </c>
      <c r="W45" s="1906">
        <v>53</v>
      </c>
      <c r="X45" s="1906">
        <v>55</v>
      </c>
      <c r="Y45" s="1906">
        <v>53</v>
      </c>
      <c r="Z45" s="1272">
        <v>48</v>
      </c>
      <c r="AA45" s="1906">
        <v>52</v>
      </c>
      <c r="AB45" s="1906">
        <v>53</v>
      </c>
      <c r="AC45" s="1906">
        <v>55</v>
      </c>
      <c r="AD45" s="1272">
        <v>57</v>
      </c>
      <c r="AE45" s="1906">
        <v>55</v>
      </c>
      <c r="AF45" s="1906">
        <v>61</v>
      </c>
      <c r="AG45" s="1906">
        <v>71</v>
      </c>
      <c r="AH45" s="1272">
        <v>75</v>
      </c>
      <c r="AI45" s="1906">
        <v>52</v>
      </c>
      <c r="AJ45" s="1906">
        <v>31</v>
      </c>
      <c r="AK45" s="1906">
        <v>29</v>
      </c>
      <c r="AL45" s="1272">
        <v>29</v>
      </c>
      <c r="AM45" s="1906">
        <v>26</v>
      </c>
      <c r="AN45" s="1906">
        <v>24</v>
      </c>
      <c r="AO45" s="1906">
        <v>20</v>
      </c>
      <c r="AP45" s="1272">
        <v>23</v>
      </c>
      <c r="AQ45" s="1906">
        <v>23</v>
      </c>
      <c r="AR45" s="1906">
        <v>23</v>
      </c>
      <c r="AS45" s="1906">
        <v>9</v>
      </c>
      <c r="AT45" s="1272">
        <v>9</v>
      </c>
      <c r="AU45" s="1906">
        <v>9</v>
      </c>
      <c r="AV45" s="1906">
        <v>7</v>
      </c>
      <c r="AW45" s="1906">
        <v>5</v>
      </c>
      <c r="AX45" s="1272">
        <v>5</v>
      </c>
      <c r="AY45" s="1262">
        <v>5</v>
      </c>
      <c r="AZ45" s="1262">
        <v>4</v>
      </c>
      <c r="BA45" s="1262">
        <v>4</v>
      </c>
      <c r="BB45" s="1272">
        <v>3</v>
      </c>
      <c r="BC45" s="1264">
        <v>1</v>
      </c>
      <c r="BD45" s="1272">
        <v>2</v>
      </c>
      <c r="BE45" s="1272">
        <v>2</v>
      </c>
      <c r="BF45" s="1272">
        <v>1</v>
      </c>
      <c r="BG45" s="1909"/>
      <c r="BH45" s="1910">
        <v>9</v>
      </c>
      <c r="BI45" s="1815">
        <v>5</v>
      </c>
      <c r="BJ45" s="1398">
        <v>4</v>
      </c>
      <c r="BK45" s="1035">
        <v>0.8</v>
      </c>
      <c r="BL45" s="1906"/>
      <c r="BM45" s="1367">
        <v>48</v>
      </c>
      <c r="BN45" s="1367">
        <v>48</v>
      </c>
      <c r="BO45" s="1367">
        <v>51</v>
      </c>
      <c r="BP45" s="1367">
        <v>67</v>
      </c>
      <c r="BQ45" s="1367">
        <v>53</v>
      </c>
      <c r="BR45" s="1367">
        <v>52</v>
      </c>
      <c r="BS45" s="1367">
        <v>55</v>
      </c>
      <c r="BT45" s="1367">
        <v>52</v>
      </c>
      <c r="BU45" s="1367">
        <v>26</v>
      </c>
      <c r="BV45" s="1367">
        <v>23</v>
      </c>
      <c r="BW45" s="1367">
        <v>9</v>
      </c>
      <c r="BX45" s="1273">
        <v>5</v>
      </c>
      <c r="BY45" s="1273">
        <v>1</v>
      </c>
      <c r="BZ45" s="1237">
        <v>1</v>
      </c>
      <c r="CA45" s="1237">
        <v>6</v>
      </c>
      <c r="CB45" s="1237">
        <v>5</v>
      </c>
      <c r="CC45" s="1197"/>
      <c r="CD45" s="2768"/>
      <c r="CE45" s="2757"/>
      <c r="CF45" s="2757"/>
      <c r="CG45" s="2741"/>
    </row>
    <row r="46" spans="1:85" s="2304" customFormat="1" hidden="1" x14ac:dyDescent="0.2">
      <c r="A46" s="1896"/>
      <c r="B46" s="1201" t="s">
        <v>114</v>
      </c>
      <c r="C46" s="1396">
        <v>-32</v>
      </c>
      <c r="D46" s="1035">
        <v>-1</v>
      </c>
      <c r="E46" s="920"/>
      <c r="F46" s="1155"/>
      <c r="G46" s="1155"/>
      <c r="H46" s="1230"/>
      <c r="I46" s="1417">
        <v>34</v>
      </c>
      <c r="J46" s="1231">
        <v>34</v>
      </c>
      <c r="K46" s="1230">
        <v>33</v>
      </c>
      <c r="L46" s="1230">
        <v>32</v>
      </c>
      <c r="M46" s="1417">
        <v>31</v>
      </c>
      <c r="N46" s="1231">
        <v>35</v>
      </c>
      <c r="O46" s="1930">
        <v>32</v>
      </c>
      <c r="P46" s="1230">
        <v>31</v>
      </c>
      <c r="Q46" s="1417">
        <v>28</v>
      </c>
      <c r="R46" s="1231">
        <v>29</v>
      </c>
      <c r="S46" s="1230">
        <v>32</v>
      </c>
      <c r="T46" s="1230">
        <v>28</v>
      </c>
      <c r="U46" s="1417">
        <v>37</v>
      </c>
      <c r="V46" s="1231">
        <v>41</v>
      </c>
      <c r="W46" s="1230">
        <v>40</v>
      </c>
      <c r="X46" s="1230">
        <v>41</v>
      </c>
      <c r="Y46" s="1230">
        <v>42</v>
      </c>
      <c r="Z46" s="1231">
        <v>42</v>
      </c>
      <c r="AA46" s="1230">
        <v>43</v>
      </c>
      <c r="AB46" s="1230">
        <v>46</v>
      </c>
      <c r="AC46" s="1230">
        <v>50</v>
      </c>
      <c r="AD46" s="1231">
        <v>51</v>
      </c>
      <c r="AE46" s="1230">
        <v>56</v>
      </c>
      <c r="AF46" s="1230">
        <v>62</v>
      </c>
      <c r="AG46" s="1230">
        <v>65</v>
      </c>
      <c r="AH46" s="1231">
        <v>68</v>
      </c>
      <c r="AI46" s="1230">
        <v>77</v>
      </c>
      <c r="AJ46" s="1230">
        <v>48</v>
      </c>
      <c r="AK46" s="1230">
        <v>41</v>
      </c>
      <c r="AL46" s="1231">
        <v>41</v>
      </c>
      <c r="AM46" s="1230">
        <v>39</v>
      </c>
      <c r="AN46" s="1230">
        <v>35</v>
      </c>
      <c r="AO46" s="1230">
        <v>37</v>
      </c>
      <c r="AP46" s="1231">
        <v>39</v>
      </c>
      <c r="AQ46" s="1230">
        <v>43</v>
      </c>
      <c r="AR46" s="1230">
        <v>45</v>
      </c>
      <c r="AS46" s="1230">
        <v>44</v>
      </c>
      <c r="AT46" s="1231">
        <v>49</v>
      </c>
      <c r="AU46" s="1230">
        <v>51</v>
      </c>
      <c r="AV46" s="1230">
        <v>55</v>
      </c>
      <c r="AW46" s="1230">
        <v>55</v>
      </c>
      <c r="AX46" s="1231">
        <v>58</v>
      </c>
      <c r="AY46" s="1262">
        <v>60</v>
      </c>
      <c r="AZ46" s="1262">
        <v>60</v>
      </c>
      <c r="BA46" s="1262">
        <v>58</v>
      </c>
      <c r="BB46" s="1272">
        <v>57</v>
      </c>
      <c r="BC46" s="1264">
        <v>58</v>
      </c>
      <c r="BD46" s="1272">
        <v>60</v>
      </c>
      <c r="BE46" s="1272">
        <v>60</v>
      </c>
      <c r="BF46" s="1272">
        <v>61</v>
      </c>
      <c r="BG46" s="1390"/>
      <c r="BH46" s="1910">
        <v>51</v>
      </c>
      <c r="BI46" s="1815">
        <v>60</v>
      </c>
      <c r="BJ46" s="1398">
        <v>-9</v>
      </c>
      <c r="BK46" s="1035">
        <v>-0.15</v>
      </c>
      <c r="BL46" s="1815"/>
      <c r="BM46" s="1367">
        <v>33</v>
      </c>
      <c r="BN46" s="1367">
        <v>33</v>
      </c>
      <c r="BO46" s="1367">
        <v>32</v>
      </c>
      <c r="BP46" s="1367">
        <v>32</v>
      </c>
      <c r="BQ46" s="1367">
        <v>40</v>
      </c>
      <c r="BR46" s="1367">
        <v>43</v>
      </c>
      <c r="BS46" s="1367">
        <v>56</v>
      </c>
      <c r="BT46" s="1367">
        <v>77</v>
      </c>
      <c r="BU46" s="1367">
        <v>39</v>
      </c>
      <c r="BV46" s="1367">
        <v>43</v>
      </c>
      <c r="BW46" s="1367">
        <v>51</v>
      </c>
      <c r="BX46" s="1273">
        <v>60</v>
      </c>
      <c r="BY46" s="1273">
        <v>58</v>
      </c>
      <c r="BZ46" s="1237">
        <v>53</v>
      </c>
      <c r="CA46" s="1237">
        <v>51</v>
      </c>
      <c r="CB46" s="1237">
        <v>31</v>
      </c>
      <c r="CC46" s="1197"/>
      <c r="CD46" s="2768"/>
      <c r="CE46" s="2757"/>
      <c r="CF46" s="2757"/>
      <c r="CG46" s="2741"/>
    </row>
    <row r="47" spans="1:85" hidden="1" x14ac:dyDescent="0.2">
      <c r="A47" s="1896"/>
      <c r="B47" s="1201" t="s">
        <v>115</v>
      </c>
      <c r="C47" s="1396">
        <v>-82</v>
      </c>
      <c r="D47" s="1035">
        <v>-1</v>
      </c>
      <c r="E47" s="920"/>
      <c r="F47" s="1167"/>
      <c r="G47" s="1167"/>
      <c r="H47" s="1262"/>
      <c r="I47" s="1417">
        <v>83</v>
      </c>
      <c r="J47" s="1272">
        <v>84</v>
      </c>
      <c r="K47" s="1262">
        <v>81</v>
      </c>
      <c r="L47" s="1262">
        <v>82</v>
      </c>
      <c r="M47" s="1417">
        <v>78</v>
      </c>
      <c r="N47" s="1272">
        <v>83</v>
      </c>
      <c r="O47" s="1264">
        <v>83</v>
      </c>
      <c r="P47" s="1262">
        <v>82</v>
      </c>
      <c r="Q47" s="1417">
        <v>78</v>
      </c>
      <c r="R47" s="1272">
        <v>78</v>
      </c>
      <c r="S47" s="1262">
        <v>99</v>
      </c>
      <c r="T47" s="1262">
        <v>64</v>
      </c>
      <c r="U47" s="1417">
        <v>88</v>
      </c>
      <c r="V47" s="1272">
        <v>94</v>
      </c>
      <c r="W47" s="1262">
        <v>93</v>
      </c>
      <c r="X47" s="1262">
        <v>96</v>
      </c>
      <c r="Y47" s="1262">
        <v>95</v>
      </c>
      <c r="Z47" s="1272">
        <v>90</v>
      </c>
      <c r="AA47" s="1262">
        <v>95</v>
      </c>
      <c r="AB47" s="1262">
        <v>99</v>
      </c>
      <c r="AC47" s="1262">
        <v>105</v>
      </c>
      <c r="AD47" s="1272">
        <v>108</v>
      </c>
      <c r="AE47" s="1262">
        <v>111</v>
      </c>
      <c r="AF47" s="1262">
        <v>123</v>
      </c>
      <c r="AG47" s="1262">
        <v>136</v>
      </c>
      <c r="AH47" s="1272">
        <v>143</v>
      </c>
      <c r="AI47" s="1262">
        <v>129</v>
      </c>
      <c r="AJ47" s="1262">
        <v>79</v>
      </c>
      <c r="AK47" s="1262">
        <v>70</v>
      </c>
      <c r="AL47" s="1272">
        <v>70</v>
      </c>
      <c r="AM47" s="1262">
        <v>65</v>
      </c>
      <c r="AN47" s="1262">
        <v>59</v>
      </c>
      <c r="AO47" s="1262">
        <v>57</v>
      </c>
      <c r="AP47" s="1272">
        <v>62</v>
      </c>
      <c r="AQ47" s="1262">
        <v>66</v>
      </c>
      <c r="AR47" s="1262">
        <v>68</v>
      </c>
      <c r="AS47" s="1262">
        <v>53</v>
      </c>
      <c r="AT47" s="1272">
        <v>58</v>
      </c>
      <c r="AU47" s="1262">
        <v>60</v>
      </c>
      <c r="AV47" s="1262">
        <v>62</v>
      </c>
      <c r="AW47" s="1262">
        <v>60</v>
      </c>
      <c r="AX47" s="1272">
        <v>63</v>
      </c>
      <c r="AY47" s="1262">
        <v>65</v>
      </c>
      <c r="AZ47" s="1262">
        <v>64</v>
      </c>
      <c r="BA47" s="1262">
        <v>62</v>
      </c>
      <c r="BB47" s="1272">
        <v>60</v>
      </c>
      <c r="BC47" s="1264">
        <v>59</v>
      </c>
      <c r="BD47" s="1272">
        <v>62</v>
      </c>
      <c r="BE47" s="1272">
        <v>62</v>
      </c>
      <c r="BF47" s="1272">
        <v>62</v>
      </c>
      <c r="BG47" s="1390"/>
      <c r="BH47" s="1910">
        <v>60</v>
      </c>
      <c r="BI47" s="1815">
        <v>65</v>
      </c>
      <c r="BJ47" s="1398">
        <v>-5</v>
      </c>
      <c r="BK47" s="1035">
        <v>-7.6923076923076927E-2</v>
      </c>
      <c r="BL47" s="1815"/>
      <c r="BM47" s="1367">
        <v>81</v>
      </c>
      <c r="BN47" s="1367">
        <v>81</v>
      </c>
      <c r="BO47" s="1367">
        <v>83</v>
      </c>
      <c r="BP47" s="1367">
        <v>99</v>
      </c>
      <c r="BQ47" s="1367">
        <v>93</v>
      </c>
      <c r="BR47" s="1367">
        <v>95</v>
      </c>
      <c r="BS47" s="1367">
        <v>111</v>
      </c>
      <c r="BT47" s="1367">
        <v>129</v>
      </c>
      <c r="BU47" s="1367">
        <v>65</v>
      </c>
      <c r="BV47" s="1367">
        <v>66</v>
      </c>
      <c r="BW47" s="1367">
        <v>60</v>
      </c>
      <c r="BX47" s="1273">
        <v>65</v>
      </c>
      <c r="BY47" s="1273">
        <v>59</v>
      </c>
      <c r="BZ47" s="1237">
        <v>54</v>
      </c>
      <c r="CA47" s="1237">
        <v>57</v>
      </c>
      <c r="CB47" s="1237">
        <v>36</v>
      </c>
      <c r="CC47" s="1193"/>
      <c r="CD47" s="2728"/>
      <c r="CE47" s="934"/>
      <c r="CF47" s="934"/>
      <c r="CG47" s="2568"/>
    </row>
    <row r="48" spans="1:85" hidden="1" x14ac:dyDescent="0.2">
      <c r="A48" s="1896"/>
      <c r="B48" s="1201"/>
      <c r="C48" s="1396"/>
      <c r="D48" s="1035"/>
      <c r="E48" s="1327"/>
      <c r="F48" s="1893"/>
      <c r="G48" s="1893"/>
      <c r="H48" s="1912"/>
      <c r="I48" s="1912"/>
      <c r="J48" s="1272"/>
      <c r="K48" s="1912"/>
      <c r="L48" s="1912"/>
      <c r="M48" s="1912"/>
      <c r="N48" s="1272"/>
      <c r="O48" s="1390"/>
      <c r="P48" s="1912"/>
      <c r="Q48" s="1912"/>
      <c r="R48" s="1272"/>
      <c r="S48" s="1912"/>
      <c r="T48" s="1912"/>
      <c r="U48" s="1912"/>
      <c r="V48" s="1272"/>
      <c r="W48" s="1912"/>
      <c r="X48" s="1912"/>
      <c r="Y48" s="1912"/>
      <c r="Z48" s="1272"/>
      <c r="AA48" s="1912"/>
      <c r="AB48" s="1912"/>
      <c r="AC48" s="1912"/>
      <c r="AD48" s="1272"/>
      <c r="AE48" s="1912"/>
      <c r="AF48" s="1912"/>
      <c r="AG48" s="1912"/>
      <c r="AH48" s="1272"/>
      <c r="AI48" s="1912"/>
      <c r="AJ48" s="1912"/>
      <c r="AK48" s="1912"/>
      <c r="AL48" s="1272"/>
      <c r="AM48" s="1912"/>
      <c r="AN48" s="1912"/>
      <c r="AO48" s="1912"/>
      <c r="AP48" s="1272"/>
      <c r="AQ48" s="1912"/>
      <c r="AR48" s="1912"/>
      <c r="AS48" s="1912"/>
      <c r="AT48" s="1272"/>
      <c r="AU48" s="1912"/>
      <c r="AV48" s="1912"/>
      <c r="AW48" s="1912"/>
      <c r="AX48" s="1272"/>
      <c r="AY48" s="1262"/>
      <c r="AZ48" s="1262"/>
      <c r="BA48" s="1262"/>
      <c r="BB48" s="1272"/>
      <c r="BC48" s="1264"/>
      <c r="BD48" s="1272"/>
      <c r="BE48" s="1272"/>
      <c r="BF48" s="1272" t="s">
        <v>43</v>
      </c>
      <c r="BG48" s="1390"/>
      <c r="BH48" s="1910"/>
      <c r="BI48" s="1815"/>
      <c r="BJ48" s="1398"/>
      <c r="BK48" s="1035"/>
      <c r="BL48" s="1815"/>
      <c r="BM48" s="1367"/>
      <c r="BN48" s="1367"/>
      <c r="BO48" s="1367"/>
      <c r="BP48" s="1367"/>
      <c r="BQ48" s="1367"/>
      <c r="BR48" s="1367"/>
      <c r="BS48" s="1367"/>
      <c r="BT48" s="1367"/>
      <c r="BU48" s="1367"/>
      <c r="BV48" s="1367"/>
      <c r="BW48" s="1367"/>
      <c r="BX48" s="1273"/>
      <c r="BY48" s="1273"/>
      <c r="BZ48" s="1237"/>
      <c r="CA48" s="1237"/>
      <c r="CB48" s="1237"/>
      <c r="CC48" s="1193"/>
      <c r="CD48" s="2728"/>
      <c r="CE48" s="934"/>
      <c r="CF48" s="934"/>
      <c r="CG48" s="934"/>
    </row>
    <row r="49" spans="1:85" ht="26.25" hidden="1" customHeight="1" x14ac:dyDescent="0.2">
      <c r="A49" s="3216" t="s">
        <v>645</v>
      </c>
      <c r="B49" s="3200"/>
      <c r="C49" s="1396"/>
      <c r="D49" s="1035"/>
      <c r="E49" s="1331"/>
      <c r="F49" s="1893"/>
      <c r="G49" s="1893"/>
      <c r="H49" s="1912"/>
      <c r="I49" s="1912"/>
      <c r="J49" s="1272"/>
      <c r="K49" s="1912"/>
      <c r="L49" s="1912"/>
      <c r="M49" s="1912"/>
      <c r="N49" s="1272"/>
      <c r="O49" s="1390"/>
      <c r="P49" s="1912"/>
      <c r="Q49" s="1912"/>
      <c r="R49" s="1272"/>
      <c r="S49" s="1912"/>
      <c r="T49" s="1912"/>
      <c r="U49" s="1912"/>
      <c r="V49" s="1272"/>
      <c r="W49" s="1912"/>
      <c r="X49" s="1912"/>
      <c r="Y49" s="1912"/>
      <c r="Z49" s="1272"/>
      <c r="AA49" s="1912"/>
      <c r="AB49" s="1912"/>
      <c r="AC49" s="1912"/>
      <c r="AD49" s="1272"/>
      <c r="AE49" s="1912"/>
      <c r="AF49" s="1912"/>
      <c r="AG49" s="1912"/>
      <c r="AH49" s="1272"/>
      <c r="AI49" s="1912"/>
      <c r="AJ49" s="1912"/>
      <c r="AK49" s="1912"/>
      <c r="AL49" s="1272"/>
      <c r="AM49" s="1912"/>
      <c r="AN49" s="1912"/>
      <c r="AO49" s="1912"/>
      <c r="AP49" s="1272"/>
      <c r="AQ49" s="1912"/>
      <c r="AR49" s="1912"/>
      <c r="AS49" s="1912"/>
      <c r="AT49" s="1272"/>
      <c r="AU49" s="1912"/>
      <c r="AV49" s="1912"/>
      <c r="AW49" s="1912"/>
      <c r="AX49" s="1272"/>
      <c r="AY49" s="1262"/>
      <c r="AZ49" s="1262"/>
      <c r="BA49" s="1262"/>
      <c r="BB49" s="1272"/>
      <c r="BC49" s="1264"/>
      <c r="BD49" s="1272"/>
      <c r="BE49" s="1272"/>
      <c r="BF49" s="1272"/>
      <c r="BG49" s="1390"/>
      <c r="BH49" s="1910"/>
      <c r="BI49" s="1815"/>
      <c r="BJ49" s="1398"/>
      <c r="BK49" s="1035"/>
      <c r="BL49" s="1815"/>
      <c r="BM49" s="1367"/>
      <c r="BN49" s="1367"/>
      <c r="BO49" s="1367"/>
      <c r="BP49" s="1367"/>
      <c r="BQ49" s="1367"/>
      <c r="BR49" s="1367"/>
      <c r="BS49" s="1367"/>
      <c r="BT49" s="1367"/>
      <c r="BU49" s="1367"/>
      <c r="BV49" s="1367"/>
      <c r="BW49" s="1367"/>
      <c r="BX49" s="1273"/>
      <c r="BY49" s="1273"/>
      <c r="BZ49" s="1237"/>
      <c r="CA49" s="1237"/>
      <c r="CB49" s="1237"/>
      <c r="CC49" s="1193"/>
      <c r="CD49" s="2728"/>
      <c r="CE49" s="934"/>
      <c r="CF49" s="934"/>
      <c r="CG49" s="934"/>
    </row>
    <row r="50" spans="1:85" hidden="1" x14ac:dyDescent="0.2">
      <c r="A50" s="1896"/>
      <c r="B50" s="1201" t="s">
        <v>116</v>
      </c>
      <c r="C50" s="1396">
        <v>0</v>
      </c>
      <c r="D50" s="1035">
        <v>0</v>
      </c>
      <c r="E50" s="1152"/>
      <c r="F50" s="1169"/>
      <c r="G50" s="1169"/>
      <c r="H50" s="1007"/>
      <c r="I50" s="1417"/>
      <c r="J50" s="1372">
        <v>0</v>
      </c>
      <c r="K50" s="1269">
        <v>0</v>
      </c>
      <c r="L50" s="1007">
        <v>0</v>
      </c>
      <c r="M50" s="1417">
        <v>0</v>
      </c>
      <c r="N50" s="1372">
        <v>0</v>
      </c>
      <c r="O50" s="1265">
        <v>0</v>
      </c>
      <c r="P50" s="1007">
        <v>1</v>
      </c>
      <c r="Q50" s="1417">
        <v>0</v>
      </c>
      <c r="R50" s="1372">
        <v>0</v>
      </c>
      <c r="S50" s="1269">
        <v>0</v>
      </c>
      <c r="T50" s="1007">
        <v>0</v>
      </c>
      <c r="U50" s="1417">
        <v>1</v>
      </c>
      <c r="V50" s="1372">
        <v>1</v>
      </c>
      <c r="W50" s="1269">
        <v>1</v>
      </c>
      <c r="X50" s="1007">
        <v>1</v>
      </c>
      <c r="Y50" s="1417">
        <v>1</v>
      </c>
      <c r="Z50" s="1913">
        <v>1</v>
      </c>
      <c r="AA50" s="1914">
        <v>0</v>
      </c>
      <c r="AB50" s="1007">
        <v>0</v>
      </c>
      <c r="AC50" s="1417">
        <v>0</v>
      </c>
      <c r="AD50" s="1913">
        <v>0</v>
      </c>
      <c r="AE50" s="957">
        <v>0</v>
      </c>
      <c r="AF50" s="1007">
        <v>0</v>
      </c>
      <c r="AG50" s="1009">
        <v>0</v>
      </c>
      <c r="AH50" s="1418">
        <v>0</v>
      </c>
      <c r="AI50" s="1913">
        <v>0</v>
      </c>
      <c r="AJ50" s="1262">
        <v>2</v>
      </c>
      <c r="AK50" s="1205">
        <v>2</v>
      </c>
      <c r="AL50" s="1409">
        <v>1</v>
      </c>
      <c r="AM50" s="1262">
        <v>1</v>
      </c>
      <c r="AN50" s="1262">
        <v>1</v>
      </c>
      <c r="AO50" s="1205">
        <v>1</v>
      </c>
      <c r="AP50" s="1409">
        <v>1</v>
      </c>
      <c r="AQ50" s="1262">
        <v>1</v>
      </c>
      <c r="AR50" s="1915">
        <v>0</v>
      </c>
      <c r="AS50" s="1915">
        <v>0</v>
      </c>
      <c r="AT50" s="1915">
        <v>0</v>
      </c>
      <c r="AU50" s="1916">
        <v>0</v>
      </c>
      <c r="AV50" s="1065">
        <v>0</v>
      </c>
      <c r="AW50" s="1065">
        <v>0</v>
      </c>
      <c r="AX50" s="1035">
        <v>0</v>
      </c>
      <c r="AY50" s="1262">
        <v>1</v>
      </c>
      <c r="AZ50" s="1262">
        <v>1</v>
      </c>
      <c r="BA50" s="1262">
        <v>0</v>
      </c>
      <c r="BB50" s="1272">
        <v>1</v>
      </c>
      <c r="BC50" s="1237">
        <v>0</v>
      </c>
      <c r="BD50" s="1272">
        <v>1</v>
      </c>
      <c r="BE50" s="1272">
        <v>1</v>
      </c>
      <c r="BF50" s="1272">
        <v>1</v>
      </c>
      <c r="BG50" s="1264"/>
      <c r="BH50" s="1910">
        <v>0</v>
      </c>
      <c r="BI50" s="1815">
        <v>1</v>
      </c>
      <c r="BJ50" s="1398">
        <v>-1</v>
      </c>
      <c r="BK50" s="1035" t="s">
        <v>41</v>
      </c>
      <c r="BL50" s="1235"/>
      <c r="BM50" s="1917">
        <v>0</v>
      </c>
      <c r="BN50" s="1917">
        <v>0</v>
      </c>
      <c r="BO50" s="1917">
        <v>0</v>
      </c>
      <c r="BP50" s="1917">
        <v>0</v>
      </c>
      <c r="BQ50" s="1367">
        <v>1</v>
      </c>
      <c r="BR50" s="1372">
        <v>0</v>
      </c>
      <c r="BS50" s="1372">
        <v>0</v>
      </c>
      <c r="BT50" s="1979">
        <v>0</v>
      </c>
      <c r="BU50" s="1367">
        <v>1</v>
      </c>
      <c r="BV50" s="1367">
        <v>1</v>
      </c>
      <c r="BW50" s="1917">
        <v>0</v>
      </c>
      <c r="BX50" s="1249">
        <v>1</v>
      </c>
      <c r="BY50" s="1273">
        <v>0</v>
      </c>
      <c r="BZ50" s="1237">
        <v>1</v>
      </c>
      <c r="CA50" s="1237">
        <v>4</v>
      </c>
      <c r="CB50" s="1237">
        <v>3</v>
      </c>
      <c r="CC50" s="1193"/>
      <c r="CD50" s="2728"/>
      <c r="CE50" s="934"/>
      <c r="CF50" s="934"/>
      <c r="CG50" s="934"/>
    </row>
    <row r="51" spans="1:85" hidden="1" x14ac:dyDescent="0.2">
      <c r="A51" s="1896"/>
      <c r="B51" s="1201" t="s">
        <v>117</v>
      </c>
      <c r="C51" s="1396">
        <v>-32</v>
      </c>
      <c r="D51" s="1035">
        <v>-1</v>
      </c>
      <c r="E51" s="1152"/>
      <c r="F51" s="1167"/>
      <c r="G51" s="1167"/>
      <c r="H51" s="1262"/>
      <c r="I51" s="1262">
        <v>34</v>
      </c>
      <c r="J51" s="1272">
        <v>34</v>
      </c>
      <c r="K51" s="1262">
        <v>33</v>
      </c>
      <c r="L51" s="1262">
        <v>32</v>
      </c>
      <c r="M51" s="1262">
        <v>31</v>
      </c>
      <c r="N51" s="1272">
        <v>35</v>
      </c>
      <c r="O51" s="1264">
        <v>32</v>
      </c>
      <c r="P51" s="1262">
        <v>22</v>
      </c>
      <c r="Q51" s="1262">
        <v>28</v>
      </c>
      <c r="R51" s="1272">
        <v>29</v>
      </c>
      <c r="S51" s="1262">
        <v>32</v>
      </c>
      <c r="T51" s="1262">
        <v>28</v>
      </c>
      <c r="U51" s="1262">
        <v>25</v>
      </c>
      <c r="V51" s="1272">
        <v>27</v>
      </c>
      <c r="W51" s="1262">
        <v>30</v>
      </c>
      <c r="X51" s="1262">
        <v>31</v>
      </c>
      <c r="Y51" s="1262">
        <v>32</v>
      </c>
      <c r="Z51" s="1272">
        <v>33</v>
      </c>
      <c r="AA51" s="1262">
        <v>33</v>
      </c>
      <c r="AB51" s="1262">
        <v>36</v>
      </c>
      <c r="AC51" s="1262">
        <v>40</v>
      </c>
      <c r="AD51" s="1272">
        <v>43</v>
      </c>
      <c r="AE51" s="1262">
        <v>45</v>
      </c>
      <c r="AF51" s="1262">
        <v>50</v>
      </c>
      <c r="AG51" s="1262">
        <v>52</v>
      </c>
      <c r="AH51" s="1272">
        <v>53</v>
      </c>
      <c r="AI51" s="1262">
        <v>62</v>
      </c>
      <c r="AJ51" s="1262">
        <v>35</v>
      </c>
      <c r="AK51" s="1262">
        <v>32</v>
      </c>
      <c r="AL51" s="1272">
        <v>31</v>
      </c>
      <c r="AM51" s="1262">
        <v>30</v>
      </c>
      <c r="AN51" s="1262">
        <v>29</v>
      </c>
      <c r="AO51" s="1262">
        <v>30</v>
      </c>
      <c r="AP51" s="1272">
        <v>32</v>
      </c>
      <c r="AQ51" s="1262">
        <v>35</v>
      </c>
      <c r="AR51" s="1262">
        <v>37</v>
      </c>
      <c r="AS51" s="1262">
        <v>36</v>
      </c>
      <c r="AT51" s="1272">
        <v>41</v>
      </c>
      <c r="AU51" s="1262">
        <v>42</v>
      </c>
      <c r="AV51" s="1262">
        <v>46</v>
      </c>
      <c r="AW51" s="1262">
        <v>45</v>
      </c>
      <c r="AX51" s="1272">
        <v>48</v>
      </c>
      <c r="AY51" s="1262">
        <v>51</v>
      </c>
      <c r="AZ51" s="1262">
        <v>50</v>
      </c>
      <c r="BA51" s="1262">
        <v>51</v>
      </c>
      <c r="BB51" s="1272">
        <v>49</v>
      </c>
      <c r="BC51" s="1264">
        <v>50</v>
      </c>
      <c r="BD51" s="1272">
        <v>51</v>
      </c>
      <c r="BE51" s="1272">
        <v>52</v>
      </c>
      <c r="BF51" s="1272">
        <v>55</v>
      </c>
      <c r="BG51" s="1264"/>
      <c r="BH51" s="1910">
        <v>42</v>
      </c>
      <c r="BI51" s="1815">
        <v>51</v>
      </c>
      <c r="BJ51" s="1398">
        <v>-9</v>
      </c>
      <c r="BK51" s="1035">
        <v>-0.17647058823529413</v>
      </c>
      <c r="BL51" s="1891"/>
      <c r="BM51" s="1367">
        <v>33</v>
      </c>
      <c r="BN51" s="1367">
        <v>33</v>
      </c>
      <c r="BO51" s="1367">
        <v>32</v>
      </c>
      <c r="BP51" s="1367">
        <v>32</v>
      </c>
      <c r="BQ51" s="1367">
        <v>30</v>
      </c>
      <c r="BR51" s="1367">
        <v>33</v>
      </c>
      <c r="BS51" s="1367">
        <v>45</v>
      </c>
      <c r="BT51" s="1367">
        <v>62</v>
      </c>
      <c r="BU51" s="1367">
        <v>30</v>
      </c>
      <c r="BV51" s="1367">
        <v>35</v>
      </c>
      <c r="BW51" s="1367">
        <v>42</v>
      </c>
      <c r="BX51" s="1273">
        <v>51</v>
      </c>
      <c r="BY51" s="1273">
        <v>50</v>
      </c>
      <c r="BZ51" s="1237">
        <v>49</v>
      </c>
      <c r="CA51" s="1237">
        <v>47</v>
      </c>
      <c r="CB51" s="1237">
        <v>24</v>
      </c>
      <c r="CC51" s="1193"/>
      <c r="CD51" s="2728"/>
      <c r="CE51" s="934"/>
      <c r="CF51" s="934"/>
      <c r="CG51" s="934"/>
    </row>
    <row r="52" spans="1:85" hidden="1" x14ac:dyDescent="0.2">
      <c r="A52" s="1201"/>
      <c r="B52" s="1201" t="s">
        <v>201</v>
      </c>
      <c r="C52" s="1396">
        <v>-32</v>
      </c>
      <c r="D52" s="1035">
        <v>-1</v>
      </c>
      <c r="E52" s="1152"/>
      <c r="F52" s="1167"/>
      <c r="G52" s="1167">
        <v>0</v>
      </c>
      <c r="H52" s="1269">
        <v>0</v>
      </c>
      <c r="I52" s="1269">
        <v>34</v>
      </c>
      <c r="J52" s="1272">
        <v>34</v>
      </c>
      <c r="K52" s="1262">
        <v>33</v>
      </c>
      <c r="L52" s="1262">
        <v>32</v>
      </c>
      <c r="M52" s="1269">
        <v>31</v>
      </c>
      <c r="N52" s="1272">
        <v>35</v>
      </c>
      <c r="O52" s="1264">
        <v>32</v>
      </c>
      <c r="P52" s="1262">
        <v>23</v>
      </c>
      <c r="Q52" s="1262">
        <v>28</v>
      </c>
      <c r="R52" s="1272">
        <v>29</v>
      </c>
      <c r="S52" s="1262">
        <v>32</v>
      </c>
      <c r="T52" s="1262">
        <v>28</v>
      </c>
      <c r="U52" s="1262">
        <v>26</v>
      </c>
      <c r="V52" s="1272">
        <v>28</v>
      </c>
      <c r="W52" s="1262">
        <v>31</v>
      </c>
      <c r="X52" s="1262">
        <v>32</v>
      </c>
      <c r="Y52" s="1262">
        <v>33</v>
      </c>
      <c r="Z52" s="1272">
        <v>34</v>
      </c>
      <c r="AA52" s="1262">
        <v>33</v>
      </c>
      <c r="AB52" s="1262">
        <v>36</v>
      </c>
      <c r="AC52" s="1262">
        <v>40</v>
      </c>
      <c r="AD52" s="1272">
        <v>43</v>
      </c>
      <c r="AE52" s="1262">
        <v>45</v>
      </c>
      <c r="AF52" s="1262">
        <v>50</v>
      </c>
      <c r="AG52" s="1262">
        <v>52</v>
      </c>
      <c r="AH52" s="1272">
        <v>53</v>
      </c>
      <c r="AI52" s="1262">
        <v>62</v>
      </c>
      <c r="AJ52" s="1262">
        <v>37</v>
      </c>
      <c r="AK52" s="1262">
        <v>34</v>
      </c>
      <c r="AL52" s="1272">
        <v>32</v>
      </c>
      <c r="AM52" s="1262">
        <v>31</v>
      </c>
      <c r="AN52" s="1262">
        <v>30</v>
      </c>
      <c r="AO52" s="1262">
        <v>31</v>
      </c>
      <c r="AP52" s="1272">
        <v>33</v>
      </c>
      <c r="AQ52" s="1262">
        <v>36</v>
      </c>
      <c r="AR52" s="1262">
        <v>37</v>
      </c>
      <c r="AS52" s="1262">
        <v>36</v>
      </c>
      <c r="AT52" s="1272">
        <v>41</v>
      </c>
      <c r="AU52" s="1262">
        <v>42</v>
      </c>
      <c r="AV52" s="1262">
        <v>46</v>
      </c>
      <c r="AW52" s="1262">
        <v>45</v>
      </c>
      <c r="AX52" s="1272">
        <v>48</v>
      </c>
      <c r="AY52" s="1262">
        <v>52</v>
      </c>
      <c r="AZ52" s="1262">
        <v>51</v>
      </c>
      <c r="BA52" s="1262">
        <v>51</v>
      </c>
      <c r="BB52" s="1272">
        <v>50</v>
      </c>
      <c r="BC52" s="1264">
        <v>50</v>
      </c>
      <c r="BD52" s="1272">
        <v>52</v>
      </c>
      <c r="BE52" s="1272">
        <v>53</v>
      </c>
      <c r="BF52" s="1272">
        <v>56</v>
      </c>
      <c r="BG52" s="1264"/>
      <c r="BH52" s="1910">
        <v>42</v>
      </c>
      <c r="BI52" s="1815">
        <v>52</v>
      </c>
      <c r="BJ52" s="1398">
        <v>-10</v>
      </c>
      <c r="BK52" s="1035">
        <v>-0.19230769230769232</v>
      </c>
      <c r="BL52" s="1891"/>
      <c r="BM52" s="1367">
        <v>33</v>
      </c>
      <c r="BN52" s="1367">
        <v>33</v>
      </c>
      <c r="BO52" s="1367">
        <v>32</v>
      </c>
      <c r="BP52" s="1367">
        <v>32</v>
      </c>
      <c r="BQ52" s="1367">
        <v>31</v>
      </c>
      <c r="BR52" s="1367">
        <v>33</v>
      </c>
      <c r="BS52" s="1367">
        <v>45</v>
      </c>
      <c r="BT52" s="1367">
        <v>62</v>
      </c>
      <c r="BU52" s="1367">
        <v>31</v>
      </c>
      <c r="BV52" s="1367">
        <v>36</v>
      </c>
      <c r="BW52" s="1397">
        <v>42</v>
      </c>
      <c r="BX52" s="1273">
        <v>52</v>
      </c>
      <c r="BY52" s="1273">
        <v>50</v>
      </c>
      <c r="BZ52" s="1237">
        <v>50</v>
      </c>
      <c r="CA52" s="1237">
        <v>51</v>
      </c>
      <c r="CB52" s="1237">
        <v>27</v>
      </c>
      <c r="CC52" s="1193"/>
      <c r="CD52" s="2728"/>
      <c r="CE52" s="934"/>
      <c r="CF52" s="934"/>
      <c r="CG52" s="934"/>
    </row>
    <row r="53" spans="1:85" hidden="1" x14ac:dyDescent="0.2">
      <c r="A53" s="1201"/>
      <c r="B53" s="1201"/>
      <c r="C53" s="1396"/>
      <c r="D53" s="1035"/>
      <c r="E53" s="1152"/>
      <c r="F53" s="1167"/>
      <c r="G53" s="1167"/>
      <c r="H53" s="1262"/>
      <c r="I53" s="1262"/>
      <c r="J53" s="1272"/>
      <c r="K53" s="1262"/>
      <c r="L53" s="1262"/>
      <c r="M53" s="1262"/>
      <c r="N53" s="1272"/>
      <c r="O53" s="1264"/>
      <c r="P53" s="1262"/>
      <c r="Q53" s="1262"/>
      <c r="R53" s="1272"/>
      <c r="S53" s="1262"/>
      <c r="T53" s="1262"/>
      <c r="U53" s="1262"/>
      <c r="V53" s="1272"/>
      <c r="W53" s="1262"/>
      <c r="X53" s="1262"/>
      <c r="Y53" s="1262"/>
      <c r="Z53" s="1272"/>
      <c r="AA53" s="1262"/>
      <c r="AB53" s="1262"/>
      <c r="AC53" s="1262"/>
      <c r="AD53" s="1272"/>
      <c r="AE53" s="1262"/>
      <c r="AF53" s="1262"/>
      <c r="AG53" s="1262"/>
      <c r="AH53" s="1272"/>
      <c r="AI53" s="1262"/>
      <c r="AJ53" s="1262"/>
      <c r="AK53" s="1262"/>
      <c r="AL53" s="1272"/>
      <c r="AM53" s="1262"/>
      <c r="AN53" s="1262"/>
      <c r="AO53" s="1262"/>
      <c r="AP53" s="1272"/>
      <c r="AQ53" s="1262"/>
      <c r="AR53" s="1262"/>
      <c r="AS53" s="1262"/>
      <c r="AT53" s="1272"/>
      <c r="AU53" s="1262"/>
      <c r="AV53" s="1262"/>
      <c r="AW53" s="1262"/>
      <c r="AX53" s="1272"/>
      <c r="AY53" s="1262"/>
      <c r="AZ53" s="1262"/>
      <c r="BA53" s="1262"/>
      <c r="BB53" s="1272"/>
      <c r="BC53" s="1264"/>
      <c r="BD53" s="1272"/>
      <c r="BE53" s="1272"/>
      <c r="BF53" s="1272"/>
      <c r="BG53" s="1264"/>
      <c r="BH53" s="1910"/>
      <c r="BI53" s="1815"/>
      <c r="BJ53" s="1398"/>
      <c r="BK53" s="1035"/>
      <c r="BL53" s="1891"/>
      <c r="BM53" s="1367"/>
      <c r="BN53" s="1367"/>
      <c r="BO53" s="1367"/>
      <c r="BP53" s="1367"/>
      <c r="BQ53" s="1367"/>
      <c r="BR53" s="1367"/>
      <c r="BS53" s="1367"/>
      <c r="BT53" s="1367"/>
      <c r="BU53" s="1367"/>
      <c r="BV53" s="1367"/>
      <c r="BW53" s="1397"/>
      <c r="BX53" s="1273"/>
      <c r="BY53" s="1273"/>
      <c r="BZ53" s="1237"/>
      <c r="CA53" s="1237"/>
      <c r="CB53" s="1237"/>
      <c r="CC53" s="1193"/>
      <c r="CD53" s="2728"/>
      <c r="CE53" s="934"/>
      <c r="CF53" s="934"/>
      <c r="CG53" s="934"/>
    </row>
    <row r="54" spans="1:85" ht="13.5" x14ac:dyDescent="0.2">
      <c r="A54" s="1896" t="s">
        <v>646</v>
      </c>
      <c r="B54" s="1201"/>
      <c r="C54" s="1396"/>
      <c r="D54" s="1035"/>
      <c r="E54" s="1152"/>
      <c r="F54" s="1167"/>
      <c r="G54" s="1167"/>
      <c r="H54" s="1262"/>
      <c r="I54" s="1262"/>
      <c r="J54" s="1272"/>
      <c r="K54" s="1262"/>
      <c r="L54" s="1262"/>
      <c r="M54" s="1262"/>
      <c r="N54" s="1272"/>
      <c r="O54" s="1264"/>
      <c r="P54" s="1262"/>
      <c r="Q54" s="1262"/>
      <c r="R54" s="1272"/>
      <c r="S54" s="1262"/>
      <c r="T54" s="1262"/>
      <c r="U54" s="1262"/>
      <c r="V54" s="1272"/>
      <c r="W54" s="1262"/>
      <c r="X54" s="1262"/>
      <c r="Y54" s="1262"/>
      <c r="Z54" s="1272"/>
      <c r="AA54" s="1262"/>
      <c r="AB54" s="1262"/>
      <c r="AC54" s="1262"/>
      <c r="AD54" s="1272"/>
      <c r="AE54" s="1262"/>
      <c r="AF54" s="1262"/>
      <c r="AG54" s="1262"/>
      <c r="AH54" s="1272"/>
      <c r="AI54" s="1262"/>
      <c r="AJ54" s="1262"/>
      <c r="AK54" s="1262"/>
      <c r="AL54" s="1272"/>
      <c r="AM54" s="1262"/>
      <c r="AN54" s="1262"/>
      <c r="AO54" s="1262"/>
      <c r="AP54" s="1272"/>
      <c r="AQ54" s="1262"/>
      <c r="AR54" s="1262"/>
      <c r="AS54" s="1262"/>
      <c r="AT54" s="1272"/>
      <c r="AU54" s="1262"/>
      <c r="AV54" s="1262"/>
      <c r="AW54" s="1262"/>
      <c r="AX54" s="1272"/>
      <c r="AY54" s="1262"/>
      <c r="AZ54" s="1262"/>
      <c r="BA54" s="1262"/>
      <c r="BB54" s="1272"/>
      <c r="BC54" s="1264"/>
      <c r="BD54" s="1272"/>
      <c r="BE54" s="1272"/>
      <c r="BF54" s="1272"/>
      <c r="BG54" s="1264"/>
      <c r="BH54" s="1910"/>
      <c r="BI54" s="1815"/>
      <c r="BJ54" s="1398"/>
      <c r="BK54" s="1035"/>
      <c r="BL54" s="1891"/>
      <c r="BM54" s="1367"/>
      <c r="BN54" s="1367"/>
      <c r="BO54" s="1367"/>
      <c r="BP54" s="1367"/>
      <c r="BQ54" s="1367"/>
      <c r="BR54" s="1367"/>
      <c r="BS54" s="1367"/>
      <c r="BT54" s="1367"/>
      <c r="BU54" s="1367"/>
      <c r="BV54" s="1367"/>
      <c r="BW54" s="1397"/>
      <c r="BX54" s="1273"/>
      <c r="BY54" s="1273"/>
      <c r="BZ54" s="1237"/>
      <c r="CA54" s="1237"/>
      <c r="CB54" s="1237"/>
      <c r="CC54" s="1193"/>
      <c r="CD54" s="2728"/>
      <c r="CE54" s="934"/>
      <c r="CF54" s="934"/>
      <c r="CG54" s="934"/>
    </row>
    <row r="55" spans="1:85" x14ac:dyDescent="0.2">
      <c r="A55" s="1201"/>
      <c r="B55" s="1201" t="s">
        <v>387</v>
      </c>
      <c r="C55" s="1396">
        <v>-3.6599999999999966E-2</v>
      </c>
      <c r="D55" s="1035">
        <v>-2.0855889224457216E-2</v>
      </c>
      <c r="E55" s="1152"/>
      <c r="F55" s="2313">
        <v>1.7182999999999999</v>
      </c>
      <c r="G55" s="2313">
        <v>1.7319</v>
      </c>
      <c r="H55" s="2213">
        <v>1.6952</v>
      </c>
      <c r="I55" s="2213">
        <v>1.7038</v>
      </c>
      <c r="J55" s="2214">
        <v>1.7548999999999999</v>
      </c>
      <c r="K55" s="2852">
        <v>1.7593000000000001</v>
      </c>
      <c r="L55" s="2213">
        <v>1.6882999999999999</v>
      </c>
      <c r="M55" s="2213">
        <v>1.6397999999999999</v>
      </c>
      <c r="N55" s="2214">
        <v>1.72</v>
      </c>
      <c r="O55" s="2912">
        <v>1.6379999999999999</v>
      </c>
      <c r="P55" s="2213">
        <v>1.6559999999999999</v>
      </c>
      <c r="Q55" s="2213">
        <v>1.71793</v>
      </c>
      <c r="R55" s="2214">
        <v>1.8245066666666669</v>
      </c>
      <c r="S55" s="2213">
        <v>1.9122666666666666</v>
      </c>
      <c r="T55" s="2213">
        <v>2.0266666666666668</v>
      </c>
      <c r="U55" s="2213">
        <v>2.0274000000000001</v>
      </c>
      <c r="V55" s="2214">
        <v>1.9063666666666668</v>
      </c>
      <c r="W55" s="2213">
        <v>1.9065666666666665</v>
      </c>
      <c r="X55" s="2213">
        <v>1.8031131732840873</v>
      </c>
      <c r="Y55" s="2213">
        <v>1.8177572871590177</v>
      </c>
      <c r="Z55" s="2214">
        <v>1.8310433333333334</v>
      </c>
      <c r="AA55" s="2213"/>
      <c r="AB55" s="2213"/>
      <c r="AC55" s="2213"/>
      <c r="AD55" s="2214"/>
      <c r="AE55" s="2213"/>
      <c r="AF55" s="2213"/>
      <c r="AG55" s="2213"/>
      <c r="AH55" s="2214"/>
      <c r="AI55" s="2213"/>
      <c r="AJ55" s="2213"/>
      <c r="AK55" s="2213"/>
      <c r="AL55" s="2214"/>
      <c r="AM55" s="2213"/>
      <c r="AN55" s="2213"/>
      <c r="AO55" s="2213"/>
      <c r="AP55" s="2214"/>
      <c r="AQ55" s="2213"/>
      <c r="AR55" s="2213"/>
      <c r="AS55" s="2213"/>
      <c r="AT55" s="2214"/>
      <c r="AU55" s="2213"/>
      <c r="AV55" s="2213"/>
      <c r="AW55" s="2213"/>
      <c r="AX55" s="2214"/>
      <c r="AY55" s="2213"/>
      <c r="AZ55" s="2213"/>
      <c r="BA55" s="2213"/>
      <c r="BB55" s="2214"/>
      <c r="BC55" s="2215"/>
      <c r="BD55" s="2214"/>
      <c r="BE55" s="2214"/>
      <c r="BF55" s="2214"/>
      <c r="BG55" s="2215"/>
      <c r="BH55" s="2216"/>
      <c r="BI55" s="2217"/>
      <c r="BJ55" s="2218"/>
      <c r="BK55" s="2219"/>
      <c r="BL55" s="2220"/>
      <c r="BM55" s="2221">
        <v>1.7319</v>
      </c>
      <c r="BN55" s="2221">
        <v>1.7593000000000001</v>
      </c>
      <c r="BO55" s="2221">
        <v>1.7091091666666667</v>
      </c>
      <c r="BP55" s="2221">
        <v>1.968175</v>
      </c>
      <c r="BQ55" s="2221">
        <v>1.8396201151107763</v>
      </c>
      <c r="BR55" s="2221">
        <v>1.6910058333333335</v>
      </c>
      <c r="BS55" s="2221">
        <v>1.5852416666666667</v>
      </c>
      <c r="BT55" s="2221">
        <v>1.5874333333333335</v>
      </c>
      <c r="BU55" s="1367"/>
      <c r="BV55" s="1367"/>
      <c r="BW55" s="1397"/>
      <c r="BX55" s="1273"/>
      <c r="BY55" s="1273"/>
      <c r="BZ55" s="1237"/>
      <c r="CA55" s="1237"/>
      <c r="CB55" s="1237"/>
      <c r="CC55" s="1193"/>
      <c r="CD55" s="2728"/>
      <c r="CE55" s="934"/>
      <c r="CF55" s="934"/>
      <c r="CG55" s="934"/>
    </row>
    <row r="56" spans="1:85" x14ac:dyDescent="0.2">
      <c r="A56" s="1201"/>
      <c r="B56" s="1201" t="s">
        <v>388</v>
      </c>
      <c r="C56" s="1396">
        <v>4.7499999999999876E-2</v>
      </c>
      <c r="D56" s="1035">
        <v>3.6827415103116663E-2</v>
      </c>
      <c r="E56" s="1152"/>
      <c r="F56" s="2313">
        <v>1.3372999999999999</v>
      </c>
      <c r="G56" s="2313">
        <v>1.3289</v>
      </c>
      <c r="H56" s="2213">
        <v>1.3268</v>
      </c>
      <c r="I56" s="2213">
        <v>1.3069999999999999</v>
      </c>
      <c r="J56" s="2214">
        <v>1.2898000000000001</v>
      </c>
      <c r="K56" s="2852">
        <v>1.2641</v>
      </c>
      <c r="L56" s="2213">
        <v>1.2715000000000001</v>
      </c>
      <c r="M56" s="2213">
        <v>1.2525999999999999</v>
      </c>
      <c r="N56" s="2214">
        <v>1.3448</v>
      </c>
      <c r="O56" s="2912">
        <v>1.323</v>
      </c>
      <c r="P56" s="2213">
        <v>1.3340000000000001</v>
      </c>
      <c r="Q56" s="2213">
        <v>1.3045666666666669</v>
      </c>
      <c r="R56" s="2214">
        <v>1.2866666666666666</v>
      </c>
      <c r="S56" s="2213">
        <v>1.3499999999999999</v>
      </c>
      <c r="T56" s="2213">
        <v>1.3426666666666665</v>
      </c>
      <c r="U56" s="2213">
        <v>1.3194999999999999</v>
      </c>
      <c r="V56" s="2214">
        <v>1.2335</v>
      </c>
      <c r="W56" s="2213">
        <v>1.2621666666666667</v>
      </c>
      <c r="X56" s="2213">
        <v>1.1441666666666668</v>
      </c>
      <c r="Y56" s="2213">
        <v>1.0983456870866943</v>
      </c>
      <c r="Z56" s="2214">
        <v>1.083</v>
      </c>
      <c r="AA56" s="2213"/>
      <c r="AB56" s="2213"/>
      <c r="AC56" s="2213"/>
      <c r="AD56" s="2214"/>
      <c r="AE56" s="2213"/>
      <c r="AF56" s="2213"/>
      <c r="AG56" s="2213"/>
      <c r="AH56" s="2214"/>
      <c r="AI56" s="2213"/>
      <c r="AJ56" s="2213"/>
      <c r="AK56" s="2213"/>
      <c r="AL56" s="2214"/>
      <c r="AM56" s="2213"/>
      <c r="AN56" s="2213"/>
      <c r="AO56" s="2213"/>
      <c r="AP56" s="2214"/>
      <c r="AQ56" s="2213"/>
      <c r="AR56" s="2213"/>
      <c r="AS56" s="2213"/>
      <c r="AT56" s="2214"/>
      <c r="AU56" s="2213"/>
      <c r="AV56" s="2213"/>
      <c r="AW56" s="2213"/>
      <c r="AX56" s="2214"/>
      <c r="AY56" s="2213"/>
      <c r="AZ56" s="2213"/>
      <c r="BA56" s="2213"/>
      <c r="BB56" s="2214"/>
      <c r="BC56" s="2215"/>
      <c r="BD56" s="2214"/>
      <c r="BE56" s="2214"/>
      <c r="BF56" s="2214"/>
      <c r="BG56" s="2215"/>
      <c r="BH56" s="2216"/>
      <c r="BI56" s="2217"/>
      <c r="BJ56" s="2218"/>
      <c r="BK56" s="2219"/>
      <c r="BL56" s="2220"/>
      <c r="BM56" s="2221">
        <v>1.3289</v>
      </c>
      <c r="BN56" s="2221">
        <v>1.2641</v>
      </c>
      <c r="BO56" s="2221">
        <v>1.3120583333333333</v>
      </c>
      <c r="BP56" s="2221">
        <v>1.3114166666666667</v>
      </c>
      <c r="BQ56" s="2221">
        <v>1.146919755105007</v>
      </c>
      <c r="BR56" s="2221">
        <v>1.0584166666666666</v>
      </c>
      <c r="BS56" s="2221">
        <v>1.0036666666666667</v>
      </c>
      <c r="BT56" s="2221">
        <v>0.98991666666666678</v>
      </c>
      <c r="BU56" s="1367"/>
      <c r="BV56" s="1367"/>
      <c r="BW56" s="1397"/>
      <c r="BX56" s="1273"/>
      <c r="BY56" s="1273"/>
      <c r="BZ56" s="1237"/>
      <c r="CA56" s="1237"/>
      <c r="CB56" s="1237"/>
      <c r="CC56" s="1193"/>
      <c r="CD56" s="2728"/>
      <c r="CE56" s="934"/>
      <c r="CF56" s="934"/>
      <c r="CG56" s="934"/>
    </row>
    <row r="57" spans="1:85" x14ac:dyDescent="0.2">
      <c r="A57" s="940"/>
      <c r="B57" s="1201"/>
      <c r="C57" s="2226"/>
      <c r="D57" s="2227"/>
      <c r="E57" s="1152"/>
      <c r="F57" s="1177"/>
      <c r="G57" s="1177"/>
      <c r="H57" s="1451"/>
      <c r="I57" s="1290"/>
      <c r="J57" s="1301"/>
      <c r="K57" s="1290"/>
      <c r="L57" s="1451"/>
      <c r="M57" s="1290"/>
      <c r="N57" s="1301"/>
      <c r="O57" s="2913"/>
      <c r="P57" s="1451"/>
      <c r="Q57" s="1290"/>
      <c r="R57" s="1301"/>
      <c r="S57" s="1290"/>
      <c r="T57" s="1451"/>
      <c r="U57" s="1290"/>
      <c r="V57" s="1301"/>
      <c r="W57" s="1290"/>
      <c r="X57" s="1290"/>
      <c r="Y57" s="1290"/>
      <c r="Z57" s="1301"/>
      <c r="AA57" s="1290"/>
      <c r="AB57" s="1290"/>
      <c r="AC57" s="1290"/>
      <c r="AD57" s="1301"/>
      <c r="AE57" s="1290"/>
      <c r="AF57" s="1290"/>
      <c r="AG57" s="1290"/>
      <c r="AH57" s="1301"/>
      <c r="AI57" s="1290"/>
      <c r="AJ57" s="1290"/>
      <c r="AK57" s="1290"/>
      <c r="AL57" s="1301"/>
      <c r="AM57" s="1290"/>
      <c r="AN57" s="1290"/>
      <c r="AO57" s="1290"/>
      <c r="AP57" s="1301"/>
      <c r="AQ57" s="1290"/>
      <c r="AR57" s="1290"/>
      <c r="AS57" s="1290"/>
      <c r="AT57" s="1301"/>
      <c r="AU57" s="1290"/>
      <c r="AV57" s="1290"/>
      <c r="AW57" s="1290"/>
      <c r="AX57" s="1301"/>
      <c r="AY57" s="1302"/>
      <c r="AZ57" s="1302"/>
      <c r="BA57" s="1302"/>
      <c r="BB57" s="1301"/>
      <c r="BC57" s="1306"/>
      <c r="BD57" s="1301"/>
      <c r="BE57" s="1301"/>
      <c r="BF57" s="1301"/>
      <c r="BG57" s="1264"/>
      <c r="BH57" s="1305"/>
      <c r="BI57" s="1255"/>
      <c r="BJ57" s="1255"/>
      <c r="BK57" s="1918"/>
      <c r="BL57" s="1891"/>
      <c r="BM57" s="995"/>
      <c r="BN57" s="995"/>
      <c r="BO57" s="995"/>
      <c r="BP57" s="995"/>
      <c r="BQ57" s="995"/>
      <c r="BR57" s="995"/>
      <c r="BS57" s="995"/>
      <c r="BT57" s="995"/>
      <c r="BU57" s="995"/>
      <c r="BV57" s="995"/>
      <c r="BW57" s="1461"/>
      <c r="BX57" s="1306"/>
      <c r="BY57" s="1461"/>
      <c r="BZ57" s="1306"/>
      <c r="CA57" s="1306"/>
      <c r="CB57" s="1306"/>
      <c r="CC57" s="1193"/>
      <c r="CD57" s="2728"/>
      <c r="CE57" s="934"/>
      <c r="CF57" s="934"/>
      <c r="CG57" s="934"/>
    </row>
    <row r="58" spans="1:85" ht="14.25" x14ac:dyDescent="0.2">
      <c r="A58" s="1201" t="s">
        <v>357</v>
      </c>
      <c r="B58" s="1839"/>
      <c r="C58" s="1184"/>
      <c r="D58" s="1184"/>
      <c r="E58" s="1145"/>
      <c r="F58" s="1145"/>
      <c r="G58" s="1145"/>
      <c r="H58" s="1184"/>
      <c r="I58" s="1184"/>
      <c r="J58" s="1184"/>
      <c r="K58" s="1184"/>
      <c r="L58" s="1184"/>
      <c r="M58" s="1184"/>
      <c r="N58" s="1184"/>
      <c r="O58" s="1184"/>
      <c r="P58" s="1184"/>
      <c r="Q58" s="1184"/>
      <c r="R58" s="1184"/>
      <c r="S58" s="1184"/>
      <c r="T58" s="1184"/>
      <c r="U58" s="1184"/>
      <c r="V58" s="1184"/>
      <c r="W58" s="1184"/>
      <c r="X58" s="1184"/>
      <c r="Y58" s="1184"/>
      <c r="Z58" s="1184"/>
      <c r="AA58" s="1184"/>
      <c r="AB58" s="1184"/>
      <c r="AC58" s="1184"/>
      <c r="AD58" s="1184"/>
      <c r="AE58" s="1184"/>
      <c r="AF58" s="1184"/>
      <c r="AG58" s="1184"/>
      <c r="AH58" s="1184"/>
      <c r="AI58" s="1184"/>
      <c r="AJ58" s="1184"/>
      <c r="AK58" s="1184"/>
      <c r="AL58" s="1184"/>
      <c r="AM58" s="1184"/>
      <c r="AN58" s="1184"/>
      <c r="AO58" s="1184"/>
      <c r="AP58" s="1184"/>
      <c r="AQ58" s="1184"/>
      <c r="AR58" s="1184"/>
      <c r="AS58" s="1184"/>
      <c r="AT58" s="1184"/>
      <c r="AU58" s="1184"/>
      <c r="AV58" s="1184"/>
      <c r="AW58" s="1184"/>
      <c r="AX58" s="1184"/>
      <c r="AY58" s="1184"/>
      <c r="AZ58" s="1184"/>
      <c r="BA58" s="1184"/>
      <c r="BB58" s="1184"/>
      <c r="BC58" s="1184"/>
      <c r="BD58" s="1184"/>
      <c r="BE58" s="1184"/>
      <c r="BF58" s="959"/>
      <c r="BG58" s="1184"/>
      <c r="BH58" s="1184"/>
      <c r="BI58" s="1184"/>
      <c r="BJ58" s="1184"/>
      <c r="BK58" s="1184"/>
      <c r="BL58" s="1183"/>
      <c r="BM58" s="1183"/>
      <c r="BN58" s="1183"/>
      <c r="BO58" s="1183"/>
      <c r="BP58" s="1183"/>
      <c r="BQ58" s="1184"/>
      <c r="BR58" s="1184"/>
      <c r="BS58" s="1184"/>
      <c r="BT58" s="1184"/>
      <c r="BU58" s="1184"/>
      <c r="BV58" s="1184"/>
      <c r="BW58" s="1184"/>
      <c r="BX58" s="1020"/>
      <c r="BY58" s="1184"/>
      <c r="BZ58" s="1183"/>
      <c r="CA58" s="1183"/>
      <c r="CB58" s="1183"/>
      <c r="CC58" s="1183"/>
      <c r="CD58" s="2728"/>
      <c r="CE58" s="934"/>
      <c r="CF58" s="934"/>
      <c r="CG58" s="934"/>
    </row>
    <row r="59" spans="1:85" x14ac:dyDescent="0.2">
      <c r="B59" s="1899"/>
      <c r="V59" s="1920"/>
      <c r="Z59" s="1920"/>
      <c r="AD59" s="1920"/>
      <c r="AH59" s="1920"/>
      <c r="AL59" s="1920"/>
      <c r="AP59" s="1920"/>
      <c r="AT59" s="1920"/>
      <c r="BF59" s="1077"/>
      <c r="BG59" s="1357"/>
      <c r="BH59" s="1357"/>
      <c r="BI59" s="1357"/>
      <c r="BX59" s="1311"/>
      <c r="BY59" s="1311"/>
    </row>
    <row r="60" spans="1:85" x14ac:dyDescent="0.2">
      <c r="A60" s="946" t="s">
        <v>709</v>
      </c>
      <c r="V60" s="1920"/>
      <c r="Z60" s="1920"/>
      <c r="AD60" s="1920"/>
      <c r="AH60" s="1920"/>
      <c r="AL60" s="1920"/>
      <c r="AP60" s="1920"/>
      <c r="AT60" s="1920"/>
      <c r="BF60" s="1311"/>
      <c r="BG60" s="1357"/>
      <c r="BH60" s="1357"/>
      <c r="BI60" s="1357"/>
      <c r="BX60" s="1311"/>
      <c r="BY60" s="1311"/>
    </row>
    <row r="61" spans="1:85" x14ac:dyDescent="0.2">
      <c r="E61" s="1180"/>
      <c r="F61" s="1180"/>
      <c r="G61" s="1180"/>
      <c r="H61" s="1920"/>
      <c r="I61" s="1920"/>
      <c r="J61" s="1920"/>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0"/>
      <c r="BF61" s="1311"/>
      <c r="BG61" s="1357"/>
      <c r="BH61" s="1357"/>
      <c r="BI61" s="1357"/>
      <c r="BX61" s="2194"/>
      <c r="BY61" s="2194"/>
    </row>
    <row r="62" spans="1:85" x14ac:dyDescent="0.2">
      <c r="AX62" s="1357"/>
      <c r="AY62" s="1357"/>
      <c r="BC62" s="1357"/>
      <c r="BF62" s="2194"/>
      <c r="BG62" s="1357"/>
      <c r="BH62" s="1357"/>
      <c r="BI62" s="1357"/>
      <c r="BX62" s="2194"/>
      <c r="BY62" s="2194"/>
    </row>
    <row r="63" spans="1:85" x14ac:dyDescent="0.2">
      <c r="V63" s="1920"/>
      <c r="Z63" s="1920"/>
      <c r="AD63" s="1920"/>
      <c r="AH63" s="1920"/>
      <c r="AL63" s="1920"/>
      <c r="AP63" s="1920"/>
      <c r="AT63" s="1920"/>
      <c r="BF63" s="1077"/>
      <c r="BG63" s="1357"/>
      <c r="BH63" s="1357"/>
      <c r="BI63" s="1357"/>
      <c r="BX63" s="2194"/>
      <c r="BY63" s="2194"/>
    </row>
    <row r="64" spans="1:85" x14ac:dyDescent="0.2">
      <c r="V64" s="1920"/>
      <c r="Z64" s="1920"/>
      <c r="AD64" s="1920"/>
      <c r="AH64" s="1920"/>
      <c r="AL64" s="1920"/>
      <c r="AP64" s="1920"/>
      <c r="AT64" s="1920"/>
      <c r="BF64" s="2733"/>
      <c r="BG64" s="1357"/>
      <c r="BH64" s="1357"/>
      <c r="BI64" s="1357"/>
      <c r="BX64" s="1077"/>
      <c r="BY64" s="1077"/>
    </row>
    <row r="65" spans="2:77" x14ac:dyDescent="0.2">
      <c r="V65" s="1920"/>
      <c r="Z65" s="1920"/>
      <c r="AD65" s="1920"/>
      <c r="AH65" s="1920"/>
      <c r="AL65" s="1920"/>
      <c r="AP65" s="1920"/>
      <c r="AT65" s="1920"/>
      <c r="BF65" s="1065"/>
      <c r="BG65" s="1357"/>
      <c r="BH65" s="1357"/>
      <c r="BI65" s="1357"/>
      <c r="BX65" s="1077"/>
      <c r="BY65" s="1077"/>
    </row>
    <row r="66" spans="2:77" x14ac:dyDescent="0.2">
      <c r="V66" s="1920"/>
      <c r="Z66" s="1920"/>
      <c r="AD66" s="1920"/>
      <c r="AH66" s="1920"/>
      <c r="AL66" s="1920"/>
      <c r="AP66" s="1920"/>
      <c r="AT66" s="1920"/>
      <c r="BF66" s="1077"/>
      <c r="BG66" s="1357"/>
      <c r="BH66" s="1357"/>
      <c r="BI66" s="1357"/>
      <c r="BX66" s="1077"/>
      <c r="BY66" s="1077"/>
    </row>
    <row r="67" spans="2:77" x14ac:dyDescent="0.2">
      <c r="V67" s="1920"/>
      <c r="Z67" s="1920"/>
      <c r="AD67" s="1920"/>
      <c r="AH67" s="1920"/>
      <c r="AL67" s="1920"/>
      <c r="AP67" s="1920"/>
      <c r="AT67" s="1920"/>
      <c r="BF67" s="1077"/>
      <c r="BG67" s="1357"/>
      <c r="BH67" s="1357"/>
      <c r="BI67" s="1357"/>
      <c r="BX67" s="1077"/>
      <c r="BY67" s="1077"/>
    </row>
    <row r="68" spans="2:77" x14ac:dyDescent="0.2">
      <c r="V68" s="1920"/>
      <c r="Z68" s="1920"/>
      <c r="AD68" s="1920"/>
      <c r="AH68" s="1920"/>
      <c r="AL68" s="1920"/>
      <c r="AP68" s="1920"/>
      <c r="AT68" s="1920"/>
      <c r="BF68" s="1077"/>
      <c r="BG68" s="1357"/>
      <c r="BH68" s="1357"/>
      <c r="BI68" s="1357"/>
      <c r="BX68" s="1357"/>
      <c r="BY68" s="1357"/>
    </row>
    <row r="69" spans="2:77" x14ac:dyDescent="0.2">
      <c r="V69" s="1920"/>
      <c r="Z69" s="1920"/>
      <c r="AD69" s="1920"/>
      <c r="AH69" s="1920"/>
      <c r="AL69" s="1920"/>
      <c r="AP69" s="1920"/>
      <c r="AT69" s="1920"/>
      <c r="BF69" s="1357"/>
      <c r="BG69" s="1357"/>
      <c r="BH69" s="1357"/>
      <c r="BI69" s="1357"/>
      <c r="BX69" s="1357"/>
      <c r="BY69" s="1357"/>
    </row>
    <row r="70" spans="2:77" x14ac:dyDescent="0.2">
      <c r="V70" s="1920"/>
      <c r="Z70" s="1920"/>
      <c r="AD70" s="1920"/>
      <c r="AH70" s="1920"/>
      <c r="AL70" s="1920"/>
      <c r="AP70" s="1920"/>
      <c r="AT70" s="1920"/>
      <c r="BF70" s="1357"/>
      <c r="BG70" s="1357"/>
      <c r="BH70" s="1357"/>
      <c r="BI70" s="1357"/>
      <c r="BX70" s="1357"/>
      <c r="BY70" s="1357"/>
    </row>
    <row r="71" spans="2:77" x14ac:dyDescent="0.2">
      <c r="V71" s="1920"/>
      <c r="Z71" s="1920"/>
      <c r="AD71" s="1920"/>
      <c r="AH71" s="1920"/>
      <c r="AL71" s="1920"/>
      <c r="AP71" s="1920"/>
      <c r="AT71" s="1920"/>
      <c r="BF71" s="1357"/>
      <c r="BG71" s="1357"/>
      <c r="BH71" s="1357"/>
      <c r="BI71" s="1357"/>
      <c r="BX71" s="1357"/>
      <c r="BY71" s="1357"/>
    </row>
    <row r="72" spans="2:77" x14ac:dyDescent="0.2">
      <c r="V72" s="1920"/>
      <c r="Z72" s="1920"/>
      <c r="AD72" s="1920"/>
      <c r="AH72" s="1920"/>
      <c r="AL72" s="1920"/>
      <c r="AP72" s="1920"/>
      <c r="AT72" s="1920"/>
      <c r="BF72" s="1357"/>
      <c r="BG72" s="1357"/>
      <c r="BH72" s="1357"/>
      <c r="BI72" s="1357"/>
      <c r="BX72" s="1357"/>
      <c r="BY72" s="1357"/>
    </row>
    <row r="73" spans="2:77" x14ac:dyDescent="0.2">
      <c r="V73" s="1920"/>
      <c r="Z73" s="1920"/>
      <c r="AD73" s="1920"/>
      <c r="AH73" s="1920"/>
      <c r="AL73" s="1920"/>
      <c r="AP73" s="1920"/>
      <c r="AT73" s="1920"/>
      <c r="BF73" s="1357"/>
      <c r="BG73" s="1357"/>
      <c r="BH73" s="1357"/>
      <c r="BI73" s="1357"/>
    </row>
    <row r="74" spans="2:77" ht="14.25" x14ac:dyDescent="0.2">
      <c r="B74" s="1199"/>
      <c r="V74" s="1920"/>
      <c r="Z74" s="1920"/>
      <c r="AD74" s="1920"/>
      <c r="AH74" s="1920"/>
      <c r="AL74" s="1920"/>
      <c r="AP74" s="1920"/>
      <c r="AT74" s="1920"/>
    </row>
    <row r="75" spans="2:77" x14ac:dyDescent="0.2">
      <c r="V75" s="1920"/>
      <c r="Z75" s="1920"/>
      <c r="AD75" s="1920"/>
      <c r="AH75" s="1920"/>
      <c r="AL75" s="1920"/>
      <c r="AP75" s="1920"/>
      <c r="AT75" s="1920"/>
    </row>
    <row r="76" spans="2:77" x14ac:dyDescent="0.2">
      <c r="V76" s="1920"/>
      <c r="Z76" s="1920"/>
      <c r="AD76" s="1920"/>
      <c r="AH76" s="1920"/>
      <c r="AL76" s="1920"/>
      <c r="AP76" s="1920"/>
      <c r="AT76" s="1920"/>
    </row>
    <row r="77" spans="2:77" x14ac:dyDescent="0.2">
      <c r="V77" s="1920"/>
      <c r="Z77" s="1920"/>
      <c r="AD77" s="1920"/>
      <c r="AH77" s="1920"/>
      <c r="AL77" s="1920"/>
      <c r="AP77" s="1920"/>
      <c r="AT77" s="1920"/>
    </row>
    <row r="78" spans="2:77" x14ac:dyDescent="0.2">
      <c r="V78" s="1920"/>
      <c r="Z78" s="1920"/>
      <c r="AD78" s="1920"/>
      <c r="AH78" s="1920"/>
      <c r="AL78" s="1920"/>
      <c r="AP78" s="1920"/>
      <c r="AT78" s="1920"/>
    </row>
    <row r="79" spans="2:77" x14ac:dyDescent="0.2">
      <c r="V79" s="1920"/>
      <c r="Z79" s="1920"/>
      <c r="AD79" s="1920"/>
      <c r="AH79" s="1920"/>
      <c r="AL79" s="1920"/>
      <c r="AP79" s="1920"/>
      <c r="AT79" s="1920"/>
    </row>
    <row r="80" spans="2:77" x14ac:dyDescent="0.2">
      <c r="V80" s="1920"/>
      <c r="Z80" s="1920"/>
      <c r="AD80" s="1920"/>
      <c r="AH80" s="1920"/>
      <c r="AL80" s="1920"/>
      <c r="AP80" s="1920"/>
      <c r="AT80" s="1920"/>
    </row>
    <row r="81" spans="21:46" x14ac:dyDescent="0.2">
      <c r="V81" s="1920"/>
      <c r="Z81" s="1920"/>
      <c r="AD81" s="1920"/>
      <c r="AH81" s="1920"/>
      <c r="AL81" s="1920"/>
      <c r="AP81" s="1920"/>
      <c r="AT81" s="1920"/>
    </row>
    <row r="82" spans="21:46" x14ac:dyDescent="0.2">
      <c r="V82" s="1920"/>
      <c r="Z82" s="1920"/>
      <c r="AD82" s="1920"/>
      <c r="AH82" s="1920"/>
      <c r="AL82" s="1920"/>
      <c r="AP82" s="1920"/>
      <c r="AT82" s="1920"/>
    </row>
    <row r="83" spans="21:46" x14ac:dyDescent="0.2">
      <c r="V83" s="1920"/>
      <c r="Z83" s="1920"/>
      <c r="AD83" s="1920"/>
      <c r="AH83" s="1920"/>
      <c r="AL83" s="1920"/>
      <c r="AP83" s="1920"/>
      <c r="AT83" s="1920"/>
    </row>
    <row r="89" spans="21:46" x14ac:dyDescent="0.2">
      <c r="U89" s="1311"/>
    </row>
    <row r="90" spans="21:46" x14ac:dyDescent="0.2">
      <c r="U90" s="1311"/>
    </row>
    <row r="91" spans="21:46" x14ac:dyDescent="0.2">
      <c r="U91" s="1311"/>
    </row>
    <row r="92" spans="21:46" x14ac:dyDescent="0.2">
      <c r="U92" s="1311"/>
    </row>
    <row r="93" spans="21:46" x14ac:dyDescent="0.2">
      <c r="U93" s="1311"/>
    </row>
    <row r="94" spans="21:46" x14ac:dyDescent="0.2">
      <c r="U94" s="1311"/>
    </row>
    <row r="95" spans="21:46" x14ac:dyDescent="0.2">
      <c r="U95" s="1311"/>
    </row>
    <row r="96" spans="21:46" x14ac:dyDescent="0.2">
      <c r="U96" s="1311"/>
    </row>
  </sheetData>
  <mergeCells count="8">
    <mergeCell ref="BJ9:BK9"/>
    <mergeCell ref="A44:B44"/>
    <mergeCell ref="A49:B49"/>
    <mergeCell ref="C9:D9"/>
    <mergeCell ref="BH8:BK8"/>
    <mergeCell ref="C8:D8"/>
    <mergeCell ref="A35:B35"/>
    <mergeCell ref="A17:B17"/>
  </mergeCells>
  <phoneticPr fontId="14" type="noConversion"/>
  <conditionalFormatting sqref="A47:B47 AX43:AX44 AU42:AW45 BL42:BL45 AT43:AT44 AJ39:AS39 BL39 AU39:AW39 BG39 BG42:BG45 A39:A41 AI39:AI40 AI42:AS45 E39:E45 AE39:AH45 H39:J41 G43:J44 G45:H45 G42:I42">
    <cfRule type="cellIs" dxfId="17" priority="20" stopIfTrue="1" operator="equal">
      <formula>0</formula>
    </cfRule>
  </conditionalFormatting>
  <conditionalFormatting sqref="AA39:AD45">
    <cfRule type="cellIs" dxfId="16" priority="19" stopIfTrue="1" operator="equal">
      <formula>0</formula>
    </cfRule>
  </conditionalFormatting>
  <conditionalFormatting sqref="W39:Z45">
    <cfRule type="cellIs" dxfId="15" priority="18" stopIfTrue="1" operator="equal">
      <formula>0</formula>
    </cfRule>
  </conditionalFormatting>
  <conditionalFormatting sqref="S39:V41 S43:V44 S45:T45 V45">
    <cfRule type="cellIs" dxfId="14" priority="17" stopIfTrue="1" operator="equal">
      <formula>0</formula>
    </cfRule>
  </conditionalFormatting>
  <conditionalFormatting sqref="S42:U42">
    <cfRule type="cellIs" dxfId="13" priority="16" stopIfTrue="1" operator="equal">
      <formula>0</formula>
    </cfRule>
  </conditionalFormatting>
  <conditionalFormatting sqref="V42">
    <cfRule type="cellIs" dxfId="12" priority="15" stopIfTrue="1" operator="equal">
      <formula>0</formula>
    </cfRule>
  </conditionalFormatting>
  <conditionalFormatting sqref="O39:R41 O43:R44 O45:P45 R45">
    <cfRule type="cellIs" dxfId="11" priority="14" stopIfTrue="1" operator="equal">
      <formula>0</formula>
    </cfRule>
  </conditionalFormatting>
  <conditionalFormatting sqref="O42:Q42">
    <cfRule type="cellIs" dxfId="10" priority="13" stopIfTrue="1" operator="equal">
      <formula>0</formula>
    </cfRule>
  </conditionalFormatting>
  <conditionalFormatting sqref="R42">
    <cfRule type="cellIs" dxfId="9" priority="12" stopIfTrue="1" operator="equal">
      <formula>0</formula>
    </cfRule>
  </conditionalFormatting>
  <conditionalFormatting sqref="A42">
    <cfRule type="cellIs" dxfId="8" priority="11" stopIfTrue="1" operator="equal">
      <formula>0</formula>
    </cfRule>
  </conditionalFormatting>
  <conditionalFormatting sqref="K39:N41 K43:N44 K45:L45 N45">
    <cfRule type="cellIs" dxfId="7" priority="10" stopIfTrue="1" operator="equal">
      <formula>0</formula>
    </cfRule>
  </conditionalFormatting>
  <conditionalFormatting sqref="K42:M42">
    <cfRule type="cellIs" dxfId="6" priority="9" stopIfTrue="1" operator="equal">
      <formula>0</formula>
    </cfRule>
  </conditionalFormatting>
  <conditionalFormatting sqref="N42">
    <cfRule type="cellIs" dxfId="5" priority="8" stopIfTrue="1" operator="equal">
      <formula>0</formula>
    </cfRule>
  </conditionalFormatting>
  <conditionalFormatting sqref="J45">
    <cfRule type="cellIs" dxfId="4" priority="7" stopIfTrue="1" operator="equal">
      <formula>0</formula>
    </cfRule>
  </conditionalFormatting>
  <conditionalFormatting sqref="J42">
    <cfRule type="cellIs" dxfId="3" priority="5" stopIfTrue="1" operator="equal">
      <formula>0</formula>
    </cfRule>
  </conditionalFormatting>
  <conditionalFormatting sqref="F43:F45">
    <cfRule type="cellIs" dxfId="2" priority="4" stopIfTrue="1" operator="equal">
      <formula>0</formula>
    </cfRule>
  </conditionalFormatting>
  <conditionalFormatting sqref="F39:F41">
    <cfRule type="cellIs" dxfId="1" priority="3" stopIfTrue="1" operator="equal">
      <formula>0</formula>
    </cfRule>
  </conditionalFormatting>
  <conditionalFormatting sqref="F42">
    <cfRule type="cellIs" dxfId="0" priority="1" stopIfTrue="1" operator="equal">
      <formula>0</formula>
    </cfRule>
  </conditionalFormatting>
  <printOptions horizontalCentered="1"/>
  <pageMargins left="0" right="0" top="0.75" bottom="0" header="0" footer="0"/>
  <pageSetup scale="58" orientation="landscape" r:id="rId1"/>
  <headerFooter alignWithMargins="0">
    <oddFooter>&amp;L&amp;F&amp;CPage 15</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2:AM68"/>
  <sheetViews>
    <sheetView topLeftCell="B22" zoomScale="90" zoomScaleNormal="90" workbookViewId="0">
      <selection activeCell="D52" sqref="D52"/>
    </sheetView>
  </sheetViews>
  <sheetFormatPr defaultColWidth="9.140625" defaultRowHeight="12.75" x14ac:dyDescent="0.2"/>
  <cols>
    <col min="1" max="1" width="5.28515625" style="2235" hidden="1" customWidth="1"/>
    <col min="2" max="2" width="5.28515625" style="2235" customWidth="1"/>
    <col min="3" max="3" width="2.7109375" style="83" customWidth="1"/>
    <col min="4" max="4" width="1.7109375" style="83" customWidth="1"/>
    <col min="5" max="11" width="23.28515625" style="83" customWidth="1"/>
    <col min="12" max="12" width="26.85546875" style="83" customWidth="1"/>
    <col min="13" max="13" width="38.140625" style="886" customWidth="1"/>
    <col min="14" max="14" width="3.7109375" style="886" customWidth="1"/>
    <col min="15" max="15" width="3.42578125" style="886" customWidth="1"/>
    <col min="16" max="16" width="10" style="886" customWidth="1"/>
    <col min="17" max="18" width="23.28515625" style="886" customWidth="1"/>
    <col min="19" max="19" width="20.5703125" style="886" bestFit="1" customWidth="1"/>
    <col min="20" max="20" width="16" style="886" customWidth="1"/>
    <col min="21" max="21" width="12.140625" style="886" customWidth="1"/>
    <col min="22" max="22" width="14.5703125" style="893" bestFit="1" customWidth="1"/>
    <col min="23" max="23" width="1.7109375" style="886" customWidth="1"/>
    <col min="24" max="24" width="2.7109375" style="886" customWidth="1"/>
    <col min="25" max="39" width="9.140625" style="886"/>
    <col min="40" max="16384" width="9.140625" style="83"/>
  </cols>
  <sheetData>
    <row r="2" spans="1:36" ht="20.25" x14ac:dyDescent="0.3">
      <c r="F2" s="2236"/>
    </row>
    <row r="3" spans="1:36" ht="15.75" x14ac:dyDescent="0.25">
      <c r="P3" s="2237"/>
    </row>
    <row r="4" spans="1:36" x14ac:dyDescent="0.2">
      <c r="H4" s="2861"/>
      <c r="P4" s="2238"/>
    </row>
    <row r="5" spans="1:36" ht="15" x14ac:dyDescent="0.2">
      <c r="B5" s="2239" t="s">
        <v>362</v>
      </c>
      <c r="D5" s="839"/>
      <c r="E5" s="839"/>
      <c r="F5" s="839"/>
      <c r="G5" s="839"/>
      <c r="H5" s="839"/>
      <c r="I5" s="839"/>
      <c r="J5" s="839"/>
      <c r="K5" s="839"/>
      <c r="L5" s="839"/>
      <c r="M5" s="891"/>
      <c r="N5" s="2777"/>
      <c r="W5" s="891"/>
    </row>
    <row r="6" spans="1:36" ht="15" x14ac:dyDescent="0.2">
      <c r="B6" s="2239" t="s">
        <v>57</v>
      </c>
      <c r="D6" s="839"/>
      <c r="E6" s="839"/>
      <c r="F6" s="839"/>
      <c r="G6" s="839"/>
      <c r="H6" s="839"/>
      <c r="I6" s="839"/>
      <c r="J6" s="839"/>
      <c r="K6" s="839"/>
      <c r="L6" s="839"/>
      <c r="M6" s="891"/>
      <c r="N6" s="2777"/>
      <c r="Q6" s="2777"/>
      <c r="W6" s="891"/>
    </row>
    <row r="7" spans="1:36" x14ac:dyDescent="0.2">
      <c r="A7" s="2865" t="s">
        <v>616</v>
      </c>
      <c r="D7" s="839"/>
      <c r="E7" s="839"/>
      <c r="F7" s="839"/>
      <c r="G7" s="839"/>
      <c r="H7" s="839"/>
      <c r="I7" s="839"/>
      <c r="J7" s="839"/>
      <c r="K7" s="839"/>
      <c r="L7" s="839"/>
      <c r="M7" s="891"/>
      <c r="N7" s="891"/>
      <c r="Q7" s="891"/>
      <c r="W7" s="891"/>
    </row>
    <row r="8" spans="1:36" ht="16.5" customHeight="1" x14ac:dyDescent="0.2">
      <c r="A8" s="2866">
        <v>-1</v>
      </c>
      <c r="B8" s="894">
        <v>-1</v>
      </c>
      <c r="C8" s="509" t="s">
        <v>726</v>
      </c>
      <c r="D8" s="509"/>
      <c r="E8" s="509"/>
      <c r="F8" s="509"/>
      <c r="G8" s="509"/>
      <c r="H8" s="509"/>
      <c r="I8" s="509"/>
      <c r="J8" s="509"/>
      <c r="K8" s="509"/>
      <c r="L8" s="509"/>
      <c r="M8" s="509"/>
      <c r="N8" s="65"/>
      <c r="O8" s="65"/>
      <c r="P8" s="65"/>
      <c r="Q8" s="65"/>
      <c r="R8" s="65"/>
      <c r="S8" s="65"/>
      <c r="T8" s="65"/>
      <c r="U8" s="65"/>
      <c r="V8" s="65"/>
      <c r="W8" s="65"/>
      <c r="X8" s="65"/>
      <c r="Y8" s="65"/>
      <c r="Z8" s="65"/>
      <c r="AA8" s="65"/>
      <c r="AB8" s="65"/>
      <c r="AC8" s="65"/>
      <c r="AD8" s="65"/>
      <c r="AE8" s="65"/>
      <c r="AF8" s="65"/>
      <c r="AG8" s="65"/>
      <c r="AH8" s="65"/>
      <c r="AI8" s="65"/>
      <c r="AJ8" s="65"/>
    </row>
    <row r="9" spans="1:36" ht="16.5" customHeight="1" x14ac:dyDescent="0.2">
      <c r="A9" s="2866"/>
      <c r="B9" s="894"/>
      <c r="C9" s="509" t="s">
        <v>396</v>
      </c>
      <c r="D9" s="509"/>
      <c r="E9" s="509"/>
      <c r="F9" s="509"/>
      <c r="G9" s="509"/>
      <c r="H9" s="509"/>
      <c r="I9" s="509"/>
      <c r="J9" s="509"/>
      <c r="K9" s="509"/>
      <c r="L9" s="509"/>
      <c r="M9" s="509"/>
      <c r="N9" s="65"/>
      <c r="O9" s="65"/>
      <c r="P9" s="65"/>
      <c r="Q9" s="65"/>
      <c r="R9" s="65"/>
      <c r="S9" s="65"/>
      <c r="T9" s="65"/>
      <c r="U9" s="65"/>
      <c r="V9" s="65"/>
      <c r="W9" s="65"/>
      <c r="X9" s="65"/>
      <c r="Y9" s="65"/>
      <c r="Z9" s="65"/>
      <c r="AA9" s="65"/>
      <c r="AB9" s="65"/>
      <c r="AC9" s="65"/>
      <c r="AD9" s="65"/>
      <c r="AE9" s="65"/>
      <c r="AF9" s="65"/>
      <c r="AG9" s="65"/>
      <c r="AH9" s="65"/>
      <c r="AI9" s="65"/>
      <c r="AJ9" s="65"/>
    </row>
    <row r="10" spans="1:36" ht="16.5" customHeight="1" x14ac:dyDescent="0.2">
      <c r="A10" s="2866">
        <v>-2</v>
      </c>
      <c r="B10" s="894">
        <v>-2</v>
      </c>
      <c r="C10" s="514" t="s">
        <v>725</v>
      </c>
      <c r="D10" s="886"/>
      <c r="E10" s="886"/>
      <c r="F10" s="886"/>
      <c r="G10" s="886"/>
      <c r="H10" s="886"/>
      <c r="I10" s="886"/>
      <c r="J10" s="886"/>
      <c r="K10" s="886"/>
      <c r="L10" s="886"/>
      <c r="M10" s="509"/>
      <c r="N10" s="890"/>
      <c r="O10" s="890"/>
      <c r="P10" s="890"/>
      <c r="Q10" s="890"/>
      <c r="R10" s="890"/>
      <c r="S10" s="890"/>
      <c r="T10" s="890"/>
      <c r="U10" s="890"/>
      <c r="V10" s="890"/>
      <c r="W10" s="890"/>
      <c r="X10" s="890"/>
      <c r="Y10" s="890"/>
      <c r="Z10" s="890"/>
      <c r="AA10" s="890"/>
      <c r="AB10" s="890"/>
      <c r="AC10" s="890"/>
      <c r="AD10" s="890"/>
      <c r="AE10" s="890"/>
      <c r="AF10" s="890"/>
      <c r="AG10" s="890"/>
      <c r="AH10" s="890"/>
      <c r="AI10" s="890"/>
      <c r="AJ10" s="512"/>
    </row>
    <row r="11" spans="1:36" ht="16.5" customHeight="1" x14ac:dyDescent="0.2">
      <c r="A11" s="2866"/>
      <c r="B11" s="894"/>
      <c r="C11" s="514" t="s">
        <v>727</v>
      </c>
      <c r="D11" s="886"/>
      <c r="E11" s="886"/>
      <c r="F11" s="886"/>
      <c r="G11" s="886"/>
      <c r="H11" s="886"/>
      <c r="I11" s="886"/>
      <c r="J11" s="886"/>
      <c r="K11" s="886"/>
      <c r="L11" s="886"/>
      <c r="M11" s="509"/>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512"/>
    </row>
    <row r="12" spans="1:36" ht="16.5" customHeight="1" x14ac:dyDescent="0.2">
      <c r="A12" s="2866"/>
      <c r="B12" s="894"/>
      <c r="C12" s="514" t="s">
        <v>728</v>
      </c>
      <c r="D12" s="886"/>
      <c r="E12" s="886"/>
      <c r="F12" s="886"/>
      <c r="G12" s="886"/>
      <c r="H12" s="886"/>
      <c r="I12" s="886"/>
      <c r="J12" s="886"/>
      <c r="K12" s="886"/>
      <c r="L12" s="886"/>
      <c r="M12" s="509"/>
      <c r="N12" s="890"/>
      <c r="O12" s="890"/>
      <c r="P12" s="890"/>
      <c r="Q12" s="890"/>
      <c r="R12" s="890"/>
      <c r="S12" s="890"/>
      <c r="T12" s="890"/>
      <c r="U12" s="890"/>
      <c r="V12" s="890"/>
      <c r="W12" s="890"/>
      <c r="X12" s="890"/>
      <c r="Y12" s="890"/>
      <c r="Z12" s="890"/>
      <c r="AA12" s="890"/>
      <c r="AB12" s="890"/>
      <c r="AC12" s="890"/>
      <c r="AD12" s="890"/>
      <c r="AE12" s="890"/>
      <c r="AF12" s="890"/>
      <c r="AG12" s="890"/>
      <c r="AH12" s="890"/>
      <c r="AI12" s="890"/>
      <c r="AJ12" s="512"/>
    </row>
    <row r="13" spans="1:36" ht="16.5" customHeight="1" x14ac:dyDescent="0.2">
      <c r="A13" s="2866">
        <v>-3</v>
      </c>
      <c r="B13" s="894">
        <v>-3</v>
      </c>
      <c r="C13" s="509" t="s">
        <v>737</v>
      </c>
      <c r="D13" s="509"/>
      <c r="E13" s="509"/>
      <c r="F13" s="509"/>
      <c r="G13" s="509"/>
      <c r="H13" s="509"/>
      <c r="I13" s="509"/>
      <c r="J13" s="509"/>
      <c r="K13" s="509"/>
      <c r="L13" s="509"/>
      <c r="M13" s="509"/>
      <c r="N13" s="82"/>
      <c r="O13" s="82"/>
      <c r="P13" s="82"/>
      <c r="Q13" s="82"/>
      <c r="R13" s="82"/>
      <c r="S13" s="82"/>
      <c r="T13" s="82"/>
      <c r="U13" s="82"/>
      <c r="V13" s="82"/>
      <c r="W13" s="82"/>
      <c r="X13" s="82"/>
      <c r="Y13" s="82"/>
      <c r="Z13" s="82"/>
      <c r="AA13" s="82"/>
      <c r="AB13" s="82"/>
      <c r="AC13" s="82"/>
      <c r="AD13" s="82"/>
      <c r="AE13" s="82"/>
      <c r="AF13" s="82"/>
      <c r="AG13" s="82"/>
      <c r="AH13" s="82"/>
      <c r="AI13" s="82"/>
      <c r="AJ13" s="82"/>
    </row>
    <row r="14" spans="1:36" ht="16.5" customHeight="1" x14ac:dyDescent="0.2">
      <c r="A14" s="2866"/>
      <c r="B14" s="894"/>
      <c r="C14" s="509" t="s">
        <v>738</v>
      </c>
      <c r="D14" s="509"/>
      <c r="E14" s="509"/>
      <c r="F14" s="509"/>
      <c r="G14" s="509"/>
      <c r="H14" s="509"/>
      <c r="I14" s="509"/>
      <c r="J14" s="509"/>
      <c r="K14" s="509"/>
      <c r="L14" s="509"/>
      <c r="M14" s="509"/>
      <c r="N14" s="82"/>
      <c r="O14" s="82"/>
      <c r="P14" s="82"/>
      <c r="Q14" s="82"/>
      <c r="R14" s="82"/>
      <c r="S14" s="82"/>
      <c r="T14" s="82"/>
      <c r="U14" s="82"/>
      <c r="V14" s="82"/>
      <c r="W14" s="82"/>
      <c r="X14" s="82"/>
      <c r="Y14" s="82"/>
      <c r="Z14" s="82"/>
      <c r="AA14" s="82"/>
      <c r="AB14" s="82"/>
      <c r="AC14" s="82"/>
      <c r="AD14" s="82"/>
      <c r="AE14" s="82"/>
      <c r="AF14" s="82"/>
      <c r="AG14" s="82"/>
      <c r="AH14" s="82"/>
      <c r="AI14" s="82"/>
      <c r="AJ14" s="82"/>
    </row>
    <row r="15" spans="1:36" ht="16.5" customHeight="1" x14ac:dyDescent="0.2">
      <c r="A15" s="2866">
        <v>-4</v>
      </c>
      <c r="B15" s="894">
        <v>-4</v>
      </c>
      <c r="C15" s="509" t="s">
        <v>593</v>
      </c>
      <c r="D15" s="509"/>
      <c r="E15" s="509"/>
      <c r="F15" s="509"/>
      <c r="G15" s="509"/>
      <c r="H15" s="509"/>
      <c r="I15" s="509"/>
      <c r="J15" s="509"/>
      <c r="K15" s="509"/>
      <c r="L15" s="509"/>
      <c r="M15" s="509"/>
      <c r="N15" s="65"/>
      <c r="O15" s="65"/>
      <c r="P15" s="65"/>
      <c r="Q15" s="65"/>
      <c r="R15" s="65"/>
      <c r="S15" s="65"/>
      <c r="T15" s="65"/>
      <c r="U15" s="65"/>
      <c r="V15" s="65"/>
      <c r="W15" s="65"/>
      <c r="X15" s="65"/>
      <c r="Y15" s="65"/>
      <c r="Z15" s="65"/>
      <c r="AA15" s="65"/>
      <c r="AB15" s="65"/>
      <c r="AC15" s="65"/>
      <c r="AD15" s="65"/>
      <c r="AE15" s="65"/>
      <c r="AF15" s="65"/>
      <c r="AG15" s="65"/>
      <c r="AH15" s="65"/>
      <c r="AI15" s="65"/>
      <c r="AJ15" s="65"/>
    </row>
    <row r="16" spans="1:36" ht="16.5" customHeight="1" x14ac:dyDescent="0.2">
      <c r="A16" s="2866"/>
      <c r="B16" s="894"/>
      <c r="C16" s="509" t="s">
        <v>729</v>
      </c>
      <c r="D16" s="509"/>
      <c r="E16" s="509"/>
      <c r="F16" s="509"/>
      <c r="G16" s="509"/>
      <c r="H16" s="509"/>
      <c r="I16" s="509"/>
      <c r="J16" s="509"/>
      <c r="K16" s="509"/>
      <c r="L16" s="509"/>
      <c r="M16" s="509"/>
      <c r="N16" s="65"/>
      <c r="O16" s="65"/>
      <c r="P16" s="65"/>
      <c r="Q16" s="65"/>
      <c r="R16" s="65"/>
      <c r="S16" s="65"/>
      <c r="T16" s="65"/>
      <c r="U16" s="65"/>
      <c r="V16" s="65"/>
      <c r="W16" s="65"/>
      <c r="X16" s="65"/>
      <c r="Y16" s="65"/>
      <c r="Z16" s="65"/>
      <c r="AA16" s="65"/>
      <c r="AB16" s="65"/>
      <c r="AC16" s="65"/>
      <c r="AD16" s="65"/>
      <c r="AE16" s="65"/>
      <c r="AF16" s="65"/>
      <c r="AG16" s="65"/>
      <c r="AH16" s="65"/>
      <c r="AI16" s="65"/>
      <c r="AJ16" s="65"/>
    </row>
    <row r="17" spans="1:36" ht="16.5" customHeight="1" x14ac:dyDescent="0.2">
      <c r="A17" s="2866">
        <v>-5</v>
      </c>
      <c r="B17" s="894">
        <v>-5</v>
      </c>
      <c r="C17" s="509" t="s">
        <v>730</v>
      </c>
      <c r="D17" s="509"/>
      <c r="E17" s="509"/>
      <c r="F17" s="509"/>
      <c r="G17" s="509"/>
      <c r="H17" s="509"/>
      <c r="I17" s="509"/>
      <c r="J17" s="509"/>
      <c r="K17" s="509"/>
      <c r="L17" s="509"/>
      <c r="M17" s="509"/>
      <c r="N17" s="891"/>
      <c r="O17" s="891"/>
      <c r="P17" s="891"/>
      <c r="Q17" s="891"/>
      <c r="R17" s="891"/>
      <c r="S17" s="891"/>
      <c r="T17" s="891"/>
      <c r="U17" s="891"/>
      <c r="V17" s="891"/>
      <c r="W17" s="891"/>
      <c r="X17" s="891"/>
      <c r="Y17" s="891"/>
      <c r="Z17" s="891"/>
      <c r="AA17" s="891"/>
      <c r="AB17" s="891"/>
      <c r="AC17" s="891"/>
      <c r="AD17" s="891"/>
      <c r="AE17" s="891"/>
      <c r="AF17" s="891"/>
      <c r="AG17" s="891"/>
      <c r="AH17" s="891"/>
      <c r="AI17" s="891"/>
      <c r="AJ17" s="891"/>
    </row>
    <row r="18" spans="1:36" ht="16.5" customHeight="1" x14ac:dyDescent="0.2">
      <c r="A18" s="2866">
        <v>-6</v>
      </c>
      <c r="B18" s="894">
        <v>-6</v>
      </c>
      <c r="C18" s="509" t="s">
        <v>731</v>
      </c>
      <c r="D18" s="509"/>
      <c r="E18" s="509"/>
      <c r="F18" s="509"/>
      <c r="G18" s="509"/>
      <c r="H18" s="509"/>
      <c r="I18" s="509"/>
      <c r="J18" s="509"/>
      <c r="K18" s="509"/>
      <c r="L18" s="509"/>
      <c r="M18" s="509"/>
      <c r="N18" s="891"/>
      <c r="O18" s="891"/>
      <c r="P18" s="891"/>
      <c r="Q18" s="891"/>
      <c r="R18" s="891"/>
      <c r="S18" s="891"/>
      <c r="T18" s="891"/>
      <c r="U18" s="891"/>
      <c r="V18" s="891"/>
      <c r="W18" s="891"/>
      <c r="X18" s="891"/>
      <c r="Y18" s="891"/>
      <c r="Z18" s="891"/>
      <c r="AA18" s="891"/>
      <c r="AB18" s="891"/>
      <c r="AC18" s="891"/>
      <c r="AD18" s="891"/>
      <c r="AE18" s="891"/>
      <c r="AF18" s="891"/>
      <c r="AG18" s="891"/>
      <c r="AH18" s="891"/>
      <c r="AI18" s="891"/>
      <c r="AJ18" s="891"/>
    </row>
    <row r="19" spans="1:36" ht="44.25" customHeight="1" x14ac:dyDescent="0.2">
      <c r="A19" s="2866">
        <v>-7</v>
      </c>
      <c r="B19" s="3051">
        <v>-7</v>
      </c>
      <c r="C19" s="3221" t="s">
        <v>713</v>
      </c>
      <c r="D19" s="3221"/>
      <c r="E19" s="3221"/>
      <c r="F19" s="3221"/>
      <c r="G19" s="3221"/>
      <c r="H19" s="3221"/>
      <c r="I19" s="3221"/>
      <c r="J19" s="3221"/>
      <c r="K19" s="3221"/>
      <c r="L19" s="3221"/>
      <c r="M19" s="3221"/>
      <c r="N19" s="891"/>
      <c r="O19" s="891"/>
      <c r="P19" s="891"/>
      <c r="Q19" s="891"/>
      <c r="R19" s="891"/>
      <c r="S19" s="891"/>
      <c r="T19" s="891"/>
      <c r="U19" s="891"/>
      <c r="V19" s="891"/>
      <c r="W19" s="891"/>
      <c r="X19" s="891"/>
      <c r="Y19" s="891"/>
      <c r="Z19" s="891"/>
      <c r="AA19" s="891"/>
      <c r="AB19" s="891"/>
      <c r="AC19" s="891"/>
      <c r="AD19" s="891"/>
      <c r="AE19" s="891"/>
      <c r="AF19" s="891"/>
      <c r="AG19" s="891"/>
      <c r="AH19" s="891"/>
      <c r="AI19" s="891"/>
      <c r="AJ19" s="891"/>
    </row>
    <row r="20" spans="1:36" ht="16.5" customHeight="1" x14ac:dyDescent="0.2">
      <c r="A20" s="2866">
        <v>-8</v>
      </c>
      <c r="B20" s="894">
        <v>-8</v>
      </c>
      <c r="C20" s="509" t="s">
        <v>392</v>
      </c>
      <c r="D20" s="509"/>
      <c r="E20" s="509"/>
      <c r="F20" s="509"/>
      <c r="G20" s="509"/>
      <c r="H20" s="509"/>
      <c r="I20" s="509"/>
      <c r="J20" s="509"/>
      <c r="K20" s="509"/>
      <c r="L20" s="509"/>
      <c r="M20" s="509"/>
      <c r="N20" s="65"/>
      <c r="O20" s="65"/>
      <c r="P20" s="65"/>
      <c r="Q20" s="65"/>
      <c r="R20" s="65"/>
      <c r="S20" s="65"/>
      <c r="T20" s="65"/>
      <c r="U20" s="65"/>
      <c r="V20" s="65"/>
      <c r="W20" s="65"/>
      <c r="X20" s="65"/>
      <c r="Y20" s="65"/>
      <c r="Z20" s="65"/>
      <c r="AA20" s="65"/>
      <c r="AB20" s="65"/>
      <c r="AC20" s="65"/>
      <c r="AD20" s="65"/>
      <c r="AE20" s="65"/>
      <c r="AF20" s="65"/>
      <c r="AG20" s="65"/>
      <c r="AH20" s="65"/>
      <c r="AI20" s="65"/>
      <c r="AJ20" s="65"/>
    </row>
    <row r="21" spans="1:36" ht="16.5" customHeight="1" x14ac:dyDescent="0.2">
      <c r="A21" s="2866"/>
      <c r="B21" s="894"/>
      <c r="C21" s="509" t="s">
        <v>375</v>
      </c>
      <c r="D21" s="509"/>
      <c r="E21" s="509"/>
      <c r="F21" s="509"/>
      <c r="G21" s="509"/>
      <c r="H21" s="509"/>
      <c r="I21" s="509"/>
      <c r="J21" s="509"/>
      <c r="K21" s="509"/>
      <c r="L21" s="509"/>
      <c r="M21" s="509"/>
      <c r="N21" s="65"/>
      <c r="O21" s="65"/>
      <c r="P21" s="65"/>
      <c r="Q21" s="65"/>
      <c r="R21" s="65"/>
      <c r="S21" s="65"/>
      <c r="T21" s="65"/>
      <c r="U21" s="65"/>
      <c r="V21" s="65"/>
      <c r="W21" s="65"/>
      <c r="X21" s="65"/>
      <c r="Y21" s="65"/>
      <c r="Z21" s="65"/>
      <c r="AA21" s="65"/>
      <c r="AB21" s="65"/>
      <c r="AC21" s="65"/>
      <c r="AD21" s="65"/>
      <c r="AE21" s="65"/>
      <c r="AF21" s="65"/>
      <c r="AG21" s="65"/>
      <c r="AH21" s="65"/>
      <c r="AI21" s="65"/>
      <c r="AJ21" s="65"/>
    </row>
    <row r="22" spans="1:36" ht="16.5" customHeight="1" x14ac:dyDescent="0.2">
      <c r="A22" s="2866">
        <v>-9</v>
      </c>
      <c r="B22" s="894">
        <v>-9</v>
      </c>
      <c r="C22" s="509" t="s">
        <v>712</v>
      </c>
      <c r="D22" s="509"/>
      <c r="E22" s="509"/>
      <c r="F22" s="509"/>
      <c r="G22" s="509"/>
      <c r="H22" s="509"/>
      <c r="I22" s="509"/>
      <c r="J22" s="509"/>
      <c r="K22" s="509"/>
      <c r="L22" s="509"/>
      <c r="M22" s="509"/>
      <c r="N22" s="65"/>
      <c r="O22" s="65"/>
      <c r="P22" s="65"/>
      <c r="Q22" s="65"/>
      <c r="R22" s="65"/>
      <c r="S22" s="65"/>
      <c r="T22" s="65"/>
      <c r="U22" s="65"/>
      <c r="V22" s="65"/>
      <c r="W22" s="65"/>
      <c r="X22" s="65"/>
      <c r="Y22" s="65"/>
      <c r="Z22" s="65"/>
      <c r="AA22" s="65"/>
      <c r="AB22" s="65"/>
      <c r="AC22" s="65"/>
      <c r="AD22" s="65"/>
      <c r="AE22" s="65"/>
      <c r="AF22" s="65"/>
      <c r="AG22" s="65"/>
      <c r="AH22" s="65"/>
      <c r="AI22" s="65"/>
      <c r="AJ22" s="65"/>
    </row>
    <row r="23" spans="1:36" ht="16.5" hidden="1" customHeight="1" x14ac:dyDescent="0.2">
      <c r="A23" s="2866">
        <v>-10</v>
      </c>
      <c r="B23" s="894">
        <v>-10</v>
      </c>
      <c r="C23" s="851" t="s">
        <v>198</v>
      </c>
      <c r="D23" s="851"/>
      <c r="E23" s="851"/>
      <c r="F23" s="851"/>
      <c r="G23" s="851"/>
      <c r="H23" s="851"/>
      <c r="I23" s="851"/>
      <c r="J23" s="851"/>
      <c r="K23" s="851"/>
      <c r="L23" s="851"/>
      <c r="M23" s="851"/>
      <c r="N23" s="65"/>
      <c r="O23" s="65"/>
      <c r="P23" s="65"/>
      <c r="Q23" s="65"/>
      <c r="R23" s="65"/>
      <c r="S23" s="65"/>
      <c r="T23" s="65"/>
      <c r="U23" s="65"/>
      <c r="V23" s="65"/>
      <c r="W23" s="65"/>
      <c r="X23" s="65"/>
      <c r="Y23" s="65"/>
      <c r="Z23" s="65"/>
      <c r="AA23" s="65"/>
      <c r="AB23" s="65"/>
      <c r="AC23" s="65"/>
      <c r="AD23" s="65"/>
      <c r="AE23" s="65"/>
      <c r="AF23" s="65"/>
      <c r="AG23" s="65"/>
      <c r="AH23" s="65"/>
      <c r="AI23" s="65"/>
      <c r="AJ23" s="65"/>
    </row>
    <row r="24" spans="1:36" ht="16.5" hidden="1" customHeight="1" x14ac:dyDescent="0.2">
      <c r="A24" s="2866">
        <v>-11</v>
      </c>
      <c r="B24" s="894">
        <v>-11</v>
      </c>
      <c r="C24" s="509" t="s">
        <v>198</v>
      </c>
      <c r="D24" s="509"/>
      <c r="E24" s="509"/>
      <c r="F24" s="509"/>
      <c r="G24" s="509"/>
      <c r="H24" s="509"/>
      <c r="I24" s="509"/>
      <c r="J24" s="509"/>
      <c r="K24" s="509"/>
      <c r="L24" s="509"/>
      <c r="M24" s="509"/>
      <c r="N24" s="65"/>
      <c r="O24" s="65"/>
      <c r="P24" s="65"/>
      <c r="Q24" s="65"/>
      <c r="R24" s="65"/>
      <c r="S24" s="65"/>
      <c r="T24" s="65"/>
      <c r="U24" s="65"/>
      <c r="V24" s="65"/>
      <c r="W24" s="65"/>
      <c r="X24" s="65"/>
      <c r="Y24" s="65"/>
      <c r="Z24" s="65"/>
      <c r="AA24" s="65"/>
      <c r="AB24" s="65"/>
      <c r="AC24" s="65"/>
      <c r="AD24" s="65"/>
      <c r="AE24" s="65"/>
      <c r="AF24" s="65"/>
      <c r="AG24" s="65"/>
      <c r="AH24" s="65"/>
      <c r="AI24" s="65"/>
      <c r="AJ24" s="65"/>
    </row>
    <row r="25" spans="1:36" ht="16.5" hidden="1" customHeight="1" x14ac:dyDescent="0.2">
      <c r="A25" s="2866">
        <v>-12</v>
      </c>
      <c r="B25" s="894">
        <v>-12</v>
      </c>
      <c r="C25" s="509" t="s">
        <v>198</v>
      </c>
      <c r="D25" s="509"/>
      <c r="E25" s="509"/>
      <c r="F25" s="509"/>
      <c r="G25" s="509"/>
      <c r="H25" s="509"/>
      <c r="I25" s="509"/>
      <c r="J25" s="509"/>
      <c r="K25" s="509"/>
      <c r="L25" s="509"/>
      <c r="M25" s="509"/>
      <c r="N25" s="65"/>
      <c r="O25" s="65"/>
      <c r="P25" s="65"/>
      <c r="Q25" s="65"/>
      <c r="R25" s="65"/>
      <c r="S25" s="65"/>
      <c r="T25" s="65"/>
      <c r="U25" s="65"/>
      <c r="V25" s="65"/>
      <c r="W25" s="65"/>
      <c r="X25" s="65"/>
      <c r="Y25" s="65"/>
      <c r="Z25" s="65"/>
      <c r="AA25" s="65"/>
      <c r="AB25" s="65"/>
      <c r="AC25" s="65"/>
      <c r="AD25" s="65"/>
      <c r="AE25" s="65"/>
      <c r="AF25" s="65"/>
      <c r="AG25" s="65"/>
      <c r="AH25" s="65"/>
      <c r="AI25" s="65"/>
      <c r="AJ25" s="65"/>
    </row>
    <row r="26" spans="1:36" ht="16.5" hidden="1" customHeight="1" x14ac:dyDescent="0.2">
      <c r="A26" s="2866">
        <v>-13</v>
      </c>
      <c r="B26" s="894">
        <v>-13</v>
      </c>
      <c r="C26" s="509" t="s">
        <v>198</v>
      </c>
      <c r="D26" s="509"/>
      <c r="E26" s="509"/>
      <c r="F26" s="509"/>
      <c r="G26" s="509"/>
      <c r="H26" s="509"/>
      <c r="I26" s="509"/>
      <c r="J26" s="509"/>
      <c r="K26" s="509"/>
      <c r="L26" s="509"/>
      <c r="M26" s="509"/>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row>
    <row r="27" spans="1:36" ht="16.5" customHeight="1" x14ac:dyDescent="0.2">
      <c r="A27" s="2866">
        <v>-14</v>
      </c>
      <c r="B27" s="894">
        <v>-10</v>
      </c>
      <c r="C27" s="509" t="s">
        <v>741</v>
      </c>
      <c r="D27" s="509"/>
      <c r="E27" s="509"/>
      <c r="F27" s="509"/>
      <c r="G27" s="509"/>
      <c r="H27" s="509"/>
      <c r="I27" s="509"/>
      <c r="J27" s="509"/>
      <c r="K27" s="509"/>
      <c r="L27" s="509"/>
      <c r="M27" s="509"/>
      <c r="N27" s="892"/>
      <c r="O27" s="65"/>
      <c r="P27" s="65"/>
      <c r="Q27" s="65"/>
      <c r="R27" s="65"/>
      <c r="S27" s="65"/>
      <c r="T27" s="65"/>
      <c r="U27" s="65"/>
      <c r="V27" s="65"/>
      <c r="W27" s="65"/>
      <c r="X27" s="65"/>
      <c r="Y27" s="892"/>
      <c r="Z27" s="65"/>
      <c r="AA27" s="65"/>
      <c r="AB27" s="65"/>
      <c r="AC27" s="65"/>
      <c r="AD27" s="65"/>
      <c r="AE27" s="65"/>
      <c r="AF27" s="65"/>
      <c r="AG27" s="65"/>
      <c r="AH27" s="65"/>
      <c r="AI27" s="65"/>
      <c r="AJ27" s="892"/>
    </row>
    <row r="28" spans="1:36" ht="16.5" hidden="1" customHeight="1" x14ac:dyDescent="0.2">
      <c r="A28" s="2866"/>
      <c r="B28" s="894"/>
      <c r="C28" s="509"/>
      <c r="D28" s="509"/>
      <c r="E28" s="509"/>
      <c r="F28" s="509"/>
      <c r="G28" s="509"/>
      <c r="H28" s="509"/>
      <c r="I28" s="509"/>
      <c r="J28" s="509"/>
      <c r="K28" s="509"/>
      <c r="L28" s="509"/>
      <c r="M28" s="509"/>
      <c r="N28" s="892"/>
      <c r="O28" s="65"/>
      <c r="P28" s="65"/>
      <c r="Q28" s="65"/>
      <c r="R28" s="65"/>
      <c r="S28" s="65"/>
      <c r="T28" s="65"/>
      <c r="U28" s="65"/>
      <c r="V28" s="65"/>
      <c r="W28" s="65"/>
      <c r="X28" s="65"/>
      <c r="Y28" s="892"/>
      <c r="Z28" s="65"/>
      <c r="AA28" s="65"/>
      <c r="AB28" s="65"/>
      <c r="AC28" s="65"/>
      <c r="AD28" s="65"/>
      <c r="AE28" s="65"/>
      <c r="AF28" s="65"/>
      <c r="AG28" s="65"/>
      <c r="AH28" s="65"/>
      <c r="AI28" s="65"/>
      <c r="AJ28" s="892"/>
    </row>
    <row r="29" spans="1:36" ht="16.5" customHeight="1" x14ac:dyDescent="0.2">
      <c r="A29" s="2866">
        <v>-15</v>
      </c>
      <c r="B29" s="894">
        <v>-11</v>
      </c>
      <c r="C29" s="509" t="s">
        <v>397</v>
      </c>
      <c r="D29" s="509"/>
      <c r="E29" s="509"/>
      <c r="F29" s="509"/>
      <c r="G29" s="509"/>
      <c r="H29" s="509"/>
      <c r="I29" s="509"/>
      <c r="J29" s="509"/>
      <c r="K29" s="509"/>
      <c r="L29" s="509"/>
      <c r="M29" s="509"/>
      <c r="N29" s="892"/>
      <c r="O29" s="65"/>
      <c r="P29" s="65"/>
      <c r="Q29" s="65"/>
      <c r="R29" s="65"/>
      <c r="S29" s="65"/>
      <c r="T29" s="65"/>
      <c r="U29" s="65"/>
      <c r="V29" s="65"/>
      <c r="W29" s="65"/>
      <c r="X29" s="65"/>
      <c r="Y29" s="892"/>
      <c r="Z29" s="65"/>
      <c r="AA29" s="65"/>
      <c r="AB29" s="65"/>
      <c r="AC29" s="65"/>
      <c r="AD29" s="65"/>
      <c r="AE29" s="65"/>
      <c r="AF29" s="65"/>
      <c r="AG29" s="65"/>
      <c r="AH29" s="65"/>
      <c r="AI29" s="65"/>
      <c r="AJ29" s="892"/>
    </row>
    <row r="30" spans="1:36" ht="16.5" hidden="1" customHeight="1" x14ac:dyDescent="0.2">
      <c r="A30" s="2867"/>
      <c r="B30" s="2863"/>
      <c r="C30" s="509"/>
      <c r="D30" s="509"/>
      <c r="E30" s="509"/>
      <c r="F30" s="851"/>
      <c r="G30" s="509"/>
      <c r="H30" s="509"/>
      <c r="I30" s="509"/>
      <c r="J30" s="509"/>
      <c r="K30" s="509"/>
      <c r="L30" s="509"/>
      <c r="M30" s="509"/>
      <c r="N30" s="892"/>
      <c r="O30" s="65"/>
      <c r="P30" s="65"/>
      <c r="Q30" s="65"/>
      <c r="R30" s="65"/>
      <c r="S30" s="65"/>
      <c r="T30" s="65"/>
      <c r="U30" s="65"/>
      <c r="V30" s="65"/>
      <c r="W30" s="65"/>
      <c r="X30" s="65"/>
      <c r="Y30" s="892"/>
      <c r="Z30" s="65"/>
      <c r="AA30" s="65"/>
      <c r="AB30" s="65"/>
      <c r="AC30" s="65"/>
      <c r="AD30" s="65"/>
      <c r="AE30" s="65"/>
      <c r="AF30" s="65"/>
      <c r="AG30" s="65"/>
      <c r="AH30" s="65"/>
      <c r="AI30" s="65"/>
      <c r="AJ30" s="892"/>
    </row>
    <row r="31" spans="1:36" ht="16.5" customHeight="1" x14ac:dyDescent="0.2">
      <c r="A31" s="2866">
        <v>-16</v>
      </c>
      <c r="B31" s="894">
        <v>-12</v>
      </c>
      <c r="C31" s="887" t="s">
        <v>594</v>
      </c>
      <c r="D31" s="887"/>
      <c r="E31" s="887"/>
      <c r="F31" s="887"/>
      <c r="G31" s="887"/>
      <c r="H31" s="887"/>
      <c r="I31" s="887"/>
      <c r="J31" s="887"/>
      <c r="K31" s="887"/>
      <c r="L31" s="887"/>
      <c r="M31" s="887"/>
      <c r="N31" s="892"/>
      <c r="O31" s="65"/>
      <c r="P31" s="65"/>
      <c r="Q31" s="65"/>
      <c r="R31" s="65"/>
      <c r="S31" s="65"/>
      <c r="T31" s="65"/>
      <c r="U31" s="65"/>
      <c r="V31" s="65"/>
      <c r="W31" s="65"/>
      <c r="X31" s="65"/>
      <c r="Y31" s="892"/>
      <c r="Z31" s="65"/>
      <c r="AA31" s="65"/>
      <c r="AB31" s="65"/>
      <c r="AC31" s="65"/>
      <c r="AD31" s="65"/>
      <c r="AE31" s="65"/>
      <c r="AF31" s="65"/>
      <c r="AG31" s="65"/>
      <c r="AH31" s="65"/>
      <c r="AI31" s="65"/>
      <c r="AJ31" s="892"/>
    </row>
    <row r="32" spans="1:36" ht="16.5" customHeight="1" x14ac:dyDescent="0.2">
      <c r="A32" s="2866"/>
      <c r="B32" s="894"/>
      <c r="C32" s="887" t="s">
        <v>549</v>
      </c>
      <c r="D32" s="887"/>
      <c r="E32" s="887"/>
      <c r="F32" s="887"/>
      <c r="G32" s="887"/>
      <c r="H32" s="887"/>
      <c r="I32" s="887"/>
      <c r="J32" s="887"/>
      <c r="K32" s="887"/>
      <c r="L32" s="887"/>
      <c r="M32" s="887"/>
      <c r="N32" s="892"/>
      <c r="O32" s="65"/>
      <c r="P32" s="65"/>
      <c r="Q32" s="65"/>
      <c r="R32" s="65"/>
      <c r="S32" s="65"/>
      <c r="T32" s="65"/>
      <c r="U32" s="65"/>
      <c r="V32" s="65"/>
      <c r="W32" s="65"/>
      <c r="X32" s="65"/>
      <c r="Y32" s="892"/>
      <c r="Z32" s="65"/>
      <c r="AA32" s="65"/>
      <c r="AB32" s="65"/>
      <c r="AC32" s="65"/>
      <c r="AD32" s="65"/>
      <c r="AE32" s="65"/>
      <c r="AF32" s="65"/>
      <c r="AG32" s="65"/>
      <c r="AH32" s="65"/>
      <c r="AI32" s="65"/>
      <c r="AJ32" s="892"/>
    </row>
    <row r="33" spans="1:38" ht="16.5" customHeight="1" x14ac:dyDescent="0.2">
      <c r="A33" s="2866"/>
      <c r="B33" s="894"/>
      <c r="C33" s="887" t="s">
        <v>548</v>
      </c>
      <c r="D33" s="887"/>
      <c r="E33" s="887"/>
      <c r="F33" s="887"/>
      <c r="G33" s="887"/>
      <c r="H33" s="887"/>
      <c r="I33" s="887"/>
      <c r="J33" s="887"/>
      <c r="K33" s="887"/>
      <c r="L33" s="887"/>
      <c r="M33" s="887"/>
      <c r="N33" s="892"/>
      <c r="O33" s="65"/>
      <c r="P33" s="65"/>
      <c r="Q33" s="65"/>
      <c r="R33" s="65"/>
      <c r="S33" s="65"/>
      <c r="T33" s="65"/>
      <c r="U33" s="65"/>
      <c r="V33" s="65"/>
      <c r="W33" s="65"/>
      <c r="X33" s="65"/>
      <c r="Y33" s="892"/>
      <c r="Z33" s="65"/>
      <c r="AA33" s="65"/>
      <c r="AB33" s="65"/>
      <c r="AC33" s="65"/>
      <c r="AD33" s="65"/>
      <c r="AE33" s="65"/>
      <c r="AF33" s="65"/>
      <c r="AG33" s="65"/>
      <c r="AH33" s="65"/>
      <c r="AI33" s="65"/>
      <c r="AJ33" s="892"/>
    </row>
    <row r="34" spans="1:38" ht="16.5" customHeight="1" x14ac:dyDescent="0.2">
      <c r="A34" s="2866"/>
      <c r="B34" s="894"/>
      <c r="C34" s="887" t="s">
        <v>547</v>
      </c>
      <c r="D34" s="887"/>
      <c r="E34" s="887"/>
      <c r="F34" s="887"/>
      <c r="G34" s="887"/>
      <c r="H34" s="509"/>
      <c r="I34" s="887"/>
      <c r="J34" s="887"/>
      <c r="K34" s="887"/>
      <c r="L34" s="887"/>
      <c r="M34" s="887"/>
      <c r="N34" s="892"/>
      <c r="O34" s="65"/>
      <c r="P34" s="65"/>
      <c r="Q34" s="65"/>
      <c r="R34" s="65"/>
      <c r="S34" s="65"/>
      <c r="T34" s="65"/>
      <c r="U34" s="65"/>
      <c r="V34" s="65"/>
      <c r="W34" s="65"/>
      <c r="X34" s="65"/>
      <c r="Y34" s="892"/>
      <c r="Z34" s="65"/>
      <c r="AA34" s="65"/>
      <c r="AB34" s="65"/>
      <c r="AC34" s="65"/>
      <c r="AD34" s="65"/>
      <c r="AE34" s="65"/>
      <c r="AF34" s="65"/>
      <c r="AG34" s="65"/>
      <c r="AH34" s="65"/>
      <c r="AI34" s="65"/>
      <c r="AJ34" s="892"/>
    </row>
    <row r="35" spans="1:38" ht="16.5" customHeight="1" x14ac:dyDescent="0.2">
      <c r="A35" s="2866">
        <v>-17</v>
      </c>
      <c r="B35" s="894">
        <v>-13</v>
      </c>
      <c r="C35" s="509" t="s">
        <v>741</v>
      </c>
      <c r="D35" s="887"/>
      <c r="E35" s="887"/>
      <c r="F35" s="887"/>
      <c r="G35" s="887"/>
      <c r="H35" s="887"/>
      <c r="I35" s="887"/>
      <c r="J35" s="887"/>
      <c r="K35" s="887"/>
      <c r="L35" s="887"/>
      <c r="M35" s="887"/>
      <c r="N35" s="892"/>
      <c r="O35" s="65"/>
      <c r="P35" s="65"/>
      <c r="Q35" s="65"/>
      <c r="R35" s="65"/>
      <c r="S35" s="65"/>
      <c r="T35" s="65"/>
      <c r="U35" s="65"/>
      <c r="V35" s="65"/>
      <c r="W35" s="65"/>
      <c r="X35" s="65"/>
      <c r="Y35" s="892"/>
      <c r="Z35" s="65"/>
      <c r="AA35" s="65"/>
      <c r="AB35" s="65"/>
      <c r="AC35" s="65"/>
      <c r="AD35" s="65"/>
      <c r="AE35" s="65"/>
      <c r="AF35" s="65"/>
      <c r="AG35" s="65"/>
      <c r="AH35" s="65"/>
      <c r="AI35" s="65"/>
      <c r="AJ35" s="892"/>
    </row>
    <row r="36" spans="1:38" ht="16.5" customHeight="1" x14ac:dyDescent="0.2">
      <c r="A36" s="2866">
        <v>-18</v>
      </c>
      <c r="B36" s="894">
        <v>-14</v>
      </c>
      <c r="C36" s="509" t="s">
        <v>732</v>
      </c>
      <c r="D36" s="509"/>
      <c r="E36" s="509"/>
      <c r="F36" s="509"/>
      <c r="G36" s="509"/>
      <c r="H36" s="509"/>
      <c r="I36" s="509"/>
      <c r="J36" s="509"/>
      <c r="K36" s="509"/>
      <c r="L36" s="509"/>
      <c r="M36" s="509"/>
      <c r="N36" s="892"/>
      <c r="O36" s="65"/>
      <c r="P36" s="65"/>
      <c r="Q36" s="65"/>
      <c r="R36" s="65"/>
      <c r="S36" s="65"/>
      <c r="T36" s="65"/>
      <c r="U36" s="65"/>
      <c r="V36" s="65"/>
      <c r="W36" s="65"/>
      <c r="X36" s="65"/>
      <c r="Y36" s="892"/>
      <c r="Z36" s="65"/>
      <c r="AA36" s="65"/>
      <c r="AB36" s="65"/>
      <c r="AC36" s="65"/>
      <c r="AD36" s="65"/>
      <c r="AE36" s="65"/>
      <c r="AF36" s="65"/>
      <c r="AG36" s="65"/>
      <c r="AH36" s="65"/>
      <c r="AI36" s="65"/>
      <c r="AJ36" s="892"/>
      <c r="AK36" s="65"/>
      <c r="AL36" s="65"/>
    </row>
    <row r="37" spans="1:38" ht="16.5" customHeight="1" x14ac:dyDescent="0.2">
      <c r="A37" s="2866"/>
      <c r="B37" s="894"/>
      <c r="C37" s="509" t="s">
        <v>374</v>
      </c>
      <c r="D37" s="509"/>
      <c r="E37" s="509"/>
      <c r="F37" s="509"/>
      <c r="G37" s="509"/>
      <c r="H37" s="509"/>
      <c r="I37" s="509"/>
      <c r="J37" s="509"/>
      <c r="K37" s="509"/>
      <c r="L37" s="509"/>
      <c r="M37" s="509"/>
      <c r="N37" s="892"/>
      <c r="O37" s="65"/>
      <c r="P37" s="65"/>
      <c r="Q37" s="65"/>
      <c r="R37" s="65"/>
      <c r="S37" s="65"/>
      <c r="T37" s="65"/>
      <c r="U37" s="65"/>
      <c r="V37" s="65"/>
      <c r="W37" s="65"/>
      <c r="X37" s="65"/>
      <c r="Y37" s="892"/>
      <c r="Z37" s="65"/>
      <c r="AA37" s="65"/>
      <c r="AB37" s="65"/>
      <c r="AC37" s="65"/>
      <c r="AD37" s="65"/>
      <c r="AE37" s="65"/>
      <c r="AF37" s="65"/>
      <c r="AG37" s="65"/>
      <c r="AH37" s="65"/>
      <c r="AI37" s="65"/>
      <c r="AJ37" s="892"/>
      <c r="AK37" s="65"/>
      <c r="AL37" s="65"/>
    </row>
    <row r="38" spans="1:38" ht="16.5" customHeight="1" x14ac:dyDescent="0.2">
      <c r="A38" s="2866">
        <v>-19</v>
      </c>
      <c r="B38" s="894">
        <v>-15</v>
      </c>
      <c r="C38" s="509" t="s">
        <v>219</v>
      </c>
      <c r="D38" s="509"/>
      <c r="E38" s="509"/>
      <c r="F38" s="509"/>
      <c r="G38" s="509"/>
      <c r="H38" s="509"/>
      <c r="I38" s="509"/>
      <c r="J38" s="509"/>
      <c r="K38" s="509"/>
      <c r="L38" s="509"/>
      <c r="M38" s="509"/>
      <c r="N38" s="892"/>
      <c r="O38" s="65"/>
      <c r="P38" s="65"/>
      <c r="Q38" s="65"/>
      <c r="R38" s="65"/>
      <c r="S38" s="65"/>
      <c r="T38" s="65"/>
      <c r="U38" s="65"/>
      <c r="V38" s="65"/>
      <c r="W38" s="65"/>
      <c r="X38" s="65"/>
      <c r="Y38" s="892"/>
      <c r="Z38" s="65"/>
      <c r="AA38" s="65"/>
      <c r="AB38" s="65"/>
      <c r="AC38" s="65"/>
      <c r="AD38" s="65"/>
      <c r="AE38" s="65"/>
      <c r="AF38" s="65"/>
      <c r="AG38" s="65"/>
      <c r="AH38" s="65"/>
      <c r="AI38" s="65"/>
      <c r="AJ38" s="892"/>
      <c r="AK38" s="65"/>
      <c r="AL38" s="65"/>
    </row>
    <row r="39" spans="1:38" ht="16.5" customHeight="1" x14ac:dyDescent="0.2">
      <c r="A39" s="514"/>
      <c r="B39" s="2864"/>
      <c r="C39" s="509" t="s">
        <v>220</v>
      </c>
      <c r="D39" s="509"/>
      <c r="E39" s="509"/>
      <c r="F39" s="509"/>
      <c r="G39" s="509"/>
      <c r="H39" s="509"/>
      <c r="I39" s="509"/>
      <c r="J39" s="509"/>
      <c r="K39" s="509"/>
      <c r="L39" s="509"/>
      <c r="M39" s="509"/>
      <c r="N39" s="892"/>
      <c r="O39" s="65"/>
      <c r="P39" s="65"/>
      <c r="Q39" s="65"/>
      <c r="R39" s="65"/>
      <c r="S39" s="65"/>
      <c r="T39" s="65"/>
      <c r="U39" s="65"/>
      <c r="V39" s="65"/>
      <c r="W39" s="65"/>
      <c r="X39" s="65"/>
      <c r="Y39" s="892"/>
      <c r="Z39" s="65"/>
      <c r="AA39" s="65"/>
      <c r="AB39" s="65"/>
      <c r="AC39" s="65"/>
      <c r="AD39" s="65"/>
      <c r="AE39" s="65"/>
      <c r="AF39" s="65"/>
      <c r="AG39" s="65"/>
      <c r="AH39" s="65"/>
      <c r="AI39" s="65"/>
      <c r="AJ39" s="892"/>
      <c r="AK39" s="65"/>
      <c r="AL39" s="65"/>
    </row>
    <row r="40" spans="1:38" ht="16.5" customHeight="1" x14ac:dyDescent="0.2">
      <c r="A40" s="2866">
        <v>-20</v>
      </c>
      <c r="B40" s="894">
        <v>-16</v>
      </c>
      <c r="C40" s="509" t="s">
        <v>741</v>
      </c>
      <c r="D40" s="509"/>
      <c r="E40" s="509"/>
      <c r="F40" s="509"/>
      <c r="G40" s="509"/>
      <c r="H40" s="509"/>
      <c r="I40" s="509"/>
      <c r="J40" s="509"/>
      <c r="K40" s="509"/>
      <c r="L40" s="509"/>
      <c r="M40" s="509"/>
      <c r="N40" s="892"/>
      <c r="O40" s="65"/>
      <c r="P40" s="65"/>
      <c r="Q40" s="65"/>
      <c r="R40" s="65"/>
      <c r="S40" s="65"/>
      <c r="T40" s="65"/>
      <c r="U40" s="65"/>
      <c r="V40" s="65"/>
      <c r="W40" s="65"/>
      <c r="X40" s="65"/>
      <c r="Y40" s="892"/>
      <c r="Z40" s="65"/>
      <c r="AA40" s="65"/>
      <c r="AB40" s="65"/>
      <c r="AC40" s="65"/>
      <c r="AD40" s="65"/>
      <c r="AE40" s="65"/>
      <c r="AF40" s="65"/>
      <c r="AG40" s="65"/>
      <c r="AH40" s="65"/>
      <c r="AI40" s="65"/>
    </row>
    <row r="41" spans="1:38" ht="16.5" customHeight="1" x14ac:dyDescent="0.2">
      <c r="A41" s="2866">
        <v>-21</v>
      </c>
      <c r="B41" s="894">
        <v>-17</v>
      </c>
      <c r="C41" s="509" t="s">
        <v>152</v>
      </c>
      <c r="D41" s="509"/>
      <c r="E41" s="509"/>
      <c r="F41" s="509"/>
      <c r="G41" s="509"/>
      <c r="H41" s="509"/>
      <c r="I41" s="509"/>
      <c r="J41" s="509"/>
      <c r="K41" s="509"/>
      <c r="L41" s="509"/>
      <c r="M41" s="509"/>
      <c r="N41" s="892"/>
    </row>
    <row r="42" spans="1:38" ht="16.5" customHeight="1" x14ac:dyDescent="0.2">
      <c r="A42" s="2866">
        <v>-22</v>
      </c>
      <c r="B42" s="894">
        <v>-18</v>
      </c>
      <c r="C42" s="509" t="s">
        <v>656</v>
      </c>
      <c r="D42" s="509"/>
      <c r="E42" s="509"/>
      <c r="F42" s="509"/>
      <c r="G42" s="509"/>
      <c r="H42" s="509"/>
      <c r="I42" s="509"/>
      <c r="J42" s="509"/>
      <c r="K42" s="509"/>
      <c r="L42" s="509"/>
      <c r="M42" s="509"/>
    </row>
    <row r="43" spans="1:38" ht="16.5" customHeight="1" x14ac:dyDescent="0.2">
      <c r="A43" s="2866">
        <v>-23</v>
      </c>
      <c r="B43" s="894">
        <v>-19</v>
      </c>
      <c r="C43" s="509" t="s">
        <v>395</v>
      </c>
      <c r="D43" s="889"/>
      <c r="E43" s="889"/>
      <c r="F43" s="889"/>
      <c r="G43" s="889"/>
      <c r="H43" s="889"/>
      <c r="I43" s="889"/>
      <c r="J43" s="889"/>
      <c r="K43" s="889"/>
      <c r="L43" s="889"/>
      <c r="M43" s="889"/>
    </row>
    <row r="44" spans="1:38" ht="16.5" customHeight="1" x14ac:dyDescent="0.2">
      <c r="A44" s="2866"/>
      <c r="B44" s="894"/>
      <c r="C44" s="509" t="s">
        <v>401</v>
      </c>
      <c r="D44" s="889"/>
      <c r="E44" s="889"/>
      <c r="F44" s="889"/>
      <c r="G44" s="889"/>
      <c r="H44" s="889"/>
      <c r="I44" s="889"/>
      <c r="J44" s="889"/>
      <c r="K44" s="889"/>
      <c r="L44" s="889"/>
      <c r="M44" s="889"/>
    </row>
    <row r="45" spans="1:38" ht="16.5" customHeight="1" x14ac:dyDescent="0.2">
      <c r="A45" s="2866"/>
      <c r="B45" s="894"/>
      <c r="C45" s="509" t="s">
        <v>402</v>
      </c>
      <c r="D45" s="889"/>
      <c r="E45" s="889"/>
      <c r="F45" s="889"/>
      <c r="G45" s="889"/>
      <c r="H45" s="889"/>
      <c r="I45" s="889"/>
      <c r="J45" s="889"/>
      <c r="K45" s="889"/>
      <c r="L45" s="889"/>
      <c r="M45" s="889"/>
    </row>
    <row r="46" spans="1:38" ht="16.5" customHeight="1" x14ac:dyDescent="0.2">
      <c r="A46" s="2866">
        <v>-24</v>
      </c>
      <c r="B46" s="894">
        <v>-20</v>
      </c>
      <c r="C46" s="509" t="s">
        <v>595</v>
      </c>
      <c r="D46" s="889"/>
      <c r="E46" s="889"/>
      <c r="F46" s="889"/>
      <c r="G46" s="889"/>
      <c r="H46" s="889"/>
      <c r="I46" s="889"/>
      <c r="J46" s="889"/>
      <c r="K46" s="889"/>
      <c r="L46" s="889"/>
      <c r="M46" s="889"/>
    </row>
    <row r="47" spans="1:38" ht="16.5" customHeight="1" x14ac:dyDescent="0.2">
      <c r="A47" s="2867"/>
      <c r="B47" s="2863"/>
      <c r="C47" s="509" t="s">
        <v>710</v>
      </c>
      <c r="D47" s="889"/>
      <c r="E47" s="889"/>
      <c r="F47" s="889"/>
      <c r="G47" s="889"/>
      <c r="H47" s="889"/>
      <c r="I47" s="889"/>
      <c r="J47" s="889"/>
      <c r="K47" s="889"/>
      <c r="L47" s="889"/>
      <c r="M47" s="889"/>
    </row>
    <row r="48" spans="1:38" ht="16.5" customHeight="1" x14ac:dyDescent="0.2">
      <c r="A48" s="2867"/>
      <c r="B48" s="2863"/>
      <c r="C48" s="509" t="s">
        <v>711</v>
      </c>
      <c r="D48" s="889"/>
      <c r="E48" s="889"/>
      <c r="F48" s="889"/>
      <c r="G48" s="889"/>
      <c r="H48" s="889"/>
      <c r="I48" s="889"/>
      <c r="J48" s="889"/>
      <c r="K48" s="889"/>
      <c r="L48" s="889"/>
      <c r="M48" s="889"/>
    </row>
    <row r="49" spans="1:17" ht="16.5" customHeight="1" x14ac:dyDescent="0.2">
      <c r="A49" s="2866">
        <v>-25</v>
      </c>
      <c r="B49" s="894">
        <v>-21</v>
      </c>
      <c r="C49" s="509" t="s">
        <v>341</v>
      </c>
      <c r="D49" s="888"/>
      <c r="E49" s="888"/>
      <c r="F49" s="888"/>
      <c r="G49" s="888"/>
      <c r="H49" s="888"/>
      <c r="I49" s="888"/>
      <c r="J49" s="888"/>
      <c r="K49" s="888"/>
      <c r="L49" s="889"/>
      <c r="M49" s="889"/>
    </row>
    <row r="50" spans="1:17" ht="16.5" customHeight="1" x14ac:dyDescent="0.2">
      <c r="A50" s="2866">
        <v>-26</v>
      </c>
      <c r="B50" s="894">
        <v>-22</v>
      </c>
      <c r="C50" s="509" t="s">
        <v>346</v>
      </c>
      <c r="D50" s="888"/>
      <c r="E50" s="888"/>
      <c r="F50" s="888"/>
      <c r="G50" s="888"/>
      <c r="H50" s="889"/>
      <c r="I50" s="889"/>
      <c r="J50" s="889"/>
      <c r="K50" s="889"/>
      <c r="L50" s="889"/>
      <c r="M50" s="889"/>
    </row>
    <row r="51" spans="1:17" ht="16.5" customHeight="1" x14ac:dyDescent="0.2">
      <c r="A51" s="2866">
        <v>-27</v>
      </c>
      <c r="B51" s="894">
        <v>-23</v>
      </c>
      <c r="C51" s="509" t="s">
        <v>741</v>
      </c>
      <c r="D51" s="509"/>
      <c r="E51" s="886"/>
      <c r="F51" s="886"/>
      <c r="G51" s="886"/>
      <c r="H51" s="886"/>
      <c r="I51" s="886"/>
      <c r="J51" s="886"/>
      <c r="K51" s="886"/>
      <c r="L51" s="886"/>
    </row>
    <row r="52" spans="1:17" ht="16.5" customHeight="1" x14ac:dyDescent="0.2">
      <c r="A52" s="2868">
        <v>-28</v>
      </c>
      <c r="B52" s="895">
        <v>-24</v>
      </c>
      <c r="C52" s="509" t="s">
        <v>537</v>
      </c>
      <c r="D52" s="509"/>
      <c r="E52" s="886"/>
      <c r="F52" s="886"/>
      <c r="G52" s="886"/>
      <c r="H52" s="886"/>
      <c r="I52" s="886"/>
      <c r="J52" s="886"/>
      <c r="K52" s="886"/>
      <c r="L52" s="886"/>
    </row>
    <row r="53" spans="1:17" ht="14.25" x14ac:dyDescent="0.2">
      <c r="A53" s="2869">
        <v>-29</v>
      </c>
      <c r="B53" s="895">
        <v>-25</v>
      </c>
      <c r="C53" s="509" t="s">
        <v>393</v>
      </c>
      <c r="D53" s="509"/>
    </row>
    <row r="54" spans="1:17" ht="14.25" x14ac:dyDescent="0.2">
      <c r="A54" s="2869">
        <v>-30</v>
      </c>
      <c r="B54" s="895">
        <v>-26</v>
      </c>
      <c r="C54" s="509" t="s">
        <v>596</v>
      </c>
      <c r="D54" s="509"/>
    </row>
    <row r="55" spans="1:17" ht="14.25" x14ac:dyDescent="0.2">
      <c r="A55" s="2869">
        <v>-31</v>
      </c>
      <c r="B55" s="895">
        <v>-27</v>
      </c>
      <c r="C55" s="509" t="s">
        <v>733</v>
      </c>
      <c r="D55" s="509"/>
    </row>
    <row r="56" spans="1:17" ht="14.25" x14ac:dyDescent="0.2">
      <c r="A56" s="2869"/>
      <c r="B56" s="895"/>
      <c r="C56" s="509" t="s">
        <v>391</v>
      </c>
      <c r="D56" s="509"/>
    </row>
    <row r="57" spans="1:17" ht="14.25" x14ac:dyDescent="0.2">
      <c r="A57" s="2869">
        <v>-32</v>
      </c>
      <c r="B57" s="895">
        <v>-28</v>
      </c>
      <c r="C57" s="509" t="s">
        <v>657</v>
      </c>
      <c r="D57" s="509"/>
      <c r="E57" s="509"/>
    </row>
    <row r="58" spans="1:17" ht="14.25" x14ac:dyDescent="0.2">
      <c r="A58" s="2869"/>
      <c r="B58" s="895"/>
      <c r="C58" s="509" t="s">
        <v>734</v>
      </c>
      <c r="D58" s="509"/>
      <c r="E58" s="509"/>
    </row>
    <row r="59" spans="1:17" ht="14.25" x14ac:dyDescent="0.2">
      <c r="A59" s="2869">
        <v>-33</v>
      </c>
      <c r="B59" s="895">
        <v>-29</v>
      </c>
      <c r="C59" s="509" t="s">
        <v>390</v>
      </c>
      <c r="D59" s="509"/>
      <c r="E59" s="509"/>
    </row>
    <row r="60" spans="1:17" ht="14.25" x14ac:dyDescent="0.2">
      <c r="A60" s="2869">
        <v>-34</v>
      </c>
      <c r="B60" s="895">
        <v>-30</v>
      </c>
      <c r="C60" s="509" t="s">
        <v>404</v>
      </c>
      <c r="D60" s="509"/>
      <c r="E60" s="509"/>
    </row>
    <row r="61" spans="1:17" ht="14.25" x14ac:dyDescent="0.2">
      <c r="A61" s="2869">
        <v>-35</v>
      </c>
      <c r="B61" s="895">
        <v>-31</v>
      </c>
      <c r="C61" s="509" t="s">
        <v>541</v>
      </c>
      <c r="D61" s="509"/>
      <c r="E61" s="509"/>
      <c r="F61" s="887"/>
      <c r="G61" s="887"/>
      <c r="H61" s="887"/>
      <c r="I61" s="887"/>
      <c r="J61" s="887"/>
      <c r="K61" s="887"/>
      <c r="L61" s="887"/>
      <c r="M61" s="887"/>
      <c r="N61" s="887"/>
      <c r="O61" s="887"/>
      <c r="P61" s="887"/>
      <c r="Q61" s="887"/>
    </row>
    <row r="62" spans="1:17" ht="14.25" x14ac:dyDescent="0.2">
      <c r="C62" s="509" t="s">
        <v>543</v>
      </c>
      <c r="D62" s="509"/>
      <c r="E62" s="509"/>
      <c r="F62" s="887"/>
      <c r="G62" s="887"/>
      <c r="H62" s="887"/>
      <c r="I62" s="887"/>
      <c r="J62" s="887"/>
      <c r="K62" s="887"/>
      <c r="L62" s="887"/>
      <c r="M62" s="887"/>
      <c r="N62" s="887"/>
      <c r="O62" s="887"/>
      <c r="P62" s="887"/>
      <c r="Q62" s="887"/>
    </row>
    <row r="63" spans="1:17" ht="14.25" x14ac:dyDescent="0.2">
      <c r="C63" s="509" t="s">
        <v>542</v>
      </c>
      <c r="D63" s="509"/>
      <c r="E63" s="509"/>
    </row>
    <row r="64" spans="1:17" ht="14.25" x14ac:dyDescent="0.2">
      <c r="B64" s="895">
        <v>-32</v>
      </c>
      <c r="C64" s="509" t="s">
        <v>667</v>
      </c>
      <c r="D64" s="509"/>
      <c r="E64" s="509"/>
    </row>
    <row r="65" spans="2:5" ht="14.25" x14ac:dyDescent="0.2">
      <c r="C65" s="509" t="s">
        <v>669</v>
      </c>
      <c r="D65" s="509"/>
      <c r="E65" s="509"/>
    </row>
    <row r="66" spans="2:5" ht="14.25" x14ac:dyDescent="0.2">
      <c r="B66" s="895">
        <v>-33</v>
      </c>
      <c r="C66" s="509" t="s">
        <v>707</v>
      </c>
      <c r="D66" s="509"/>
      <c r="E66" s="509"/>
    </row>
    <row r="67" spans="2:5" ht="14.25" x14ac:dyDescent="0.2">
      <c r="C67" s="509" t="s">
        <v>708</v>
      </c>
      <c r="D67" s="509"/>
      <c r="E67" s="509"/>
    </row>
    <row r="68" spans="2:5" ht="14.25" x14ac:dyDescent="0.2">
      <c r="C68" s="887"/>
    </row>
  </sheetData>
  <mergeCells count="1">
    <mergeCell ref="C19:M19"/>
  </mergeCells>
  <phoneticPr fontId="14" type="noConversion"/>
  <printOptions horizontalCentered="1" verticalCentered="1"/>
  <pageMargins left="0" right="0" top="0" bottom="0" header="0" footer="0"/>
  <pageSetup scale="56" orientation="landscape" r:id="rId1"/>
  <headerFooter alignWithMargins="0">
    <oddFooter>&amp;L&amp;F&amp;CPage 16</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L118"/>
  <sheetViews>
    <sheetView workbookViewId="0"/>
  </sheetViews>
  <sheetFormatPr defaultRowHeight="12.75" x14ac:dyDescent="0.2"/>
  <cols>
    <col min="1" max="1" width="25" customWidth="1"/>
    <col min="2" max="5" width="11.7109375" customWidth="1"/>
    <col min="6" max="6" width="16" customWidth="1"/>
    <col min="9" max="9" width="10.85546875" customWidth="1"/>
  </cols>
  <sheetData>
    <row r="1" spans="1:12" ht="18" x14ac:dyDescent="0.25">
      <c r="A1" s="84" t="s">
        <v>139</v>
      </c>
    </row>
    <row r="2" spans="1:12" ht="13.5" thickBot="1" x14ac:dyDescent="0.25"/>
    <row r="3" spans="1:12" hidden="1" x14ac:dyDescent="0.2">
      <c r="A3" s="202" t="s">
        <v>124</v>
      </c>
      <c r="B3" s="192"/>
      <c r="C3" s="192"/>
      <c r="D3" s="192"/>
      <c r="E3" s="193"/>
    </row>
    <row r="4" spans="1:12" hidden="1" x14ac:dyDescent="0.2">
      <c r="A4" s="203" t="s">
        <v>126</v>
      </c>
      <c r="B4" s="3"/>
      <c r="C4" s="3"/>
      <c r="D4" s="3"/>
      <c r="E4" s="196"/>
    </row>
    <row r="5" spans="1:12" hidden="1" x14ac:dyDescent="0.2">
      <c r="A5" s="195"/>
      <c r="B5" s="137" t="s">
        <v>127</v>
      </c>
      <c r="C5" s="137" t="s">
        <v>128</v>
      </c>
      <c r="D5" s="137" t="s">
        <v>129</v>
      </c>
      <c r="E5" s="204" t="s">
        <v>130</v>
      </c>
    </row>
    <row r="6" spans="1:12" hidden="1" x14ac:dyDescent="0.2">
      <c r="A6" s="188" t="s">
        <v>131</v>
      </c>
      <c r="B6" s="198">
        <v>69110.62</v>
      </c>
      <c r="C6" s="198">
        <f>65567.91-1621.56</f>
        <v>63946.350000000006</v>
      </c>
      <c r="D6" s="198">
        <v>61729.19</v>
      </c>
      <c r="E6" s="196">
        <v>61646.74</v>
      </c>
    </row>
    <row r="7" spans="1:12" hidden="1" x14ac:dyDescent="0.2">
      <c r="A7" s="188" t="s">
        <v>132</v>
      </c>
      <c r="B7" s="198">
        <v>3985.92</v>
      </c>
      <c r="C7" s="198">
        <v>3985.92</v>
      </c>
      <c r="D7" s="198">
        <v>3985.92</v>
      </c>
      <c r="E7" s="205">
        <v>3985.92</v>
      </c>
    </row>
    <row r="8" spans="1:12" hidden="1" x14ac:dyDescent="0.2">
      <c r="A8" s="188" t="s">
        <v>133</v>
      </c>
      <c r="B8" s="198">
        <v>37664.800000000003</v>
      </c>
      <c r="C8" s="198">
        <f>42567.8</f>
        <v>42567.8</v>
      </c>
      <c r="D8" s="198">
        <v>42115.28</v>
      </c>
      <c r="E8" s="196">
        <v>40378.97</v>
      </c>
    </row>
    <row r="9" spans="1:12" hidden="1" x14ac:dyDescent="0.2">
      <c r="A9" s="188" t="s">
        <v>134</v>
      </c>
      <c r="B9" s="198">
        <v>43219.18</v>
      </c>
      <c r="C9" s="198">
        <f>41895.58</f>
        <v>41895.58</v>
      </c>
      <c r="D9" s="198">
        <v>51471.24</v>
      </c>
      <c r="E9" s="196">
        <v>61308.55</v>
      </c>
    </row>
    <row r="10" spans="1:12" hidden="1" x14ac:dyDescent="0.2">
      <c r="A10" s="188" t="s">
        <v>135</v>
      </c>
      <c r="B10" s="198">
        <v>29054.58</v>
      </c>
      <c r="C10" s="198">
        <f>37699.48+1621.56</f>
        <v>39321.040000000001</v>
      </c>
      <c r="D10" s="198">
        <v>37180.9</v>
      </c>
      <c r="E10" s="196">
        <v>44248.31</v>
      </c>
    </row>
    <row r="11" spans="1:12" hidden="1" x14ac:dyDescent="0.2">
      <c r="A11" s="188" t="s">
        <v>58</v>
      </c>
      <c r="B11" s="199">
        <f>SUM(B6:B10)</f>
        <v>183035.09999999998</v>
      </c>
      <c r="C11" s="199">
        <f>SUM(C6:C10)</f>
        <v>191716.69000000003</v>
      </c>
      <c r="D11" s="199">
        <f>SUM(D6:D10)</f>
        <v>196482.53</v>
      </c>
      <c r="E11" s="206">
        <f>SUM(E6:E10)</f>
        <v>211568.49</v>
      </c>
    </row>
    <row r="12" spans="1:12" hidden="1" x14ac:dyDescent="0.2">
      <c r="A12" s="195"/>
      <c r="B12" s="3"/>
      <c r="C12" s="3"/>
      <c r="D12" s="3"/>
      <c r="E12" s="196"/>
    </row>
    <row r="13" spans="1:12" hidden="1" x14ac:dyDescent="0.2">
      <c r="A13" s="195" t="s">
        <v>136</v>
      </c>
      <c r="B13" s="200">
        <v>2.1225999999999998</v>
      </c>
      <c r="C13" s="207">
        <v>2.0223</v>
      </c>
      <c r="D13" s="207">
        <v>1.9971000000000001</v>
      </c>
      <c r="E13" s="208">
        <v>1.9943</v>
      </c>
    </row>
    <row r="14" spans="1:12" ht="13.5" hidden="1" thickBot="1" x14ac:dyDescent="0.25">
      <c r="A14" s="194" t="s">
        <v>137</v>
      </c>
      <c r="B14" s="201">
        <f>B11*B13</f>
        <v>388510.3032599999</v>
      </c>
      <c r="C14" s="201">
        <f>C11*C13</f>
        <v>387708.66218700004</v>
      </c>
      <c r="D14" s="201">
        <f>D11*D13</f>
        <v>392395.26066299999</v>
      </c>
      <c r="E14" s="209">
        <f>E11*E13</f>
        <v>421931.03960699996</v>
      </c>
      <c r="G14" s="257"/>
      <c r="H14" s="257"/>
      <c r="I14" s="257"/>
      <c r="J14" s="257"/>
      <c r="K14" s="257"/>
      <c r="L14" s="257"/>
    </row>
    <row r="15" spans="1:12" ht="13.5" hidden="1" thickTop="1" x14ac:dyDescent="0.2">
      <c r="A15" s="195"/>
      <c r="B15" s="3"/>
      <c r="C15" s="3"/>
      <c r="D15" s="3"/>
      <c r="E15" s="196"/>
    </row>
    <row r="16" spans="1:12" hidden="1" x14ac:dyDescent="0.2">
      <c r="A16" s="195" t="s">
        <v>145</v>
      </c>
      <c r="B16" s="210">
        <f>B14</f>
        <v>388510.3032599999</v>
      </c>
      <c r="C16" s="210">
        <f>C14</f>
        <v>387708.66218700004</v>
      </c>
      <c r="D16" s="210">
        <f>D14</f>
        <v>392395.26066299999</v>
      </c>
      <c r="E16" s="211">
        <f>E14</f>
        <v>421931.03960699996</v>
      </c>
    </row>
    <row r="17" spans="1:11" hidden="1" x14ac:dyDescent="0.2">
      <c r="A17" s="195"/>
      <c r="B17" s="137"/>
      <c r="C17" s="137"/>
      <c r="D17" s="137"/>
      <c r="E17" s="204"/>
    </row>
    <row r="18" spans="1:11" ht="13.5" hidden="1" thickBot="1" x14ac:dyDescent="0.25">
      <c r="A18" s="197" t="s">
        <v>138</v>
      </c>
      <c r="B18" s="212">
        <f>B16+C16+D16+E16</f>
        <v>1590545.2657169998</v>
      </c>
      <c r="C18" s="213"/>
      <c r="D18" s="213"/>
      <c r="E18" s="214"/>
    </row>
    <row r="19" spans="1:11" x14ac:dyDescent="0.2">
      <c r="A19" s="285" t="s">
        <v>125</v>
      </c>
      <c r="B19" s="286"/>
      <c r="C19" s="286"/>
      <c r="D19" s="286"/>
      <c r="E19" s="287"/>
      <c r="F19" s="51"/>
      <c r="G19" s="51"/>
      <c r="H19" s="51"/>
      <c r="I19" s="51"/>
      <c r="J19" s="51"/>
      <c r="K19" s="51"/>
    </row>
    <row r="20" spans="1:11" x14ac:dyDescent="0.2">
      <c r="A20" s="288" t="s">
        <v>126</v>
      </c>
      <c r="B20" s="289"/>
      <c r="C20" s="289"/>
      <c r="D20" s="289"/>
      <c r="E20" s="290"/>
      <c r="F20" s="51"/>
      <c r="G20" s="291" t="s">
        <v>146</v>
      </c>
      <c r="H20" s="51" t="s">
        <v>147</v>
      </c>
      <c r="I20" s="51" t="s">
        <v>148</v>
      </c>
      <c r="J20" s="51" t="s">
        <v>149</v>
      </c>
      <c r="K20" s="51" t="s">
        <v>150</v>
      </c>
    </row>
    <row r="21" spans="1:11" x14ac:dyDescent="0.2">
      <c r="A21" s="292"/>
      <c r="B21" s="291" t="s">
        <v>174</v>
      </c>
      <c r="C21" s="291" t="s">
        <v>175</v>
      </c>
      <c r="D21" s="291" t="s">
        <v>176</v>
      </c>
      <c r="E21" s="293" t="s">
        <v>177</v>
      </c>
      <c r="F21" s="51"/>
      <c r="G21" s="291" t="s">
        <v>151</v>
      </c>
      <c r="H21" s="294">
        <v>2.0024000000000002</v>
      </c>
      <c r="I21" s="294">
        <v>1.9671000000000001</v>
      </c>
      <c r="J21" s="294">
        <v>2.0274000000000001</v>
      </c>
      <c r="K21" s="295">
        <f>(H21+I21+J21)/3</f>
        <v>1.9989666666666668</v>
      </c>
    </row>
    <row r="22" spans="1:11" x14ac:dyDescent="0.2">
      <c r="A22" s="296" t="s">
        <v>131</v>
      </c>
      <c r="B22" s="297">
        <v>42241.81</v>
      </c>
      <c r="C22" s="297">
        <v>44761.61</v>
      </c>
      <c r="D22" s="297">
        <v>57738.55</v>
      </c>
      <c r="E22" s="298">
        <v>58401.53</v>
      </c>
      <c r="F22" s="51"/>
      <c r="G22" s="51"/>
      <c r="H22" s="51"/>
      <c r="I22" s="51"/>
      <c r="J22" s="51"/>
      <c r="K22" s="51"/>
    </row>
    <row r="23" spans="1:11" x14ac:dyDescent="0.2">
      <c r="A23" s="296" t="s">
        <v>132</v>
      </c>
      <c r="B23" s="297">
        <v>3972.06</v>
      </c>
      <c r="C23" s="297">
        <v>3979.83</v>
      </c>
      <c r="D23" s="297">
        <v>3998.21</v>
      </c>
      <c r="E23" s="298">
        <v>4064.13</v>
      </c>
      <c r="F23" s="51"/>
      <c r="G23" s="291" t="s">
        <v>153</v>
      </c>
      <c r="H23" s="51" t="s">
        <v>156</v>
      </c>
      <c r="I23" s="51" t="s">
        <v>157</v>
      </c>
      <c r="J23" s="51" t="s">
        <v>158</v>
      </c>
      <c r="K23" s="51" t="s">
        <v>150</v>
      </c>
    </row>
    <row r="24" spans="1:11" x14ac:dyDescent="0.2">
      <c r="A24" s="296" t="s">
        <v>133</v>
      </c>
      <c r="B24" s="297">
        <v>34282.94</v>
      </c>
      <c r="C24" s="297">
        <v>43139.94</v>
      </c>
      <c r="D24" s="297">
        <v>52588.45</v>
      </c>
      <c r="E24" s="298">
        <v>37986.35</v>
      </c>
      <c r="F24" s="51"/>
      <c r="G24" s="291" t="s">
        <v>151</v>
      </c>
      <c r="H24" s="294">
        <v>2.0301</v>
      </c>
      <c r="I24" s="294">
        <v>1.9355</v>
      </c>
      <c r="J24" s="294">
        <v>1.8902000000000001</v>
      </c>
      <c r="K24" s="295">
        <f>(H24+I24+J24)/3</f>
        <v>1.9519333333333335</v>
      </c>
    </row>
    <row r="25" spans="1:11" x14ac:dyDescent="0.2">
      <c r="A25" s="296" t="s">
        <v>134</v>
      </c>
      <c r="B25" s="297">
        <v>64639.45</v>
      </c>
      <c r="C25" s="297">
        <v>70116.929999999993</v>
      </c>
      <c r="D25" s="297">
        <v>72200.73</v>
      </c>
      <c r="E25" s="298">
        <v>63457.98</v>
      </c>
      <c r="F25" s="51"/>
      <c r="G25" s="51"/>
      <c r="H25" s="51"/>
      <c r="I25" s="51"/>
      <c r="J25" s="51"/>
      <c r="K25" s="51"/>
    </row>
    <row r="26" spans="1:11" x14ac:dyDescent="0.2">
      <c r="A26" s="296" t="s">
        <v>135</v>
      </c>
      <c r="B26" s="297">
        <v>46327.59</v>
      </c>
      <c r="C26" s="297">
        <v>45747.519999999997</v>
      </c>
      <c r="D26" s="297">
        <v>38874.15</v>
      </c>
      <c r="E26" s="298">
        <v>31006.880000000001</v>
      </c>
      <c r="F26" s="51"/>
      <c r="G26" s="291" t="s">
        <v>155</v>
      </c>
      <c r="H26" s="51" t="s">
        <v>159</v>
      </c>
      <c r="I26" s="51" t="s">
        <v>160</v>
      </c>
      <c r="J26" s="51" t="s">
        <v>161</v>
      </c>
      <c r="K26" s="51" t="s">
        <v>150</v>
      </c>
    </row>
    <row r="27" spans="1:11" x14ac:dyDescent="0.2">
      <c r="A27" s="296" t="s">
        <v>58</v>
      </c>
      <c r="B27" s="299">
        <f>SUM(B22:B26)</f>
        <v>191463.85</v>
      </c>
      <c r="C27" s="299">
        <f>SUM(C22:C26)</f>
        <v>207745.83</v>
      </c>
      <c r="D27" s="299">
        <f>SUM(D22:D26)</f>
        <v>225400.09</v>
      </c>
      <c r="E27" s="300">
        <f>SUM(E22:E26)</f>
        <v>194916.87</v>
      </c>
      <c r="F27" s="51"/>
      <c r="G27" s="291" t="s">
        <v>151</v>
      </c>
      <c r="H27" s="294">
        <v>1.9411</v>
      </c>
      <c r="I27" s="294">
        <v>1.8942000000000001</v>
      </c>
      <c r="J27" s="294">
        <v>1.7811999999999999</v>
      </c>
      <c r="K27" s="295">
        <f>(H27+I27+J27)/3</f>
        <v>1.8721666666666668</v>
      </c>
    </row>
    <row r="28" spans="1:11" x14ac:dyDescent="0.2">
      <c r="A28" s="292"/>
      <c r="B28" s="289"/>
      <c r="C28" s="289"/>
      <c r="D28" s="289"/>
      <c r="E28" s="290"/>
      <c r="F28" s="51"/>
      <c r="G28" s="51"/>
      <c r="H28" s="51"/>
      <c r="I28" s="51"/>
      <c r="J28" s="51"/>
      <c r="K28" s="51"/>
    </row>
    <row r="29" spans="1:11" x14ac:dyDescent="0.2">
      <c r="A29" s="292" t="s">
        <v>136</v>
      </c>
      <c r="B29" s="301">
        <v>1.9990000000000001</v>
      </c>
      <c r="C29" s="301">
        <v>1.9519</v>
      </c>
      <c r="D29" s="301">
        <v>1.8722000000000001</v>
      </c>
      <c r="E29" s="302">
        <f>K30</f>
        <v>1.7925666666666666</v>
      </c>
      <c r="F29" s="51"/>
      <c r="G29" s="291" t="s">
        <v>165</v>
      </c>
      <c r="H29" s="51" t="s">
        <v>166</v>
      </c>
      <c r="I29" s="51" t="s">
        <v>167</v>
      </c>
      <c r="J29" s="51" t="s">
        <v>168</v>
      </c>
      <c r="K29" s="51" t="s">
        <v>150</v>
      </c>
    </row>
    <row r="30" spans="1:11" ht="13.5" thickBot="1" x14ac:dyDescent="0.25">
      <c r="A30" s="303" t="s">
        <v>137</v>
      </c>
      <c r="B30" s="304">
        <f>B27*B29</f>
        <v>382736.23615000001</v>
      </c>
      <c r="C30" s="304">
        <f>C27*C29</f>
        <v>405499.08557699999</v>
      </c>
      <c r="D30" s="304">
        <f>D27*D29</f>
        <v>421994.04849800002</v>
      </c>
      <c r="E30" s="305">
        <f>E27*E29</f>
        <v>349401.48393300001</v>
      </c>
      <c r="F30" s="51"/>
      <c r="G30" s="291" t="s">
        <v>151</v>
      </c>
      <c r="H30" s="51">
        <v>1.7767999999999999</v>
      </c>
      <c r="I30" s="51">
        <v>1.7927999999999999</v>
      </c>
      <c r="J30" s="51">
        <v>1.8081</v>
      </c>
      <c r="K30" s="51">
        <f>(H30+I30+J30)/3</f>
        <v>1.7925666666666666</v>
      </c>
    </row>
    <row r="31" spans="1:11" ht="13.5" thickTop="1" x14ac:dyDescent="0.2">
      <c r="A31" s="292"/>
      <c r="B31" s="289"/>
      <c r="C31" s="289"/>
      <c r="D31" s="289"/>
      <c r="E31" s="290"/>
      <c r="F31" s="51"/>
      <c r="G31" s="51"/>
      <c r="H31" s="51"/>
      <c r="I31" s="51"/>
      <c r="J31" s="51"/>
      <c r="K31" s="51"/>
    </row>
    <row r="32" spans="1:11" x14ac:dyDescent="0.2">
      <c r="A32" s="292" t="s">
        <v>145</v>
      </c>
      <c r="B32" s="306">
        <f>B30</f>
        <v>382736.23615000001</v>
      </c>
      <c r="C32" s="306">
        <f>C30</f>
        <v>405499.08557699999</v>
      </c>
      <c r="D32" s="306">
        <f>D30</f>
        <v>421994.04849800002</v>
      </c>
      <c r="E32" s="307">
        <f>E30</f>
        <v>349401.48393300001</v>
      </c>
      <c r="F32" s="51"/>
      <c r="G32" s="51"/>
      <c r="H32" s="51"/>
      <c r="I32" s="51"/>
      <c r="J32" s="51"/>
      <c r="K32" s="51"/>
    </row>
    <row r="33" spans="1:11" x14ac:dyDescent="0.2">
      <c r="A33" s="292"/>
      <c r="B33" s="291"/>
      <c r="C33" s="291"/>
      <c r="D33" s="291"/>
      <c r="E33" s="293"/>
      <c r="F33" s="51"/>
      <c r="G33" s="51"/>
      <c r="H33" s="51"/>
      <c r="I33" s="51"/>
      <c r="J33" s="51"/>
      <c r="K33" s="51"/>
    </row>
    <row r="34" spans="1:11" ht="13.5" thickBot="1" x14ac:dyDescent="0.25">
      <c r="A34" s="308" t="s">
        <v>138</v>
      </c>
      <c r="B34" s="309">
        <f>B32+C32+D32+E32</f>
        <v>1559630.8541580001</v>
      </c>
      <c r="C34" s="310"/>
      <c r="D34" s="310"/>
      <c r="E34" s="311"/>
      <c r="F34" s="51"/>
      <c r="G34" s="51"/>
      <c r="H34" s="51"/>
      <c r="I34" s="51"/>
      <c r="J34" s="51"/>
      <c r="K34" s="51"/>
    </row>
    <row r="35" spans="1:11" ht="13.5" thickBot="1" x14ac:dyDescent="0.25"/>
    <row r="36" spans="1:11" x14ac:dyDescent="0.2">
      <c r="A36" s="202" t="s">
        <v>172</v>
      </c>
      <c r="B36" s="192"/>
      <c r="C36" s="192"/>
      <c r="D36" s="192"/>
      <c r="E36" s="193"/>
    </row>
    <row r="37" spans="1:11" x14ac:dyDescent="0.2">
      <c r="A37" s="203" t="s">
        <v>126</v>
      </c>
      <c r="B37" s="3"/>
      <c r="C37" s="3"/>
      <c r="D37" s="3"/>
      <c r="E37" s="196"/>
      <c r="G37" s="256" t="s">
        <v>146</v>
      </c>
      <c r="H37" t="s">
        <v>147</v>
      </c>
      <c r="I37" t="s">
        <v>148</v>
      </c>
      <c r="J37" t="s">
        <v>149</v>
      </c>
      <c r="K37" t="s">
        <v>150</v>
      </c>
    </row>
    <row r="38" spans="1:11" x14ac:dyDescent="0.2">
      <c r="A38" s="195"/>
      <c r="B38" s="137" t="s">
        <v>173</v>
      </c>
      <c r="C38" s="137" t="s">
        <v>178</v>
      </c>
      <c r="D38" s="137" t="s">
        <v>179</v>
      </c>
      <c r="E38" s="204" t="s">
        <v>180</v>
      </c>
      <c r="G38" s="256" t="s">
        <v>151</v>
      </c>
      <c r="H38" s="257">
        <v>1.7619</v>
      </c>
      <c r="I38" s="257">
        <v>1.7617</v>
      </c>
      <c r="J38" s="257">
        <v>1.9123000000000001</v>
      </c>
      <c r="K38" s="258">
        <f>(H38+I38+J38)/3</f>
        <v>1.8119666666666667</v>
      </c>
    </row>
    <row r="39" spans="1:11" x14ac:dyDescent="0.2">
      <c r="A39" s="188" t="s">
        <v>131</v>
      </c>
      <c r="B39" s="198">
        <v>44163</v>
      </c>
      <c r="C39" s="198">
        <v>44697</v>
      </c>
      <c r="D39" s="198">
        <v>53518</v>
      </c>
      <c r="E39" s="283">
        <v>46465</v>
      </c>
    </row>
    <row r="40" spans="1:11" x14ac:dyDescent="0.2">
      <c r="A40" s="188" t="s">
        <v>132</v>
      </c>
      <c r="B40" s="198"/>
      <c r="C40" s="198"/>
      <c r="D40" s="198"/>
      <c r="E40" s="283"/>
      <c r="G40" s="256" t="s">
        <v>153</v>
      </c>
      <c r="H40" t="s">
        <v>156</v>
      </c>
      <c r="I40" t="s">
        <v>157</v>
      </c>
      <c r="J40" t="s">
        <v>158</v>
      </c>
      <c r="K40" t="s">
        <v>150</v>
      </c>
    </row>
    <row r="41" spans="1:11" x14ac:dyDescent="0.2">
      <c r="A41" s="188" t="s">
        <v>133</v>
      </c>
      <c r="B41" s="198">
        <v>38938</v>
      </c>
      <c r="C41" s="198">
        <v>55084</v>
      </c>
      <c r="D41" s="198">
        <v>61573</v>
      </c>
      <c r="E41" s="283">
        <v>50482</v>
      </c>
      <c r="G41" s="256" t="s">
        <v>151</v>
      </c>
      <c r="H41" s="257">
        <v>1.7991999999999999</v>
      </c>
      <c r="I41" s="257">
        <v>1.7821</v>
      </c>
      <c r="J41" s="257">
        <v>1.712</v>
      </c>
      <c r="K41" s="258">
        <f>(H41+I41+J41)/3</f>
        <v>1.7644333333333331</v>
      </c>
    </row>
    <row r="42" spans="1:11" x14ac:dyDescent="0.2">
      <c r="A42" s="188" t="s">
        <v>134</v>
      </c>
      <c r="B42" s="198">
        <v>64745</v>
      </c>
      <c r="C42" s="198">
        <v>55683</v>
      </c>
      <c r="D42" s="198">
        <v>82268</v>
      </c>
      <c r="E42" s="283">
        <v>67775</v>
      </c>
    </row>
    <row r="43" spans="1:11" x14ac:dyDescent="0.2">
      <c r="A43" s="188" t="s">
        <v>135</v>
      </c>
      <c r="B43" s="198">
        <v>51796</v>
      </c>
      <c r="C43" s="198">
        <v>54711</v>
      </c>
      <c r="D43" s="198">
        <v>65364</v>
      </c>
      <c r="E43" s="283">
        <v>70778</v>
      </c>
      <c r="G43" s="256" t="s">
        <v>155</v>
      </c>
      <c r="H43" t="s">
        <v>159</v>
      </c>
      <c r="I43" t="s">
        <v>160</v>
      </c>
      <c r="J43" t="s">
        <v>161</v>
      </c>
      <c r="K43" t="s">
        <v>150</v>
      </c>
    </row>
    <row r="44" spans="1:11" x14ac:dyDescent="0.2">
      <c r="A44" s="188" t="s">
        <v>58</v>
      </c>
      <c r="B44" s="199">
        <f>SUM(B39:B43)</f>
        <v>199642</v>
      </c>
      <c r="C44" s="199">
        <f>SUM(C39:C43)</f>
        <v>210175</v>
      </c>
      <c r="D44" s="199">
        <f>SUM(D39:D43)</f>
        <v>262723</v>
      </c>
      <c r="E44" s="206">
        <f>SUM(E39:E43)</f>
        <v>235500</v>
      </c>
      <c r="G44" s="256" t="s">
        <v>151</v>
      </c>
      <c r="H44" s="257">
        <v>1.7723</v>
      </c>
      <c r="I44" s="257">
        <v>1.7355</v>
      </c>
      <c r="J44" s="257">
        <v>1.6958</v>
      </c>
      <c r="K44" s="258">
        <f>(H44+I44+J44)/3</f>
        <v>1.7345333333333333</v>
      </c>
    </row>
    <row r="45" spans="1:11" x14ac:dyDescent="0.2">
      <c r="A45" s="195"/>
      <c r="B45" s="3"/>
      <c r="C45" s="3"/>
      <c r="D45" s="3"/>
      <c r="E45" s="196"/>
    </row>
    <row r="46" spans="1:11" x14ac:dyDescent="0.2">
      <c r="A46" s="195" t="s">
        <v>136</v>
      </c>
      <c r="B46" s="200">
        <v>1.8120000000000001</v>
      </c>
      <c r="C46" s="207">
        <v>1.7644</v>
      </c>
      <c r="D46" s="207">
        <v>1.7344999999999999</v>
      </c>
      <c r="E46" s="208">
        <v>1.6157999999999999</v>
      </c>
      <c r="G46" s="256" t="s">
        <v>165</v>
      </c>
      <c r="H46" t="s">
        <v>166</v>
      </c>
      <c r="I46" t="s">
        <v>167</v>
      </c>
      <c r="J46" t="s">
        <v>168</v>
      </c>
      <c r="K46" t="s">
        <v>150</v>
      </c>
    </row>
    <row r="47" spans="1:11" ht="13.5" thickBot="1" x14ac:dyDescent="0.25">
      <c r="A47" s="194" t="s">
        <v>137</v>
      </c>
      <c r="B47" s="201">
        <f>B44*B46</f>
        <v>361751.304</v>
      </c>
      <c r="C47" s="201">
        <f>C44*C46</f>
        <v>370832.77</v>
      </c>
      <c r="D47" s="201">
        <f>D44*D46</f>
        <v>455693.04349999997</v>
      </c>
      <c r="E47" s="209">
        <f>E44*E46</f>
        <v>380520.89999999997</v>
      </c>
      <c r="G47" s="256" t="s">
        <v>151</v>
      </c>
      <c r="H47">
        <v>1.708</v>
      </c>
      <c r="I47">
        <v>1.599</v>
      </c>
      <c r="J47">
        <v>1.5403</v>
      </c>
      <c r="K47" s="258">
        <f>(H47+I47+J47)/3</f>
        <v>1.6157666666666666</v>
      </c>
    </row>
    <row r="48" spans="1:11" ht="13.5" thickTop="1" x14ac:dyDescent="0.2">
      <c r="A48" s="195"/>
      <c r="B48" s="3"/>
      <c r="C48" s="3"/>
      <c r="D48" s="3"/>
      <c r="E48" s="196"/>
    </row>
    <row r="49" spans="1:11" x14ac:dyDescent="0.2">
      <c r="A49" s="195" t="s">
        <v>145</v>
      </c>
      <c r="B49" s="210">
        <f>B47</f>
        <v>361751.304</v>
      </c>
      <c r="C49" s="210">
        <f>C47</f>
        <v>370832.77</v>
      </c>
      <c r="D49" s="210">
        <f>D47</f>
        <v>455693.04349999997</v>
      </c>
      <c r="E49" s="211">
        <f>E47</f>
        <v>380520.89999999997</v>
      </c>
    </row>
    <row r="50" spans="1:11" x14ac:dyDescent="0.2">
      <c r="A50" s="195"/>
      <c r="B50" s="137"/>
      <c r="C50" s="137"/>
      <c r="D50" s="137"/>
      <c r="E50" s="204"/>
    </row>
    <row r="51" spans="1:11" ht="13.5" thickBot="1" x14ac:dyDescent="0.25">
      <c r="A51" s="197" t="s">
        <v>138</v>
      </c>
      <c r="B51" s="212">
        <f>B49+C49+D49+E49</f>
        <v>1568798.0174999998</v>
      </c>
      <c r="C51" s="213"/>
      <c r="D51" s="213"/>
      <c r="E51" s="214"/>
    </row>
    <row r="52" spans="1:11" ht="13.5" thickBot="1" x14ac:dyDescent="0.25"/>
    <row r="53" spans="1:11" x14ac:dyDescent="0.2">
      <c r="A53" s="202" t="s">
        <v>197</v>
      </c>
      <c r="B53" s="192"/>
      <c r="C53" s="192"/>
      <c r="D53" s="192"/>
      <c r="E53" s="193"/>
    </row>
    <row r="54" spans="1:11" x14ac:dyDescent="0.2">
      <c r="A54" s="203" t="s">
        <v>126</v>
      </c>
      <c r="B54" s="3"/>
      <c r="C54" s="3"/>
      <c r="D54" s="3"/>
      <c r="E54" s="196"/>
      <c r="G54" s="256" t="s">
        <v>146</v>
      </c>
      <c r="H54" t="s">
        <v>147</v>
      </c>
      <c r="I54" t="s">
        <v>148</v>
      </c>
      <c r="J54" t="s">
        <v>149</v>
      </c>
      <c r="K54" t="s">
        <v>150</v>
      </c>
    </row>
    <row r="55" spans="1:11" x14ac:dyDescent="0.2">
      <c r="A55" s="195"/>
      <c r="B55" s="137" t="s">
        <v>204</v>
      </c>
      <c r="C55" s="137" t="s">
        <v>205</v>
      </c>
      <c r="D55" s="137" t="s">
        <v>206</v>
      </c>
      <c r="E55" s="204" t="s">
        <v>207</v>
      </c>
      <c r="G55" s="256" t="s">
        <v>151</v>
      </c>
      <c r="H55" s="351">
        <v>1.5529999999999999</v>
      </c>
      <c r="I55" s="257">
        <v>1.5179</v>
      </c>
      <c r="J55" s="473">
        <v>1.5907</v>
      </c>
      <c r="K55" s="258">
        <f>(H55+I55+J55)/3</f>
        <v>1.5538666666666667</v>
      </c>
    </row>
    <row r="56" spans="1:11" x14ac:dyDescent="0.2">
      <c r="A56" s="188" t="s">
        <v>131</v>
      </c>
      <c r="B56" s="198">
        <v>43383</v>
      </c>
      <c r="C56" s="198">
        <v>52950</v>
      </c>
      <c r="D56" s="198">
        <v>58734</v>
      </c>
      <c r="E56" s="283">
        <v>57510</v>
      </c>
    </row>
    <row r="57" spans="1:11" x14ac:dyDescent="0.2">
      <c r="A57" s="188" t="s">
        <v>132</v>
      </c>
      <c r="B57" s="198"/>
      <c r="C57" s="198">
        <f>3676+1414</f>
        <v>5090</v>
      </c>
      <c r="D57" s="198">
        <v>3132</v>
      </c>
      <c r="E57" s="283"/>
      <c r="G57" s="256" t="s">
        <v>153</v>
      </c>
      <c r="H57" t="s">
        <v>156</v>
      </c>
      <c r="I57" t="s">
        <v>157</v>
      </c>
      <c r="J57" t="s">
        <v>158</v>
      </c>
      <c r="K57" t="s">
        <v>150</v>
      </c>
    </row>
    <row r="58" spans="1:11" x14ac:dyDescent="0.2">
      <c r="A58" s="188" t="s">
        <v>133</v>
      </c>
      <c r="B58" s="198">
        <v>50039</v>
      </c>
      <c r="C58" s="198">
        <v>47480</v>
      </c>
      <c r="D58" s="198">
        <v>52259</v>
      </c>
      <c r="E58" s="283">
        <v>49927</v>
      </c>
      <c r="G58" s="256" t="s">
        <v>151</v>
      </c>
      <c r="H58" s="473">
        <v>1.6122000000000001</v>
      </c>
      <c r="I58" s="364">
        <v>1.6348</v>
      </c>
      <c r="J58" s="364">
        <v>1.6132</v>
      </c>
      <c r="K58" s="258">
        <f>(H58+I58+J58)/3</f>
        <v>1.6200666666666665</v>
      </c>
    </row>
    <row r="59" spans="1:11" x14ac:dyDescent="0.2">
      <c r="A59" s="188" t="s">
        <v>134</v>
      </c>
      <c r="B59" s="198">
        <v>74214</v>
      </c>
      <c r="C59" s="198">
        <v>73351</v>
      </c>
      <c r="D59" s="198">
        <v>63950</v>
      </c>
      <c r="E59" s="283">
        <v>62135</v>
      </c>
    </row>
    <row r="60" spans="1:11" x14ac:dyDescent="0.2">
      <c r="A60" s="399" t="s">
        <v>221</v>
      </c>
      <c r="B60" s="198">
        <v>82090</v>
      </c>
      <c r="C60" s="198">
        <v>86813</v>
      </c>
      <c r="D60" s="198">
        <v>87052</v>
      </c>
      <c r="E60" s="283">
        <v>95173</v>
      </c>
      <c r="G60" s="256" t="s">
        <v>155</v>
      </c>
      <c r="K60" t="s">
        <v>150</v>
      </c>
    </row>
    <row r="61" spans="1:11" x14ac:dyDescent="0.2">
      <c r="A61" s="188" t="s">
        <v>58</v>
      </c>
      <c r="B61" s="199">
        <f>SUM(B56:B60)</f>
        <v>249726</v>
      </c>
      <c r="C61" s="199">
        <f>SUM(C56:C60)</f>
        <v>265684</v>
      </c>
      <c r="D61" s="199">
        <f>SUM(D56:D60)</f>
        <v>265127</v>
      </c>
      <c r="E61" s="206">
        <f>SUM(E56:E60)</f>
        <v>264745</v>
      </c>
      <c r="G61" s="256" t="s">
        <v>151</v>
      </c>
      <c r="H61" s="257">
        <v>1.6271</v>
      </c>
      <c r="I61" s="257">
        <v>1.5978000000000001</v>
      </c>
      <c r="J61" s="257">
        <v>1.5561</v>
      </c>
      <c r="K61" s="258">
        <f>(H61+I61+J61)/3</f>
        <v>1.5936666666666666</v>
      </c>
    </row>
    <row r="62" spans="1:11" x14ac:dyDescent="0.2">
      <c r="A62" s="195"/>
      <c r="B62" s="3"/>
      <c r="C62" s="3"/>
      <c r="D62" s="3"/>
      <c r="E62" s="196"/>
    </row>
    <row r="63" spans="1:11" x14ac:dyDescent="0.2">
      <c r="A63" s="195" t="s">
        <v>136</v>
      </c>
      <c r="B63" s="200">
        <f>K55</f>
        <v>1.5538666666666667</v>
      </c>
      <c r="C63" s="207">
        <f>K58</f>
        <v>1.6200666666666665</v>
      </c>
      <c r="D63" s="207">
        <f>K61</f>
        <v>1.5936666666666666</v>
      </c>
      <c r="E63" s="208">
        <f>K64</f>
        <v>1.5808</v>
      </c>
      <c r="G63" s="256" t="s">
        <v>165</v>
      </c>
      <c r="K63" t="s">
        <v>150</v>
      </c>
    </row>
    <row r="64" spans="1:11" ht="13.5" thickBot="1" x14ac:dyDescent="0.25">
      <c r="A64" s="194" t="s">
        <v>137</v>
      </c>
      <c r="B64" s="201">
        <f>B61*B63</f>
        <v>388040.90720000002</v>
      </c>
      <c r="C64" s="201">
        <f>C61*C63</f>
        <v>430425.79226666666</v>
      </c>
      <c r="D64" s="201">
        <f>D61*D63</f>
        <v>422524.06233333331</v>
      </c>
      <c r="E64" s="209">
        <f>E61*E63</f>
        <v>418508.89600000001</v>
      </c>
      <c r="G64" s="256" t="s">
        <v>151</v>
      </c>
      <c r="H64" s="257">
        <v>1.6040000000000001</v>
      </c>
      <c r="I64" s="473">
        <v>1.5801000000000001</v>
      </c>
      <c r="J64" s="257">
        <v>1.5583</v>
      </c>
      <c r="K64" s="258">
        <f>(H64+I64+J64)/3</f>
        <v>1.5808</v>
      </c>
    </row>
    <row r="65" spans="1:11" ht="13.5" thickTop="1" x14ac:dyDescent="0.2">
      <c r="A65" s="195"/>
      <c r="B65" s="3"/>
      <c r="C65" s="3"/>
      <c r="D65" s="3"/>
      <c r="E65" s="196"/>
    </row>
    <row r="66" spans="1:11" x14ac:dyDescent="0.2">
      <c r="A66" s="195" t="s">
        <v>145</v>
      </c>
      <c r="B66" s="210">
        <f>B64</f>
        <v>388040.90720000002</v>
      </c>
      <c r="C66" s="210">
        <f>C64</f>
        <v>430425.79226666666</v>
      </c>
      <c r="D66" s="210">
        <f>D64</f>
        <v>422524.06233333331</v>
      </c>
      <c r="E66" s="211">
        <f>E64</f>
        <v>418508.89600000001</v>
      </c>
    </row>
    <row r="67" spans="1:11" x14ac:dyDescent="0.2">
      <c r="A67" s="195"/>
      <c r="B67" s="137"/>
      <c r="C67" s="137"/>
      <c r="D67" s="137"/>
      <c r="E67" s="204"/>
    </row>
    <row r="68" spans="1:11" ht="13.5" thickBot="1" x14ac:dyDescent="0.25">
      <c r="A68" s="197" t="s">
        <v>138</v>
      </c>
      <c r="B68" s="212">
        <f>B66+C66+D66+E66</f>
        <v>1659499.6577999999</v>
      </c>
      <c r="C68" s="213"/>
      <c r="D68" s="213"/>
      <c r="E68" s="214"/>
    </row>
    <row r="69" spans="1:11" ht="13.5" thickBot="1" x14ac:dyDescent="0.25"/>
    <row r="70" spans="1:11" x14ac:dyDescent="0.2">
      <c r="A70" s="202" t="s">
        <v>226</v>
      </c>
      <c r="B70" s="192"/>
      <c r="C70" s="192"/>
      <c r="D70" s="192"/>
      <c r="E70" s="193"/>
    </row>
    <row r="71" spans="1:11" x14ac:dyDescent="0.2">
      <c r="A71" s="203" t="s">
        <v>126</v>
      </c>
      <c r="B71" s="3"/>
      <c r="C71" s="3"/>
      <c r="D71" s="3"/>
      <c r="E71" s="196"/>
      <c r="G71" s="256" t="s">
        <v>146</v>
      </c>
      <c r="H71" t="s">
        <v>147</v>
      </c>
      <c r="I71" t="s">
        <v>148</v>
      </c>
      <c r="J71" t="s">
        <v>149</v>
      </c>
      <c r="K71" t="s">
        <v>150</v>
      </c>
    </row>
    <row r="72" spans="1:11" x14ac:dyDescent="0.2">
      <c r="A72" s="195"/>
      <c r="B72" s="137" t="s">
        <v>228</v>
      </c>
      <c r="C72" s="137" t="s">
        <v>229</v>
      </c>
      <c r="D72" s="137" t="s">
        <v>230</v>
      </c>
      <c r="E72" s="204" t="s">
        <v>231</v>
      </c>
      <c r="F72" s="256" t="s">
        <v>252</v>
      </c>
      <c r="G72" s="256" t="s">
        <v>151</v>
      </c>
      <c r="H72" s="351">
        <v>1.5823</v>
      </c>
      <c r="I72" s="257">
        <v>1.5940000000000001</v>
      </c>
      <c r="J72" s="473">
        <v>1.5474000000000001</v>
      </c>
      <c r="K72" s="258">
        <f>(H72+I72+J72)/3</f>
        <v>1.5745666666666669</v>
      </c>
    </row>
    <row r="73" spans="1:11" x14ac:dyDescent="0.2">
      <c r="A73" s="399" t="s">
        <v>237</v>
      </c>
      <c r="B73" s="198">
        <v>73040</v>
      </c>
      <c r="C73" s="198">
        <v>76527</v>
      </c>
      <c r="D73" s="198">
        <v>70303</v>
      </c>
      <c r="E73" s="283">
        <f>F73-SUM(B73:D73)</f>
        <v>64093</v>
      </c>
      <c r="F73" s="472">
        <v>283963</v>
      </c>
    </row>
    <row r="74" spans="1:11" x14ac:dyDescent="0.2">
      <c r="A74" s="399" t="s">
        <v>236</v>
      </c>
      <c r="B74" s="198">
        <v>2472</v>
      </c>
      <c r="C74" s="198">
        <v>2724</v>
      </c>
      <c r="D74" s="198">
        <v>2776</v>
      </c>
      <c r="E74" s="283">
        <f>F74-SUM(B74:D74)</f>
        <v>2756</v>
      </c>
      <c r="F74" s="472">
        <v>10728</v>
      </c>
      <c r="G74" s="256" t="s">
        <v>153</v>
      </c>
      <c r="H74" t="s">
        <v>156</v>
      </c>
      <c r="I74" t="s">
        <v>157</v>
      </c>
      <c r="J74" t="s">
        <v>158</v>
      </c>
      <c r="K74" t="s">
        <v>150</v>
      </c>
    </row>
    <row r="75" spans="1:11" x14ac:dyDescent="0.2">
      <c r="A75" s="188" t="s">
        <v>133</v>
      </c>
      <c r="B75" s="198">
        <v>63896</v>
      </c>
      <c r="C75" s="198">
        <v>65464</v>
      </c>
      <c r="D75" s="198">
        <v>57467</v>
      </c>
      <c r="E75" s="283">
        <f>F75-SUM(B75:D75)</f>
        <v>58420</v>
      </c>
      <c r="F75" s="472">
        <v>245247</v>
      </c>
      <c r="G75" s="256" t="s">
        <v>151</v>
      </c>
      <c r="H75" s="473">
        <v>1.5686</v>
      </c>
      <c r="I75" s="257">
        <v>1.5925</v>
      </c>
      <c r="J75" s="257">
        <v>1.6286</v>
      </c>
      <c r="K75" s="258">
        <f>(H75+I75+J75)/3</f>
        <v>1.5965666666666667</v>
      </c>
    </row>
    <row r="76" spans="1:11" x14ac:dyDescent="0.2">
      <c r="A76" s="188" t="s">
        <v>134</v>
      </c>
      <c r="B76" s="198">
        <v>92392</v>
      </c>
      <c r="C76" s="198">
        <v>91766</v>
      </c>
      <c r="D76" s="198">
        <v>88020</v>
      </c>
      <c r="E76" s="283">
        <f>F76-SUM(B76:D76)</f>
        <v>83559</v>
      </c>
      <c r="F76" s="472">
        <v>355737</v>
      </c>
    </row>
    <row r="77" spans="1:11" x14ac:dyDescent="0.2">
      <c r="A77" s="399" t="s">
        <v>221</v>
      </c>
      <c r="B77" s="198">
        <v>103249</v>
      </c>
      <c r="C77" s="198">
        <v>103058</v>
      </c>
      <c r="D77" s="198">
        <v>94119</v>
      </c>
      <c r="E77" s="283">
        <f>F77-SUM(B77:D77)</f>
        <v>85407</v>
      </c>
      <c r="F77" s="472">
        <v>385833</v>
      </c>
      <c r="G77" s="256" t="s">
        <v>155</v>
      </c>
      <c r="H77" s="407" t="s">
        <v>159</v>
      </c>
      <c r="I77" s="407" t="s">
        <v>160</v>
      </c>
      <c r="J77" s="2" t="s">
        <v>161</v>
      </c>
      <c r="K77" t="s">
        <v>150</v>
      </c>
    </row>
    <row r="78" spans="1:11" x14ac:dyDescent="0.2">
      <c r="A78" s="188" t="s">
        <v>58</v>
      </c>
      <c r="B78" s="199">
        <f>SUM(B73:B77)</f>
        <v>335049</v>
      </c>
      <c r="C78" s="199">
        <f>SUM(C73:C77)</f>
        <v>339539</v>
      </c>
      <c r="D78" s="199">
        <f>SUM(D73:D77)</f>
        <v>312685</v>
      </c>
      <c r="E78" s="206">
        <f>SUM(E73:E77)</f>
        <v>294235</v>
      </c>
      <c r="G78" s="256" t="s">
        <v>151</v>
      </c>
      <c r="H78" s="257">
        <v>1.6014999999999999</v>
      </c>
      <c r="I78" s="257">
        <v>1.6013999999999999</v>
      </c>
      <c r="J78" s="257">
        <v>1.5822000000000001</v>
      </c>
      <c r="K78" s="258">
        <f>(H78+I78+J78)/3</f>
        <v>1.5950333333333333</v>
      </c>
    </row>
    <row r="79" spans="1:11" x14ac:dyDescent="0.2">
      <c r="A79" s="188"/>
      <c r="B79" s="477"/>
      <c r="C79" s="477"/>
      <c r="D79" s="477"/>
      <c r="E79" s="478"/>
    </row>
    <row r="80" spans="1:11" x14ac:dyDescent="0.2">
      <c r="A80" s="399" t="s">
        <v>254</v>
      </c>
      <c r="B80" s="477">
        <v>0</v>
      </c>
      <c r="C80" s="477">
        <v>0</v>
      </c>
      <c r="D80" s="477">
        <v>0</v>
      </c>
      <c r="E80" s="478">
        <v>448523</v>
      </c>
      <c r="G80" s="256" t="s">
        <v>165</v>
      </c>
      <c r="H80" s="476" t="s">
        <v>170</v>
      </c>
      <c r="I80" s="476" t="s">
        <v>171</v>
      </c>
      <c r="J80" s="476" t="s">
        <v>169</v>
      </c>
      <c r="K80" t="s">
        <v>150</v>
      </c>
    </row>
    <row r="81" spans="1:11" x14ac:dyDescent="0.2">
      <c r="A81" s="195"/>
      <c r="B81" s="3"/>
      <c r="C81" s="3"/>
      <c r="D81" s="3"/>
      <c r="E81" s="196"/>
      <c r="G81" s="256" t="s">
        <v>151</v>
      </c>
      <c r="H81" s="475">
        <v>1.5789</v>
      </c>
      <c r="I81" s="474">
        <v>1.5758000000000001</v>
      </c>
      <c r="J81" s="475">
        <v>1.5960000000000001</v>
      </c>
      <c r="K81" s="258">
        <f>(H81+I81+J81)/3</f>
        <v>1.5835666666666668</v>
      </c>
    </row>
    <row r="82" spans="1:11" x14ac:dyDescent="0.2">
      <c r="A82" s="195" t="s">
        <v>136</v>
      </c>
      <c r="B82" s="200">
        <f>K72</f>
        <v>1.5745666666666669</v>
      </c>
      <c r="C82" s="207">
        <f>K75</f>
        <v>1.5965666666666667</v>
      </c>
      <c r="D82" s="207">
        <f>K78</f>
        <v>1.5950333333333333</v>
      </c>
      <c r="E82" s="208">
        <f>K81</f>
        <v>1.5835666666666668</v>
      </c>
    </row>
    <row r="83" spans="1:11" ht="13.5" thickBot="1" x14ac:dyDescent="0.25">
      <c r="A83" s="194" t="s">
        <v>137</v>
      </c>
      <c r="B83" s="201">
        <f>(B78+B80)*B82</f>
        <v>527556.98710000003</v>
      </c>
      <c r="C83" s="201">
        <f>(C78+C80)*C82</f>
        <v>542096.64943333331</v>
      </c>
      <c r="D83" s="201">
        <f>(D78+D80)*D82</f>
        <v>498742.99783333333</v>
      </c>
      <c r="E83" s="209">
        <f>(E78)*E82+E80*J81</f>
        <v>1181783.4461666667</v>
      </c>
      <c r="F83" s="479"/>
    </row>
    <row r="84" spans="1:11" ht="13.5" thickTop="1" x14ac:dyDescent="0.2">
      <c r="A84" s="195"/>
      <c r="B84" s="3"/>
      <c r="C84" s="3"/>
      <c r="D84" s="3"/>
      <c r="E84" s="196"/>
    </row>
    <row r="85" spans="1:11" x14ac:dyDescent="0.2">
      <c r="A85" s="195" t="s">
        <v>145</v>
      </c>
      <c r="B85" s="210">
        <f>B83</f>
        <v>527556.98710000003</v>
      </c>
      <c r="C85" s="210">
        <f>C83</f>
        <v>542096.64943333331</v>
      </c>
      <c r="D85" s="210">
        <f>D83</f>
        <v>498742.99783333333</v>
      </c>
      <c r="E85" s="211">
        <f>E83</f>
        <v>1181783.4461666667</v>
      </c>
    </row>
    <row r="86" spans="1:11" x14ac:dyDescent="0.2">
      <c r="A86" s="195"/>
      <c r="B86" s="137"/>
      <c r="C86" s="137"/>
      <c r="D86" s="137"/>
      <c r="E86" s="204"/>
    </row>
    <row r="87" spans="1:11" ht="13.5" thickBot="1" x14ac:dyDescent="0.25">
      <c r="A87" s="197" t="s">
        <v>138</v>
      </c>
      <c r="B87" s="212">
        <f>B85+C85+D85+E85</f>
        <v>2750180.0805333336</v>
      </c>
      <c r="C87" s="213"/>
      <c r="D87" s="213"/>
      <c r="E87" s="214"/>
    </row>
    <row r="88" spans="1:11" ht="13.5" thickBot="1" x14ac:dyDescent="0.25"/>
    <row r="89" spans="1:11" s="480" customFormat="1" x14ac:dyDescent="0.2">
      <c r="A89" s="202" t="s">
        <v>274</v>
      </c>
      <c r="B89" s="192"/>
      <c r="C89" s="192"/>
      <c r="D89" s="192"/>
      <c r="E89" s="193"/>
    </row>
    <row r="90" spans="1:11" s="480" customFormat="1" x14ac:dyDescent="0.2">
      <c r="A90" s="203" t="s">
        <v>126</v>
      </c>
      <c r="B90" s="481"/>
      <c r="C90" s="481"/>
      <c r="D90" s="481"/>
      <c r="E90" s="196"/>
      <c r="H90" s="256" t="s">
        <v>146</v>
      </c>
      <c r="I90" s="256" t="s">
        <v>153</v>
      </c>
      <c r="J90" s="256" t="s">
        <v>155</v>
      </c>
      <c r="K90" s="256" t="s">
        <v>165</v>
      </c>
    </row>
    <row r="91" spans="1:11" s="480" customFormat="1" x14ac:dyDescent="0.2">
      <c r="A91" s="195"/>
      <c r="B91" s="137" t="s">
        <v>276</v>
      </c>
      <c r="C91" s="137" t="s">
        <v>277</v>
      </c>
      <c r="D91" s="137" t="s">
        <v>278</v>
      </c>
      <c r="E91" s="204" t="s">
        <v>279</v>
      </c>
      <c r="F91" s="256"/>
      <c r="G91" s="256" t="s">
        <v>151</v>
      </c>
      <c r="H91" s="258">
        <v>1.5998000000000001</v>
      </c>
      <c r="I91" s="258">
        <v>1.5858000000000001</v>
      </c>
      <c r="J91" s="258">
        <v>1.6043000000000001</v>
      </c>
      <c r="K91" s="258">
        <v>1.5618000000000001</v>
      </c>
    </row>
    <row r="92" spans="1:11" s="480" customFormat="1" x14ac:dyDescent="0.2">
      <c r="A92" s="399" t="s">
        <v>280</v>
      </c>
      <c r="B92" s="198">
        <v>836755</v>
      </c>
      <c r="C92" s="198">
        <v>849338</v>
      </c>
      <c r="D92" s="198">
        <v>652370</v>
      </c>
      <c r="E92" s="283">
        <f>744141</f>
        <v>744141</v>
      </c>
      <c r="F92" s="472" t="s">
        <v>310</v>
      </c>
    </row>
    <row r="93" spans="1:11" s="480" customFormat="1" x14ac:dyDescent="0.2">
      <c r="A93" s="195"/>
      <c r="B93" s="481"/>
      <c r="C93" s="481"/>
      <c r="D93" s="481"/>
      <c r="E93" s="196"/>
    </row>
    <row r="94" spans="1:11" s="480" customFormat="1" x14ac:dyDescent="0.2">
      <c r="A94" s="195" t="s">
        <v>136</v>
      </c>
      <c r="B94" s="200">
        <f>H91</f>
        <v>1.5998000000000001</v>
      </c>
      <c r="C94" s="207">
        <f>I91</f>
        <v>1.5858000000000001</v>
      </c>
      <c r="D94" s="207">
        <f>J91</f>
        <v>1.6043000000000001</v>
      </c>
      <c r="E94" s="208">
        <f>K91</f>
        <v>1.5618000000000001</v>
      </c>
    </row>
    <row r="95" spans="1:11" s="480" customFormat="1" ht="13.5" thickBot="1" x14ac:dyDescent="0.25">
      <c r="A95" s="194" t="s">
        <v>137</v>
      </c>
      <c r="B95" s="201">
        <f>(B92)*B94</f>
        <v>1338640.6490000002</v>
      </c>
      <c r="C95" s="201">
        <f>(C92)*C94</f>
        <v>1346880.2004</v>
      </c>
      <c r="D95" s="201">
        <f>(D92)*D94</f>
        <v>1046597.191</v>
      </c>
      <c r="E95" s="209">
        <f>(E92)*E94</f>
        <v>1162199.4138</v>
      </c>
      <c r="F95" s="479"/>
    </row>
    <row r="96" spans="1:11" s="480" customFormat="1" ht="13.5" thickTop="1" x14ac:dyDescent="0.2">
      <c r="A96" s="195"/>
      <c r="B96" s="481"/>
      <c r="C96" s="481"/>
      <c r="D96" s="481"/>
      <c r="E96" s="196"/>
    </row>
    <row r="97" spans="1:11" s="480" customFormat="1" x14ac:dyDescent="0.2">
      <c r="A97" s="195" t="s">
        <v>145</v>
      </c>
      <c r="B97" s="210">
        <f>B95</f>
        <v>1338640.6490000002</v>
      </c>
      <c r="C97" s="210">
        <f>C95</f>
        <v>1346880.2004</v>
      </c>
      <c r="D97" s="210">
        <f>D95</f>
        <v>1046597.191</v>
      </c>
      <c r="E97" s="211">
        <f>E95</f>
        <v>1162199.4138</v>
      </c>
      <c r="G97"/>
      <c r="H97"/>
      <c r="I97"/>
      <c r="J97"/>
      <c r="K97"/>
    </row>
    <row r="98" spans="1:11" s="480" customFormat="1" x14ac:dyDescent="0.2">
      <c r="A98" s="195"/>
      <c r="B98" s="137"/>
      <c r="C98" s="137"/>
      <c r="D98" s="137"/>
      <c r="E98" s="204"/>
      <c r="G98"/>
      <c r="H98"/>
      <c r="I98"/>
      <c r="J98"/>
      <c r="K98"/>
    </row>
    <row r="99" spans="1:11" s="480" customFormat="1" ht="13.5" thickBot="1" x14ac:dyDescent="0.25">
      <c r="A99" s="197" t="s">
        <v>138</v>
      </c>
      <c r="B99" s="212">
        <f>B97+C97+D97+E97</f>
        <v>4894317.4542000005</v>
      </c>
      <c r="C99" s="213"/>
      <c r="D99" s="213"/>
      <c r="E99" s="214"/>
      <c r="G99"/>
      <c r="H99"/>
      <c r="I99"/>
      <c r="J99"/>
      <c r="K99"/>
    </row>
    <row r="101" spans="1:11" x14ac:dyDescent="0.2">
      <c r="A101" t="s">
        <v>302</v>
      </c>
      <c r="B101" s="191">
        <v>93708</v>
      </c>
      <c r="C101" s="191">
        <v>84792</v>
      </c>
      <c r="D101" s="191">
        <v>79766</v>
      </c>
      <c r="E101" s="191">
        <v>27303</v>
      </c>
    </row>
    <row r="102" spans="1:11" ht="13.5" thickBot="1" x14ac:dyDescent="0.25">
      <c r="A102" s="194" t="s">
        <v>137</v>
      </c>
      <c r="B102" s="201">
        <f>(B94)*B101</f>
        <v>149914.05840000001</v>
      </c>
      <c r="C102" s="201">
        <f>(C94)*C101</f>
        <v>134463.15360000002</v>
      </c>
      <c r="D102" s="201">
        <f>(D94)*D101</f>
        <v>127968.5938</v>
      </c>
      <c r="E102" s="201">
        <f>(E94)*E101</f>
        <v>42641.825400000002</v>
      </c>
    </row>
    <row r="103" spans="1:11" ht="14.25" thickTop="1" thickBot="1" x14ac:dyDescent="0.25">
      <c r="B103" s="191"/>
      <c r="C103" s="191"/>
      <c r="D103" s="191"/>
      <c r="E103" s="191"/>
    </row>
    <row r="104" spans="1:11" s="480" customFormat="1" x14ac:dyDescent="0.2">
      <c r="A104" s="202" t="s">
        <v>316</v>
      </c>
      <c r="B104" s="192"/>
      <c r="C104" s="192"/>
      <c r="D104" s="192"/>
      <c r="E104" s="193"/>
    </row>
    <row r="105" spans="1:11" s="480" customFormat="1" x14ac:dyDescent="0.2">
      <c r="A105" s="203" t="s">
        <v>126</v>
      </c>
      <c r="B105" s="481"/>
      <c r="C105" s="481"/>
      <c r="D105" s="481"/>
      <c r="E105" s="196"/>
      <c r="H105" s="256" t="s">
        <v>146</v>
      </c>
      <c r="I105" s="256" t="s">
        <v>153</v>
      </c>
      <c r="J105" s="256" t="s">
        <v>155</v>
      </c>
      <c r="K105" s="256" t="s">
        <v>165</v>
      </c>
    </row>
    <row r="106" spans="1:11" s="480" customFormat="1" x14ac:dyDescent="0.2">
      <c r="A106" s="195"/>
      <c r="B106" s="137" t="s">
        <v>318</v>
      </c>
      <c r="C106" s="137" t="s">
        <v>319</v>
      </c>
      <c r="D106" s="137" t="s">
        <v>320</v>
      </c>
      <c r="E106" s="204" t="s">
        <v>321</v>
      </c>
      <c r="F106" s="256"/>
      <c r="G106" s="256" t="s">
        <v>151</v>
      </c>
      <c r="H106" s="258">
        <v>1.5991</v>
      </c>
      <c r="I106" s="258"/>
      <c r="J106" s="258"/>
      <c r="K106" s="258"/>
    </row>
    <row r="107" spans="1:11" s="480" customFormat="1" x14ac:dyDescent="0.2">
      <c r="A107" s="399" t="s">
        <v>280</v>
      </c>
      <c r="B107" s="198">
        <v>983558</v>
      </c>
      <c r="C107" s="198"/>
      <c r="D107" s="198"/>
      <c r="E107" s="283"/>
      <c r="F107" s="472" t="s">
        <v>310</v>
      </c>
    </row>
    <row r="108" spans="1:11" s="480" customFormat="1" x14ac:dyDescent="0.2">
      <c r="A108" s="195"/>
      <c r="B108" s="481"/>
      <c r="C108" s="481"/>
      <c r="D108" s="481"/>
      <c r="E108" s="196"/>
    </row>
    <row r="109" spans="1:11" s="480" customFormat="1" x14ac:dyDescent="0.2">
      <c r="A109" s="195" t="s">
        <v>136</v>
      </c>
      <c r="B109" s="200">
        <f>H106</f>
        <v>1.5991</v>
      </c>
      <c r="C109" s="207">
        <f>I106</f>
        <v>0</v>
      </c>
      <c r="D109" s="207">
        <f>J106</f>
        <v>0</v>
      </c>
      <c r="E109" s="208">
        <f>K106</f>
        <v>0</v>
      </c>
    </row>
    <row r="110" spans="1:11" s="480" customFormat="1" ht="13.5" thickBot="1" x14ac:dyDescent="0.25">
      <c r="A110" s="194" t="s">
        <v>137</v>
      </c>
      <c r="B110" s="201">
        <f>(B107)*B109</f>
        <v>1572807.5977999999</v>
      </c>
      <c r="C110" s="201">
        <f>(C107)*C109</f>
        <v>0</v>
      </c>
      <c r="D110" s="201">
        <f>(D107)*D109</f>
        <v>0</v>
      </c>
      <c r="E110" s="209">
        <f>(E107)*E109</f>
        <v>0</v>
      </c>
      <c r="F110" s="479"/>
    </row>
    <row r="111" spans="1:11" s="480" customFormat="1" ht="13.5" thickTop="1" x14ac:dyDescent="0.2">
      <c r="A111" s="195"/>
      <c r="B111" s="481"/>
      <c r="C111" s="481"/>
      <c r="D111" s="481"/>
      <c r="E111" s="196"/>
    </row>
    <row r="112" spans="1:11" s="480" customFormat="1" x14ac:dyDescent="0.2">
      <c r="A112" s="195" t="s">
        <v>145</v>
      </c>
      <c r="B112" s="210">
        <f>B110</f>
        <v>1572807.5977999999</v>
      </c>
      <c r="C112" s="210">
        <f>C110</f>
        <v>0</v>
      </c>
      <c r="D112" s="210">
        <f>D110</f>
        <v>0</v>
      </c>
      <c r="E112" s="211">
        <f>E110</f>
        <v>0</v>
      </c>
    </row>
    <row r="113" spans="1:5" s="480" customFormat="1" x14ac:dyDescent="0.2">
      <c r="A113" s="195"/>
      <c r="B113" s="137"/>
      <c r="C113" s="137"/>
      <c r="D113" s="137"/>
      <c r="E113" s="204"/>
    </row>
    <row r="114" spans="1:5" s="480" customFormat="1" ht="13.5" thickBot="1" x14ac:dyDescent="0.25">
      <c r="A114" s="197" t="s">
        <v>138</v>
      </c>
      <c r="B114" s="212">
        <f>B112+C112+D112+E112</f>
        <v>1572807.5977999999</v>
      </c>
      <c r="C114" s="213"/>
      <c r="D114" s="213"/>
      <c r="E114" s="214"/>
    </row>
    <row r="115" spans="1:5" s="480" customFormat="1" x14ac:dyDescent="0.2"/>
    <row r="116" spans="1:5" s="480" customFormat="1" x14ac:dyDescent="0.2">
      <c r="A116" s="480" t="s">
        <v>302</v>
      </c>
      <c r="B116" s="191"/>
      <c r="C116" s="191"/>
      <c r="D116" s="191"/>
      <c r="E116" s="191"/>
    </row>
    <row r="117" spans="1:5" s="480" customFormat="1" ht="13.5" thickBot="1" x14ac:dyDescent="0.25">
      <c r="A117" s="194" t="s">
        <v>137</v>
      </c>
      <c r="B117" s="201">
        <f>(B109)*B116</f>
        <v>0</v>
      </c>
      <c r="C117" s="201">
        <f>(C109)*C116</f>
        <v>0</v>
      </c>
      <c r="D117" s="201">
        <f>(D109)*D116</f>
        <v>0</v>
      </c>
      <c r="E117" s="201">
        <f>(E109)*E116</f>
        <v>0</v>
      </c>
    </row>
    <row r="118" spans="1:5" ht="13.5" thickTop="1" x14ac:dyDescent="0.2"/>
  </sheetData>
  <phoneticPr fontId="14" type="noConversion"/>
  <pageMargins left="0.75" right="0.75" top="1" bottom="0.5" header="0.5" footer="0.5"/>
  <pageSetup orientation="landscape" r:id="rId1"/>
  <headerFooter alignWithMargins="0">
    <oddFooter>&amp;L&amp;Z&amp;F&amp;R&amp;D&amp;T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CF116"/>
  <sheetViews>
    <sheetView topLeftCell="A4" zoomScaleNormal="100" workbookViewId="0">
      <selection activeCell="D52" sqref="D52"/>
    </sheetView>
  </sheetViews>
  <sheetFormatPr defaultColWidth="9.140625" defaultRowHeight="12.75" x14ac:dyDescent="0.2"/>
  <cols>
    <col min="1" max="1" width="2.7109375" style="940" customWidth="1"/>
    <col min="2" max="2" width="45.5703125" style="940" customWidth="1"/>
    <col min="3" max="3" width="14.7109375" style="940" customWidth="1"/>
    <col min="4" max="4" width="11.140625" style="940" customWidth="1"/>
    <col min="5" max="5" width="1.5703125" style="897" customWidth="1"/>
    <col min="6" max="6" width="11.28515625" style="897" customWidth="1"/>
    <col min="7" max="7" width="10" style="897" customWidth="1"/>
    <col min="8" max="8" width="10" style="941" customWidth="1"/>
    <col min="9" max="9" width="10.42578125" style="941" customWidth="1"/>
    <col min="10" max="11" width="10.140625" style="941" customWidth="1"/>
    <col min="12" max="14" width="10" style="941" customWidth="1"/>
    <col min="15" max="19" width="10" style="941" hidden="1" customWidth="1"/>
    <col min="20" max="21" width="10.7109375" style="941" hidden="1" customWidth="1"/>
    <col min="22" max="22" width="10.140625" style="941" hidden="1" customWidth="1"/>
    <col min="23" max="23" width="11" style="941" hidden="1" customWidth="1"/>
    <col min="24" max="24" width="10.140625" style="941" hidden="1" customWidth="1"/>
    <col min="25" max="25" width="10.7109375" style="941" hidden="1" customWidth="1"/>
    <col min="26" max="26" width="10.140625" style="941" hidden="1" customWidth="1"/>
    <col min="27" max="27" width="10" style="941" hidden="1" customWidth="1"/>
    <col min="28" max="28" width="9.7109375" style="941" hidden="1" customWidth="1"/>
    <col min="29" max="30" width="10.140625" style="941" hidden="1" customWidth="1"/>
    <col min="31" max="33" width="10" style="941" hidden="1" customWidth="1"/>
    <col min="34" max="34" width="10.140625" style="941" hidden="1" customWidth="1"/>
    <col min="35" max="46" width="10" style="941" hidden="1" customWidth="1"/>
    <col min="47" max="47" width="9.7109375" style="941" hidden="1" customWidth="1"/>
    <col min="48" max="49" width="9.28515625" style="941" hidden="1" customWidth="1"/>
    <col min="50" max="58" width="9.28515625" style="940" hidden="1" customWidth="1"/>
    <col min="59" max="59" width="3.140625" style="940" customWidth="1"/>
    <col min="60" max="60" width="11.7109375" style="940" hidden="1" customWidth="1"/>
    <col min="61" max="61" width="11.140625" style="940" hidden="1" customWidth="1"/>
    <col min="62" max="63" width="11.7109375" style="940" hidden="1" customWidth="1"/>
    <col min="64" max="64" width="2.85546875" style="940" hidden="1" customWidth="1"/>
    <col min="65" max="67" width="10.28515625" style="940" customWidth="1"/>
    <col min="68" max="69" width="10.7109375" style="940" customWidth="1"/>
    <col min="70" max="70" width="10.7109375" style="940" hidden="1" customWidth="1"/>
    <col min="71" max="73" width="10.28515625" style="940" hidden="1" customWidth="1"/>
    <col min="74" max="74" width="10.140625" style="940" hidden="1" customWidth="1"/>
    <col min="75" max="75" width="10" style="940" hidden="1" customWidth="1"/>
    <col min="76" max="80" width="9.7109375" style="940" hidden="1" customWidth="1"/>
    <col min="81" max="81" width="1.5703125" style="940" customWidth="1"/>
    <col min="82" max="83" width="9.140625" style="896"/>
    <col min="84" max="84" width="25.7109375" style="896" bestFit="1" customWidth="1"/>
    <col min="85" max="85" width="13.85546875" style="896" bestFit="1" customWidth="1"/>
    <col min="86" max="16384" width="9.140625" style="896"/>
  </cols>
  <sheetData>
    <row r="2" spans="1:81" x14ac:dyDescent="0.2">
      <c r="C2" s="941"/>
      <c r="S2" s="975"/>
      <c r="T2" s="974"/>
      <c r="U2" s="974"/>
      <c r="W2" s="975"/>
      <c r="X2" s="974"/>
      <c r="Y2" s="974"/>
      <c r="AA2" s="975"/>
      <c r="AB2" s="974"/>
      <c r="AC2" s="974"/>
      <c r="AE2" s="975"/>
      <c r="AF2" s="974"/>
      <c r="AG2" s="974"/>
      <c r="AI2" s="975"/>
      <c r="AJ2" s="974"/>
      <c r="AK2" s="974"/>
      <c r="AM2" s="975"/>
      <c r="AN2" s="974"/>
      <c r="AO2" s="974"/>
    </row>
    <row r="3" spans="1:81" x14ac:dyDescent="0.2">
      <c r="S3" s="977"/>
      <c r="T3" s="974"/>
      <c r="U3" s="974"/>
      <c r="V3" s="976"/>
      <c r="W3" s="977"/>
      <c r="X3" s="974"/>
      <c r="Y3" s="974"/>
      <c r="Z3" s="976"/>
      <c r="AA3" s="977"/>
      <c r="AB3" s="974"/>
      <c r="AC3" s="974"/>
      <c r="AD3" s="976"/>
      <c r="AE3" s="977"/>
      <c r="AF3" s="974"/>
      <c r="AG3" s="974"/>
      <c r="AH3" s="976"/>
      <c r="AI3" s="977"/>
      <c r="AJ3" s="974"/>
      <c r="AK3" s="974"/>
      <c r="AL3" s="976"/>
      <c r="AM3" s="975"/>
      <c r="AN3" s="974"/>
      <c r="AO3" s="974"/>
      <c r="AP3" s="976"/>
    </row>
    <row r="4" spans="1:81" x14ac:dyDescent="0.2">
      <c r="D4" s="2395"/>
      <c r="S4" s="977"/>
      <c r="T4" s="974"/>
      <c r="U4" s="974"/>
      <c r="W4" s="977"/>
      <c r="X4" s="974"/>
      <c r="Y4" s="974"/>
      <c r="AA4" s="977"/>
      <c r="AB4" s="974"/>
      <c r="AC4" s="974"/>
      <c r="AE4" s="977"/>
      <c r="AF4" s="974"/>
      <c r="AG4" s="974"/>
      <c r="AI4" s="977"/>
      <c r="AJ4" s="974"/>
      <c r="AK4" s="974"/>
      <c r="AM4" s="975"/>
      <c r="AN4" s="974"/>
      <c r="AO4" s="974"/>
    </row>
    <row r="5" spans="1:81" ht="15" x14ac:dyDescent="0.2">
      <c r="A5" s="941"/>
      <c r="B5" s="941"/>
      <c r="C5" s="941"/>
      <c r="D5" s="2393"/>
      <c r="S5" s="979"/>
      <c r="T5" s="978"/>
      <c r="U5" s="978"/>
      <c r="V5" s="978"/>
      <c r="W5" s="979"/>
      <c r="X5" s="978"/>
      <c r="Y5" s="978"/>
      <c r="Z5" s="978"/>
      <c r="AA5" s="979"/>
      <c r="AB5" s="978"/>
      <c r="AC5" s="978"/>
      <c r="AD5" s="978"/>
      <c r="AE5" s="979"/>
      <c r="AF5" s="978"/>
      <c r="AG5" s="978"/>
      <c r="AH5" s="978"/>
      <c r="AI5" s="979"/>
      <c r="AJ5" s="978"/>
      <c r="AK5" s="978"/>
      <c r="AL5" s="978"/>
      <c r="AM5" s="975"/>
      <c r="AN5" s="974"/>
      <c r="AO5" s="974"/>
      <c r="AX5" s="941"/>
      <c r="AY5" s="941"/>
      <c r="AZ5" s="941"/>
    </row>
    <row r="6" spans="1:81" ht="15" x14ac:dyDescent="0.2">
      <c r="A6" s="942" t="s">
        <v>0</v>
      </c>
      <c r="B6" s="943"/>
      <c r="C6" s="943"/>
      <c r="D6" s="943"/>
      <c r="E6" s="899"/>
      <c r="F6" s="899"/>
      <c r="G6" s="899"/>
      <c r="H6" s="943"/>
      <c r="I6" s="943"/>
      <c r="J6" s="943"/>
      <c r="K6" s="943"/>
      <c r="L6" s="943"/>
      <c r="M6" s="943"/>
      <c r="N6" s="943"/>
      <c r="O6" s="943"/>
      <c r="P6" s="943"/>
      <c r="Q6" s="943"/>
      <c r="R6" s="943"/>
      <c r="S6" s="980"/>
      <c r="T6" s="978"/>
      <c r="U6" s="978"/>
      <c r="V6" s="978"/>
      <c r="W6" s="980"/>
      <c r="X6" s="978"/>
      <c r="Y6" s="978"/>
      <c r="Z6" s="978"/>
      <c r="AA6" s="980"/>
      <c r="AB6" s="978"/>
      <c r="AC6" s="978"/>
      <c r="AD6" s="978"/>
      <c r="AE6" s="980"/>
      <c r="AF6" s="978"/>
      <c r="AG6" s="978"/>
      <c r="AH6" s="978"/>
      <c r="AI6" s="980"/>
      <c r="AJ6" s="978"/>
      <c r="AK6" s="978"/>
      <c r="AL6" s="978"/>
      <c r="AM6" s="943"/>
      <c r="AN6" s="943"/>
      <c r="AO6" s="943"/>
      <c r="AP6" s="943"/>
      <c r="AQ6" s="943"/>
      <c r="AR6" s="943"/>
      <c r="AS6" s="943"/>
      <c r="AT6" s="943"/>
      <c r="AU6" s="943"/>
      <c r="AV6" s="943"/>
      <c r="AW6" s="943"/>
      <c r="AX6" s="941"/>
      <c r="AY6" s="941"/>
      <c r="AZ6" s="941"/>
    </row>
    <row r="7" spans="1:81" ht="15" x14ac:dyDescent="0.2">
      <c r="A7" s="944"/>
      <c r="B7" s="943"/>
      <c r="C7" s="943"/>
      <c r="D7" s="943"/>
      <c r="E7" s="899"/>
      <c r="F7" s="899"/>
      <c r="G7" s="899"/>
      <c r="H7" s="943"/>
      <c r="I7" s="943"/>
      <c r="J7" s="943"/>
      <c r="K7" s="943"/>
      <c r="L7" s="943"/>
      <c r="M7" s="943"/>
      <c r="N7" s="943"/>
      <c r="O7" s="943"/>
      <c r="P7" s="943"/>
      <c r="Q7" s="943"/>
      <c r="R7" s="943"/>
      <c r="S7" s="978"/>
      <c r="T7" s="978"/>
      <c r="U7" s="978"/>
      <c r="V7" s="978"/>
      <c r="W7" s="978"/>
      <c r="X7" s="978"/>
      <c r="Y7" s="978"/>
      <c r="Z7" s="978"/>
      <c r="AA7" s="978"/>
      <c r="AB7" s="978"/>
      <c r="AC7" s="978"/>
      <c r="AD7" s="978"/>
      <c r="AE7" s="978"/>
      <c r="AF7" s="978"/>
      <c r="AG7" s="978"/>
      <c r="AH7" s="978"/>
      <c r="AI7" s="978"/>
      <c r="AJ7" s="978"/>
      <c r="AK7" s="978"/>
      <c r="AL7" s="978"/>
      <c r="AM7" s="943"/>
      <c r="AN7" s="943"/>
      <c r="AO7" s="943"/>
      <c r="AP7" s="943"/>
      <c r="AQ7" s="943"/>
      <c r="AR7" s="943"/>
      <c r="AS7" s="943"/>
      <c r="AT7" s="943"/>
      <c r="AU7" s="943"/>
      <c r="AV7" s="943"/>
      <c r="AW7" s="943"/>
      <c r="AX7" s="941"/>
      <c r="AY7" s="941"/>
      <c r="AZ7" s="941"/>
    </row>
    <row r="8" spans="1:81" ht="9.75" customHeight="1" x14ac:dyDescent="0.2">
      <c r="B8" s="941"/>
      <c r="C8" s="941"/>
      <c r="D8" s="941"/>
      <c r="S8" s="981"/>
      <c r="W8" s="981"/>
      <c r="AA8" s="981"/>
      <c r="AE8" s="981"/>
      <c r="AI8" s="981"/>
      <c r="AM8" s="981"/>
      <c r="AQ8" s="981"/>
      <c r="AR8" s="981"/>
      <c r="AS8" s="981"/>
      <c r="AV8" s="981"/>
      <c r="AX8" s="941"/>
      <c r="AY8" s="941"/>
      <c r="AZ8" s="941"/>
    </row>
    <row r="9" spans="1:81" x14ac:dyDescent="0.2">
      <c r="A9" s="945" t="s">
        <v>1</v>
      </c>
      <c r="B9" s="946"/>
      <c r="C9" s="3073" t="s">
        <v>671</v>
      </c>
      <c r="D9" s="3074"/>
      <c r="E9" s="901"/>
      <c r="F9" s="1992"/>
      <c r="G9" s="902"/>
      <c r="H9" s="982"/>
      <c r="I9" s="982"/>
      <c r="J9" s="983"/>
      <c r="K9" s="982"/>
      <c r="L9" s="982"/>
      <c r="M9" s="982"/>
      <c r="N9" s="983"/>
      <c r="O9" s="984"/>
      <c r="P9" s="982"/>
      <c r="Q9" s="982"/>
      <c r="R9" s="983"/>
      <c r="S9" s="984"/>
      <c r="T9" s="982"/>
      <c r="U9" s="982"/>
      <c r="V9" s="983"/>
      <c r="W9" s="984"/>
      <c r="X9" s="982"/>
      <c r="Y9" s="982"/>
      <c r="Z9" s="983"/>
      <c r="AA9" s="984"/>
      <c r="AB9" s="982"/>
      <c r="AC9" s="982"/>
      <c r="AD9" s="983"/>
      <c r="AE9" s="984"/>
      <c r="AF9" s="982"/>
      <c r="AG9" s="982"/>
      <c r="AH9" s="983"/>
      <c r="AI9" s="984"/>
      <c r="AJ9" s="982"/>
      <c r="AK9" s="982"/>
      <c r="AL9" s="983"/>
      <c r="AM9" s="984"/>
      <c r="AN9" s="982"/>
      <c r="AO9" s="982"/>
      <c r="AP9" s="983"/>
      <c r="AR9" s="982"/>
      <c r="AT9" s="983"/>
      <c r="AU9" s="982"/>
      <c r="AW9" s="982"/>
      <c r="AX9" s="983"/>
      <c r="AY9" s="982"/>
      <c r="AZ9" s="982"/>
      <c r="BA9" s="982"/>
      <c r="BB9" s="982"/>
      <c r="BC9" s="985"/>
      <c r="BD9" s="983"/>
      <c r="BE9" s="983"/>
      <c r="BF9" s="983"/>
      <c r="BG9" s="986"/>
      <c r="BH9" s="987" t="s">
        <v>660</v>
      </c>
      <c r="BI9" s="988"/>
      <c r="BJ9" s="988" t="s">
        <v>563</v>
      </c>
      <c r="BK9" s="989"/>
      <c r="BL9" s="990"/>
      <c r="BM9" s="991"/>
      <c r="BN9" s="991"/>
      <c r="BO9" s="991"/>
      <c r="BP9" s="991"/>
      <c r="BQ9" s="991"/>
      <c r="BR9" s="991"/>
      <c r="BS9" s="991"/>
      <c r="BT9" s="991"/>
      <c r="BU9" s="991"/>
      <c r="BV9" s="991"/>
      <c r="BW9" s="991"/>
      <c r="BX9" s="985"/>
      <c r="BY9" s="985"/>
      <c r="BZ9" s="991"/>
      <c r="CA9" s="991"/>
      <c r="CB9" s="991"/>
      <c r="CC9" s="949"/>
    </row>
    <row r="10" spans="1:81" ht="13.5" x14ac:dyDescent="0.2">
      <c r="A10" s="945" t="s">
        <v>2</v>
      </c>
      <c r="B10" s="946"/>
      <c r="C10" s="3075" t="s">
        <v>38</v>
      </c>
      <c r="D10" s="3076"/>
      <c r="E10" s="906"/>
      <c r="F10" s="995" t="s">
        <v>670</v>
      </c>
      <c r="G10" s="907" t="s">
        <v>558</v>
      </c>
      <c r="H10" s="992" t="s">
        <v>559</v>
      </c>
      <c r="I10" s="992" t="s">
        <v>560</v>
      </c>
      <c r="J10" s="993" t="s">
        <v>561</v>
      </c>
      <c r="K10" s="992" t="s">
        <v>508</v>
      </c>
      <c r="L10" s="992" t="s">
        <v>507</v>
      </c>
      <c r="M10" s="992" t="s">
        <v>506</v>
      </c>
      <c r="N10" s="993" t="s">
        <v>505</v>
      </c>
      <c r="O10" s="992" t="s">
        <v>382</v>
      </c>
      <c r="P10" s="992" t="s">
        <v>383</v>
      </c>
      <c r="Q10" s="992" t="s">
        <v>384</v>
      </c>
      <c r="R10" s="993" t="s">
        <v>385</v>
      </c>
      <c r="S10" s="992" t="s">
        <v>368</v>
      </c>
      <c r="T10" s="992" t="s">
        <v>367</v>
      </c>
      <c r="U10" s="992" t="s">
        <v>366</v>
      </c>
      <c r="V10" s="993" t="s">
        <v>364</v>
      </c>
      <c r="W10" s="992" t="s">
        <v>348</v>
      </c>
      <c r="X10" s="992" t="s">
        <v>349</v>
      </c>
      <c r="Y10" s="992" t="s">
        <v>350</v>
      </c>
      <c r="Z10" s="993" t="s">
        <v>351</v>
      </c>
      <c r="AA10" s="992" t="s">
        <v>315</v>
      </c>
      <c r="AB10" s="992" t="s">
        <v>314</v>
      </c>
      <c r="AC10" s="992" t="s">
        <v>313</v>
      </c>
      <c r="AD10" s="993" t="s">
        <v>311</v>
      </c>
      <c r="AE10" s="994" t="s">
        <v>270</v>
      </c>
      <c r="AF10" s="992" t="s">
        <v>271</v>
      </c>
      <c r="AG10" s="992" t="s">
        <v>272</v>
      </c>
      <c r="AH10" s="993" t="s">
        <v>273</v>
      </c>
      <c r="AI10" s="994" t="s">
        <v>223</v>
      </c>
      <c r="AJ10" s="992" t="s">
        <v>224</v>
      </c>
      <c r="AK10" s="992" t="s">
        <v>225</v>
      </c>
      <c r="AL10" s="993" t="s">
        <v>222</v>
      </c>
      <c r="AM10" s="994" t="s">
        <v>189</v>
      </c>
      <c r="AN10" s="992" t="s">
        <v>190</v>
      </c>
      <c r="AO10" s="992" t="s">
        <v>191</v>
      </c>
      <c r="AP10" s="993" t="s">
        <v>192</v>
      </c>
      <c r="AQ10" s="992" t="s">
        <v>121</v>
      </c>
      <c r="AR10" s="992" t="s">
        <v>120</v>
      </c>
      <c r="AS10" s="992" t="s">
        <v>119</v>
      </c>
      <c r="AT10" s="993" t="s">
        <v>118</v>
      </c>
      <c r="AU10" s="992" t="s">
        <v>81</v>
      </c>
      <c r="AV10" s="992" t="s">
        <v>82</v>
      </c>
      <c r="AW10" s="992" t="s">
        <v>83</v>
      </c>
      <c r="AX10" s="993" t="s">
        <v>29</v>
      </c>
      <c r="AY10" s="992" t="s">
        <v>30</v>
      </c>
      <c r="AZ10" s="992" t="s">
        <v>31</v>
      </c>
      <c r="BA10" s="992" t="s">
        <v>32</v>
      </c>
      <c r="BB10" s="992" t="s">
        <v>33</v>
      </c>
      <c r="BC10" s="995" t="s">
        <v>34</v>
      </c>
      <c r="BD10" s="993" t="s">
        <v>35</v>
      </c>
      <c r="BE10" s="993" t="s">
        <v>36</v>
      </c>
      <c r="BF10" s="993" t="s">
        <v>37</v>
      </c>
      <c r="BG10" s="996"/>
      <c r="BH10" s="992" t="s">
        <v>558</v>
      </c>
      <c r="BI10" s="992" t="s">
        <v>508</v>
      </c>
      <c r="BJ10" s="3071" t="s">
        <v>38</v>
      </c>
      <c r="BK10" s="3072"/>
      <c r="BL10" s="997"/>
      <c r="BM10" s="994" t="s">
        <v>562</v>
      </c>
      <c r="BN10" s="994" t="s">
        <v>509</v>
      </c>
      <c r="BO10" s="994" t="s">
        <v>502</v>
      </c>
      <c r="BP10" s="994" t="s">
        <v>379</v>
      </c>
      <c r="BQ10" s="994" t="s">
        <v>360</v>
      </c>
      <c r="BR10" s="994" t="s">
        <v>317</v>
      </c>
      <c r="BS10" s="994" t="s">
        <v>275</v>
      </c>
      <c r="BT10" s="994" t="s">
        <v>227</v>
      </c>
      <c r="BU10" s="994" t="s">
        <v>123</v>
      </c>
      <c r="BV10" s="994" t="s">
        <v>122</v>
      </c>
      <c r="BW10" s="994" t="s">
        <v>42</v>
      </c>
      <c r="BX10" s="995" t="s">
        <v>39</v>
      </c>
      <c r="BY10" s="995" t="s">
        <v>40</v>
      </c>
      <c r="BZ10" s="995" t="s">
        <v>142</v>
      </c>
      <c r="CA10" s="995" t="s">
        <v>143</v>
      </c>
      <c r="CB10" s="995" t="s">
        <v>144</v>
      </c>
      <c r="CC10" s="949"/>
    </row>
    <row r="11" spans="1:81" ht="12.75" customHeight="1" x14ac:dyDescent="0.2">
      <c r="A11" s="947" t="s">
        <v>3</v>
      </c>
      <c r="B11" s="948"/>
      <c r="C11" s="949"/>
      <c r="D11" s="950"/>
      <c r="E11" s="903"/>
      <c r="F11" s="903"/>
      <c r="J11" s="950"/>
      <c r="O11" s="984"/>
      <c r="R11" s="983"/>
      <c r="S11" s="949"/>
      <c r="V11" s="950"/>
      <c r="W11" s="949"/>
      <c r="Z11" s="950"/>
      <c r="AA11" s="949"/>
      <c r="AD11" s="950"/>
      <c r="AE11" s="949"/>
      <c r="AH11" s="950"/>
      <c r="AI11" s="949"/>
      <c r="AL11" s="950"/>
      <c r="AM11" s="949"/>
      <c r="AP11" s="950"/>
      <c r="AT11" s="950"/>
      <c r="AX11" s="950"/>
      <c r="AY11" s="941"/>
      <c r="AZ11" s="941"/>
      <c r="BA11" s="941"/>
      <c r="BB11" s="950"/>
      <c r="BC11" s="986"/>
      <c r="BD11" s="950"/>
      <c r="BE11" s="950"/>
      <c r="BF11" s="950"/>
      <c r="BG11" s="986"/>
      <c r="BH11" s="941"/>
      <c r="BI11" s="941"/>
      <c r="BJ11" s="982"/>
      <c r="BK11" s="983"/>
      <c r="BM11" s="985"/>
      <c r="BN11" s="986"/>
      <c r="BO11" s="986"/>
      <c r="BP11" s="986"/>
      <c r="BQ11" s="986"/>
      <c r="BR11" s="986"/>
      <c r="BS11" s="986"/>
      <c r="BT11" s="986"/>
      <c r="BU11" s="986"/>
      <c r="BV11" s="986"/>
      <c r="BW11" s="986"/>
      <c r="BX11" s="986"/>
      <c r="BY11" s="986"/>
      <c r="BZ11" s="998"/>
      <c r="CA11" s="998"/>
      <c r="CB11" s="985"/>
      <c r="CC11" s="949"/>
    </row>
    <row r="12" spans="1:81" ht="12.75" customHeight="1" x14ac:dyDescent="0.2">
      <c r="A12" s="946"/>
      <c r="B12" s="946" t="s">
        <v>4</v>
      </c>
      <c r="C12" s="951">
        <v>51385</v>
      </c>
      <c r="D12" s="952">
        <v>0.18745234803354699</v>
      </c>
      <c r="E12" s="909"/>
      <c r="F12" s="2940">
        <v>325508</v>
      </c>
      <c r="G12" s="898">
        <v>284808</v>
      </c>
      <c r="H12" s="974">
        <v>331600</v>
      </c>
      <c r="I12" s="974">
        <v>300036</v>
      </c>
      <c r="J12" s="999">
        <v>274123</v>
      </c>
      <c r="K12" s="974">
        <v>322080</v>
      </c>
      <c r="L12" s="974">
        <v>309442</v>
      </c>
      <c r="M12" s="974">
        <v>191547</v>
      </c>
      <c r="N12" s="974">
        <v>199808</v>
      </c>
      <c r="O12" s="951">
        <v>271656</v>
      </c>
      <c r="P12" s="974">
        <v>208108</v>
      </c>
      <c r="Q12" s="974">
        <v>193602</v>
      </c>
      <c r="R12" s="999">
        <v>206180</v>
      </c>
      <c r="S12" s="951">
        <v>200912</v>
      </c>
      <c r="T12" s="974">
        <v>181837</v>
      </c>
      <c r="U12" s="974">
        <v>190602</v>
      </c>
      <c r="V12" s="999">
        <v>214454</v>
      </c>
      <c r="W12" s="974">
        <v>232465</v>
      </c>
      <c r="X12" s="974">
        <v>166471</v>
      </c>
      <c r="Y12" s="974">
        <v>236271</v>
      </c>
      <c r="Z12" s="999">
        <v>245556</v>
      </c>
      <c r="AA12" s="974">
        <v>253748</v>
      </c>
      <c r="AB12" s="974">
        <v>230959</v>
      </c>
      <c r="AC12" s="974">
        <v>183306</v>
      </c>
      <c r="AD12" s="999">
        <v>187231</v>
      </c>
      <c r="AE12" s="974">
        <v>217971</v>
      </c>
      <c r="AF12" s="974">
        <v>230003</v>
      </c>
      <c r="AG12" s="974">
        <v>186599</v>
      </c>
      <c r="AH12" s="999">
        <v>162549</v>
      </c>
      <c r="AI12" s="974">
        <v>177692</v>
      </c>
      <c r="AJ12" s="974">
        <v>147889</v>
      </c>
      <c r="AK12" s="974">
        <v>119500</v>
      </c>
      <c r="AL12" s="999">
        <v>159783</v>
      </c>
      <c r="AM12" s="974">
        <v>247595</v>
      </c>
      <c r="AN12" s="974">
        <v>254834</v>
      </c>
      <c r="AO12" s="974">
        <v>149285</v>
      </c>
      <c r="AP12" s="999">
        <v>151917</v>
      </c>
      <c r="AQ12" s="974">
        <v>143133</v>
      </c>
      <c r="AR12" s="974">
        <v>173197</v>
      </c>
      <c r="AS12" s="974">
        <v>123744</v>
      </c>
      <c r="AT12" s="999">
        <v>137463</v>
      </c>
      <c r="AU12" s="974">
        <v>106996</v>
      </c>
      <c r="AV12" s="974">
        <v>87188</v>
      </c>
      <c r="AW12" s="974">
        <v>110829</v>
      </c>
      <c r="AX12" s="999">
        <v>172708</v>
      </c>
      <c r="AY12" s="974">
        <v>143446</v>
      </c>
      <c r="AZ12" s="974">
        <v>183354</v>
      </c>
      <c r="BA12" s="974">
        <v>158869</v>
      </c>
      <c r="BB12" s="974">
        <v>245870</v>
      </c>
      <c r="BC12" s="1000">
        <v>216443</v>
      </c>
      <c r="BD12" s="999">
        <v>178313</v>
      </c>
      <c r="BE12" s="999">
        <v>156031</v>
      </c>
      <c r="BF12" s="999">
        <v>206127</v>
      </c>
      <c r="BG12" s="1001"/>
      <c r="BH12" s="1002">
        <v>1190567</v>
      </c>
      <c r="BI12" s="1002">
        <v>1022877</v>
      </c>
      <c r="BJ12" s="974">
        <v>167690</v>
      </c>
      <c r="BK12" s="953">
        <v>0.16393955480473213</v>
      </c>
      <c r="BL12" s="1003"/>
      <c r="BM12" s="1000">
        <v>1190567</v>
      </c>
      <c r="BN12" s="1000">
        <v>1022877</v>
      </c>
      <c r="BO12" s="1000">
        <v>879546</v>
      </c>
      <c r="BP12" s="1000">
        <v>787805</v>
      </c>
      <c r="BQ12" s="1000">
        <v>880763</v>
      </c>
      <c r="BR12" s="1000">
        <v>855244</v>
      </c>
      <c r="BS12" s="1000">
        <v>797122</v>
      </c>
      <c r="BT12" s="1000">
        <v>604864</v>
      </c>
      <c r="BU12" s="1000">
        <v>803631</v>
      </c>
      <c r="BV12" s="1000">
        <v>577537</v>
      </c>
      <c r="BW12" s="1000">
        <v>477721</v>
      </c>
      <c r="BX12" s="1000">
        <v>731539</v>
      </c>
      <c r="BY12" s="1000">
        <v>756914</v>
      </c>
      <c r="BZ12" s="1000">
        <v>583415</v>
      </c>
      <c r="CA12" s="1000">
        <v>432778</v>
      </c>
      <c r="CB12" s="1000">
        <v>402157</v>
      </c>
      <c r="CC12" s="949"/>
    </row>
    <row r="13" spans="1:81" ht="12.75" customHeight="1" x14ac:dyDescent="0.2">
      <c r="A13" s="946"/>
      <c r="B13" s="946" t="s">
        <v>5</v>
      </c>
      <c r="C13" s="951">
        <v>41915</v>
      </c>
      <c r="D13" s="952">
        <v>0.16617044810320289</v>
      </c>
      <c r="E13" s="909"/>
      <c r="F13" s="2940">
        <v>294156</v>
      </c>
      <c r="G13" s="898">
        <v>279265</v>
      </c>
      <c r="H13" s="974">
        <v>290991</v>
      </c>
      <c r="I13" s="974">
        <v>275414</v>
      </c>
      <c r="J13" s="999">
        <v>252241</v>
      </c>
      <c r="K13" s="974">
        <v>324379</v>
      </c>
      <c r="L13" s="974">
        <v>262559</v>
      </c>
      <c r="M13" s="974">
        <v>198613</v>
      </c>
      <c r="N13" s="974">
        <v>201580</v>
      </c>
      <c r="O13" s="951">
        <v>234251</v>
      </c>
      <c r="P13" s="974">
        <v>202397</v>
      </c>
      <c r="Q13" s="974">
        <v>192845</v>
      </c>
      <c r="R13" s="999">
        <v>196169</v>
      </c>
      <c r="S13" s="951">
        <v>228210</v>
      </c>
      <c r="T13" s="974">
        <v>532456</v>
      </c>
      <c r="U13" s="974">
        <v>189103</v>
      </c>
      <c r="V13" s="999">
        <v>202007</v>
      </c>
      <c r="W13" s="974">
        <v>260835</v>
      </c>
      <c r="X13" s="974">
        <v>191991</v>
      </c>
      <c r="Y13" s="974">
        <v>211326</v>
      </c>
      <c r="Z13" s="999">
        <v>222268</v>
      </c>
      <c r="AA13" s="974">
        <v>221737</v>
      </c>
      <c r="AB13" s="974">
        <v>206539</v>
      </c>
      <c r="AC13" s="974">
        <v>184262</v>
      </c>
      <c r="AD13" s="999">
        <v>178118</v>
      </c>
      <c r="AE13" s="974">
        <v>211984</v>
      </c>
      <c r="AF13" s="974">
        <v>216882</v>
      </c>
      <c r="AG13" s="974">
        <v>204910</v>
      </c>
      <c r="AH13" s="999">
        <v>187048</v>
      </c>
      <c r="AI13" s="974">
        <v>207731</v>
      </c>
      <c r="AJ13" s="974">
        <v>142822</v>
      </c>
      <c r="AK13" s="974">
        <v>126396</v>
      </c>
      <c r="AL13" s="999">
        <v>144034</v>
      </c>
      <c r="AM13" s="974">
        <v>189279</v>
      </c>
      <c r="AN13" s="974">
        <v>192918</v>
      </c>
      <c r="AO13" s="974">
        <v>134676</v>
      </c>
      <c r="AP13" s="999">
        <v>144286</v>
      </c>
      <c r="AQ13" s="974">
        <v>137658</v>
      </c>
      <c r="AR13" s="974">
        <v>150887</v>
      </c>
      <c r="AS13" s="974">
        <v>115883</v>
      </c>
      <c r="AT13" s="999">
        <v>121468</v>
      </c>
      <c r="AU13" s="974">
        <v>100311</v>
      </c>
      <c r="AV13" s="974">
        <v>159625</v>
      </c>
      <c r="AW13" s="974">
        <v>115805</v>
      </c>
      <c r="AX13" s="999">
        <v>149179</v>
      </c>
      <c r="AY13" s="974">
        <v>194004</v>
      </c>
      <c r="AZ13" s="974">
        <v>159043</v>
      </c>
      <c r="BA13" s="974">
        <v>139741</v>
      </c>
      <c r="BB13" s="974">
        <v>187220</v>
      </c>
      <c r="BC13" s="1000">
        <v>176307</v>
      </c>
      <c r="BD13" s="999">
        <v>144677</v>
      </c>
      <c r="BE13" s="999">
        <v>130781</v>
      </c>
      <c r="BF13" s="999">
        <v>166952</v>
      </c>
      <c r="BG13" s="1001"/>
      <c r="BH13" s="1002">
        <v>1097911</v>
      </c>
      <c r="BI13" s="1002">
        <v>987131</v>
      </c>
      <c r="BJ13" s="974">
        <v>110780</v>
      </c>
      <c r="BK13" s="953">
        <v>0.11222421340227386</v>
      </c>
      <c r="BL13" s="1003"/>
      <c r="BM13" s="1000">
        <v>1097911</v>
      </c>
      <c r="BN13" s="1000">
        <v>987131</v>
      </c>
      <c r="BO13" s="1000">
        <v>825662</v>
      </c>
      <c r="BP13" s="1000">
        <v>1151776</v>
      </c>
      <c r="BQ13" s="1000">
        <v>886420</v>
      </c>
      <c r="BR13" s="1000">
        <v>790656</v>
      </c>
      <c r="BS13" s="1000">
        <v>820824</v>
      </c>
      <c r="BT13" s="1000">
        <v>620983</v>
      </c>
      <c r="BU13" s="1000">
        <v>661159</v>
      </c>
      <c r="BV13" s="1000">
        <v>525896</v>
      </c>
      <c r="BW13" s="1000">
        <v>524920</v>
      </c>
      <c r="BX13" s="1000">
        <v>680008</v>
      </c>
      <c r="BY13" s="1000">
        <v>618717</v>
      </c>
      <c r="BZ13" s="1000">
        <v>464385</v>
      </c>
      <c r="CA13" s="1000">
        <v>360022</v>
      </c>
      <c r="CB13" s="1000">
        <v>339600</v>
      </c>
      <c r="CC13" s="949"/>
    </row>
    <row r="14" spans="1:81" ht="12.75" customHeight="1" x14ac:dyDescent="0.2">
      <c r="A14" s="946"/>
      <c r="B14" s="946" t="s">
        <v>6</v>
      </c>
      <c r="C14" s="951">
        <v>3829</v>
      </c>
      <c r="D14" s="952">
        <v>1.1843489019486546</v>
      </c>
      <c r="E14" s="909"/>
      <c r="F14" s="2940">
        <v>7062</v>
      </c>
      <c r="G14" s="898">
        <v>3087</v>
      </c>
      <c r="H14" s="974">
        <v>8151</v>
      </c>
      <c r="I14" s="974">
        <v>6603</v>
      </c>
      <c r="J14" s="999">
        <v>3233</v>
      </c>
      <c r="K14" s="974">
        <v>7404</v>
      </c>
      <c r="L14" s="974">
        <v>10285</v>
      </c>
      <c r="M14" s="974">
        <v>192</v>
      </c>
      <c r="N14" s="974">
        <v>788</v>
      </c>
      <c r="O14" s="951">
        <v>6418</v>
      </c>
      <c r="P14" s="974">
        <v>1167</v>
      </c>
      <c r="Q14" s="974">
        <v>557</v>
      </c>
      <c r="R14" s="999">
        <v>2556</v>
      </c>
      <c r="S14" s="951">
        <v>-4589</v>
      </c>
      <c r="T14" s="974">
        <v>-4231</v>
      </c>
      <c r="U14" s="974">
        <v>1930</v>
      </c>
      <c r="V14" s="999">
        <v>1486</v>
      </c>
      <c r="W14" s="974">
        <v>-2048</v>
      </c>
      <c r="X14" s="974">
        <v>-4041</v>
      </c>
      <c r="Y14" s="974">
        <v>7331</v>
      </c>
      <c r="Z14" s="999">
        <v>4419</v>
      </c>
      <c r="AA14" s="974">
        <v>6091</v>
      </c>
      <c r="AB14" s="974">
        <v>6086</v>
      </c>
      <c r="AC14" s="974">
        <v>-876</v>
      </c>
      <c r="AD14" s="999">
        <v>1230</v>
      </c>
      <c r="AE14" s="974">
        <v>-437</v>
      </c>
      <c r="AF14" s="974">
        <v>2857</v>
      </c>
      <c r="AG14" s="974">
        <v>-3470</v>
      </c>
      <c r="AH14" s="999">
        <v>-3877</v>
      </c>
      <c r="AI14" s="974">
        <v>1755</v>
      </c>
      <c r="AJ14" s="974">
        <v>2536</v>
      </c>
      <c r="AK14" s="974">
        <v>-1618</v>
      </c>
      <c r="AL14" s="999">
        <v>2554</v>
      </c>
      <c r="AM14" s="974">
        <v>16993</v>
      </c>
      <c r="AN14" s="974">
        <v>18919</v>
      </c>
      <c r="AO14" s="974">
        <v>4358</v>
      </c>
      <c r="AP14" s="999">
        <v>2459</v>
      </c>
      <c r="AQ14" s="974">
        <v>-2051</v>
      </c>
      <c r="AR14" s="974">
        <v>7197</v>
      </c>
      <c r="AS14" s="974">
        <v>1115</v>
      </c>
      <c r="AT14" s="999">
        <v>6883</v>
      </c>
      <c r="AU14" s="974">
        <v>3019</v>
      </c>
      <c r="AV14" s="974">
        <v>-10059</v>
      </c>
      <c r="AW14" s="974">
        <v>422</v>
      </c>
      <c r="AX14" s="999">
        <v>7070</v>
      </c>
      <c r="AY14" s="974">
        <v>-15404</v>
      </c>
      <c r="AZ14" s="974">
        <v>9263</v>
      </c>
      <c r="BA14" s="974">
        <v>6717</v>
      </c>
      <c r="BB14" s="974">
        <v>19621</v>
      </c>
      <c r="BC14" s="1000">
        <v>14120</v>
      </c>
      <c r="BD14" s="999">
        <v>9944</v>
      </c>
      <c r="BE14" s="999">
        <v>7444</v>
      </c>
      <c r="BF14" s="999">
        <v>13233</v>
      </c>
      <c r="BG14" s="1001"/>
      <c r="BH14" s="1002">
        <v>21074</v>
      </c>
      <c r="BI14" s="1002">
        <v>18669</v>
      </c>
      <c r="BJ14" s="974">
        <v>2405</v>
      </c>
      <c r="BK14" s="953">
        <v>0.12882318281643365</v>
      </c>
      <c r="BL14" s="1003"/>
      <c r="BM14" s="1000">
        <v>21074</v>
      </c>
      <c r="BN14" s="1000">
        <v>18669</v>
      </c>
      <c r="BO14" s="1000">
        <v>10698</v>
      </c>
      <c r="BP14" s="1000">
        <v>-5404</v>
      </c>
      <c r="BQ14" s="1000">
        <v>5661</v>
      </c>
      <c r="BR14" s="1000">
        <v>12531</v>
      </c>
      <c r="BS14" s="1000">
        <v>-4927</v>
      </c>
      <c r="BT14" s="1000">
        <v>5227</v>
      </c>
      <c r="BU14" s="1000">
        <v>42729</v>
      </c>
      <c r="BV14" s="1000">
        <v>13144</v>
      </c>
      <c r="BW14" s="1000">
        <v>452</v>
      </c>
      <c r="BX14" s="1000">
        <v>20197</v>
      </c>
      <c r="BY14" s="1000">
        <v>44741</v>
      </c>
      <c r="BZ14" s="1000">
        <v>37880</v>
      </c>
      <c r="CA14" s="1000">
        <v>24177</v>
      </c>
      <c r="CB14" s="1000">
        <v>22128</v>
      </c>
      <c r="CC14" s="949"/>
    </row>
    <row r="15" spans="1:81" ht="12.75" customHeight="1" x14ac:dyDescent="0.2">
      <c r="A15" s="946"/>
      <c r="B15" s="946" t="s">
        <v>7</v>
      </c>
      <c r="C15" s="951">
        <v>5641</v>
      </c>
      <c r="D15" s="952">
        <v>0.30248270684755213</v>
      </c>
      <c r="E15" s="909"/>
      <c r="F15" s="2940">
        <v>24290</v>
      </c>
      <c r="G15" s="898">
        <v>2456</v>
      </c>
      <c r="H15" s="974">
        <v>32458</v>
      </c>
      <c r="I15" s="974">
        <v>18019</v>
      </c>
      <c r="J15" s="999">
        <v>18649</v>
      </c>
      <c r="K15" s="974">
        <v>-9703</v>
      </c>
      <c r="L15" s="974">
        <v>36598</v>
      </c>
      <c r="M15" s="974">
        <v>-7258</v>
      </c>
      <c r="N15" s="974">
        <v>-2560</v>
      </c>
      <c r="O15" s="951">
        <v>30987</v>
      </c>
      <c r="P15" s="974">
        <v>4544</v>
      </c>
      <c r="Q15" s="974">
        <v>200</v>
      </c>
      <c r="R15" s="999">
        <v>7455</v>
      </c>
      <c r="S15" s="951">
        <v>-22709</v>
      </c>
      <c r="T15" s="974">
        <v>-346388</v>
      </c>
      <c r="U15" s="974">
        <v>-431</v>
      </c>
      <c r="V15" s="999">
        <v>10961</v>
      </c>
      <c r="W15" s="974">
        <v>-26322</v>
      </c>
      <c r="X15" s="974">
        <v>-21479</v>
      </c>
      <c r="Y15" s="974">
        <v>17614</v>
      </c>
      <c r="Z15" s="999">
        <v>18869</v>
      </c>
      <c r="AA15" s="974">
        <v>25920</v>
      </c>
      <c r="AB15" s="974">
        <v>18334</v>
      </c>
      <c r="AC15" s="974">
        <v>-80</v>
      </c>
      <c r="AD15" s="999">
        <v>7883</v>
      </c>
      <c r="AE15" s="974">
        <v>6424</v>
      </c>
      <c r="AF15" s="974">
        <v>10264</v>
      </c>
      <c r="AG15" s="974">
        <v>-14841</v>
      </c>
      <c r="AH15" s="999">
        <v>-20622</v>
      </c>
      <c r="AI15" s="974">
        <v>-31794</v>
      </c>
      <c r="AJ15" s="974">
        <v>2531</v>
      </c>
      <c r="AK15" s="974">
        <v>-5278</v>
      </c>
      <c r="AL15" s="999">
        <v>13195</v>
      </c>
      <c r="AM15" s="974">
        <v>41323</v>
      </c>
      <c r="AN15" s="974">
        <v>42997</v>
      </c>
      <c r="AO15" s="974">
        <v>10251</v>
      </c>
      <c r="AP15" s="999">
        <v>5172</v>
      </c>
      <c r="AQ15" s="974">
        <v>7526</v>
      </c>
      <c r="AR15" s="974">
        <v>15113</v>
      </c>
      <c r="AS15" s="974">
        <v>6746</v>
      </c>
      <c r="AT15" s="999">
        <v>9112</v>
      </c>
      <c r="AU15" s="974">
        <v>3666</v>
      </c>
      <c r="AV15" s="974">
        <v>-62378</v>
      </c>
      <c r="AW15" s="974">
        <v>-5398</v>
      </c>
      <c r="AX15" s="999">
        <v>16459</v>
      </c>
      <c r="AY15" s="974">
        <v>-35154</v>
      </c>
      <c r="AZ15" s="974">
        <v>15048</v>
      </c>
      <c r="BA15" s="974">
        <v>12411</v>
      </c>
      <c r="BB15" s="974">
        <v>39029</v>
      </c>
      <c r="BC15" s="1000">
        <v>26016</v>
      </c>
      <c r="BD15" s="999">
        <v>23692</v>
      </c>
      <c r="BE15" s="999">
        <v>17806</v>
      </c>
      <c r="BF15" s="999">
        <v>25942</v>
      </c>
      <c r="BG15" s="1001"/>
      <c r="BH15" s="1002">
        <v>71582</v>
      </c>
      <c r="BI15" s="1002">
        <v>17077</v>
      </c>
      <c r="BJ15" s="974">
        <v>54505</v>
      </c>
      <c r="BK15" s="953" t="s">
        <v>41</v>
      </c>
      <c r="BL15" s="1003"/>
      <c r="BM15" s="1000">
        <v>71582</v>
      </c>
      <c r="BN15" s="1000">
        <v>17077</v>
      </c>
      <c r="BO15" s="1000">
        <v>43186</v>
      </c>
      <c r="BP15" s="1000">
        <v>-358567</v>
      </c>
      <c r="BQ15" s="1000">
        <v>-11318</v>
      </c>
      <c r="BR15" s="1000">
        <v>52057</v>
      </c>
      <c r="BS15" s="1000">
        <v>-18775</v>
      </c>
      <c r="BT15" s="1000">
        <v>-21346</v>
      </c>
      <c r="BU15" s="1000">
        <v>99743</v>
      </c>
      <c r="BV15" s="1000">
        <v>38497</v>
      </c>
      <c r="BW15" s="1000">
        <v>-47651</v>
      </c>
      <c r="BX15" s="1000">
        <v>31334</v>
      </c>
      <c r="BY15" s="1000">
        <v>93456</v>
      </c>
      <c r="BZ15" s="1000">
        <v>81150</v>
      </c>
      <c r="CA15" s="1000">
        <v>48579</v>
      </c>
      <c r="CB15" s="1000">
        <v>40429</v>
      </c>
      <c r="CC15" s="949"/>
    </row>
    <row r="16" spans="1:81" ht="12.75" customHeight="1" x14ac:dyDescent="0.2">
      <c r="A16" s="946"/>
      <c r="B16" s="946" t="s">
        <v>343</v>
      </c>
      <c r="C16" s="951">
        <v>6589</v>
      </c>
      <c r="D16" s="952">
        <v>0.37403496821071752</v>
      </c>
      <c r="E16" s="909"/>
      <c r="F16" s="2940">
        <v>24205</v>
      </c>
      <c r="G16" s="898">
        <v>2663</v>
      </c>
      <c r="H16" s="974">
        <v>32457</v>
      </c>
      <c r="I16" s="974">
        <v>17794</v>
      </c>
      <c r="J16" s="999">
        <v>17616</v>
      </c>
      <c r="K16" s="974">
        <v>-11661</v>
      </c>
      <c r="L16" s="974">
        <v>34432</v>
      </c>
      <c r="M16" s="974">
        <v>-7485</v>
      </c>
      <c r="N16" s="974">
        <v>-2262</v>
      </c>
      <c r="O16" s="951">
        <v>28886</v>
      </c>
      <c r="P16" s="974">
        <v>3755</v>
      </c>
      <c r="Q16" s="974">
        <v>-1220</v>
      </c>
      <c r="R16" s="999">
        <v>6682</v>
      </c>
      <c r="S16" s="951">
        <v>-22503</v>
      </c>
      <c r="T16" s="974">
        <v>-346277</v>
      </c>
      <c r="U16" s="974">
        <v>-105</v>
      </c>
      <c r="V16" s="999">
        <v>10414</v>
      </c>
      <c r="W16" s="974">
        <v>-26994</v>
      </c>
      <c r="X16" s="974">
        <v>-21380</v>
      </c>
      <c r="Y16" s="974">
        <v>17109</v>
      </c>
      <c r="Z16" s="999">
        <v>18081</v>
      </c>
      <c r="AA16" s="974">
        <v>25734</v>
      </c>
      <c r="AB16" s="974">
        <v>17321</v>
      </c>
      <c r="AC16" s="974">
        <v>-383</v>
      </c>
      <c r="AD16" s="999">
        <v>8741</v>
      </c>
      <c r="AE16" s="974">
        <v>6830</v>
      </c>
      <c r="AF16" s="974">
        <v>10880</v>
      </c>
      <c r="AG16" s="974">
        <v>-14562</v>
      </c>
      <c r="AH16" s="999">
        <v>-19967</v>
      </c>
      <c r="AI16" s="974">
        <v>-31250</v>
      </c>
      <c r="AJ16" s="974">
        <v>3026</v>
      </c>
      <c r="AK16" s="974">
        <v>-5278</v>
      </c>
      <c r="AL16" s="999">
        <v>13195</v>
      </c>
      <c r="AM16" s="974">
        <v>41323</v>
      </c>
      <c r="AN16" s="974">
        <v>42997</v>
      </c>
      <c r="AO16" s="974">
        <v>10251</v>
      </c>
      <c r="AP16" s="999">
        <v>5172</v>
      </c>
      <c r="AQ16" s="974">
        <v>7526</v>
      </c>
      <c r="AR16" s="974">
        <v>15113</v>
      </c>
      <c r="AS16" s="974"/>
      <c r="AT16" s="999"/>
      <c r="AU16" s="974"/>
      <c r="AV16" s="974"/>
      <c r="AW16" s="974"/>
      <c r="AX16" s="999"/>
      <c r="AY16" s="974"/>
      <c r="AZ16" s="974"/>
      <c r="BA16" s="974"/>
      <c r="BB16" s="974"/>
      <c r="BC16" s="1000"/>
      <c r="BD16" s="999"/>
      <c r="BE16" s="999"/>
      <c r="BF16" s="999"/>
      <c r="BG16" s="1001"/>
      <c r="BH16" s="1002">
        <v>70530</v>
      </c>
      <c r="BI16" s="1002">
        <v>13024</v>
      </c>
      <c r="BJ16" s="974">
        <v>57506</v>
      </c>
      <c r="BK16" s="953" t="s">
        <v>41</v>
      </c>
      <c r="BL16" s="1003"/>
      <c r="BM16" s="1000">
        <v>70530</v>
      </c>
      <c r="BN16" s="1000">
        <v>13024</v>
      </c>
      <c r="BO16" s="1000">
        <v>38103</v>
      </c>
      <c r="BP16" s="1000">
        <v>-358471</v>
      </c>
      <c r="BQ16" s="1000">
        <v>-13184</v>
      </c>
      <c r="BR16" s="1000">
        <v>51413</v>
      </c>
      <c r="BS16" s="1000">
        <v>-16819</v>
      </c>
      <c r="BT16" s="1000">
        <v>-20307</v>
      </c>
      <c r="BU16" s="1000">
        <v>99743</v>
      </c>
      <c r="BV16" s="1000">
        <v>38497</v>
      </c>
      <c r="BW16" s="1000">
        <v>-47651</v>
      </c>
      <c r="BX16" s="1000">
        <v>31334</v>
      </c>
      <c r="BY16" s="1000">
        <v>93456</v>
      </c>
      <c r="BZ16" s="1000"/>
      <c r="CA16" s="1000"/>
      <c r="CB16" s="1000"/>
      <c r="CC16" s="949"/>
    </row>
    <row r="17" spans="1:81" ht="12.75" customHeight="1" x14ac:dyDescent="0.2">
      <c r="A17" s="946"/>
      <c r="B17" s="946" t="s">
        <v>347</v>
      </c>
      <c r="C17" s="951">
        <v>6589</v>
      </c>
      <c r="D17" s="952">
        <v>0.43164100884376022</v>
      </c>
      <c r="E17" s="909"/>
      <c r="F17" s="2940">
        <v>21854</v>
      </c>
      <c r="G17" s="898">
        <v>312</v>
      </c>
      <c r="H17" s="974">
        <v>30106</v>
      </c>
      <c r="I17" s="974">
        <v>15443</v>
      </c>
      <c r="J17" s="999">
        <v>15265</v>
      </c>
      <c r="K17" s="974">
        <v>-14012</v>
      </c>
      <c r="L17" s="974">
        <v>32081</v>
      </c>
      <c r="M17" s="974">
        <v>-9836</v>
      </c>
      <c r="N17" s="974">
        <v>-4802</v>
      </c>
      <c r="O17" s="951">
        <v>26346</v>
      </c>
      <c r="P17" s="974">
        <v>1215</v>
      </c>
      <c r="Q17" s="974">
        <v>-4219</v>
      </c>
      <c r="R17" s="999">
        <v>3683</v>
      </c>
      <c r="S17" s="951">
        <v>-25501</v>
      </c>
      <c r="T17" s="974">
        <v>-349275</v>
      </c>
      <c r="U17" s="974">
        <v>-3103</v>
      </c>
      <c r="V17" s="999">
        <v>7416</v>
      </c>
      <c r="W17" s="974">
        <v>-29992</v>
      </c>
      <c r="X17" s="974">
        <v>-24340</v>
      </c>
      <c r="Y17" s="974">
        <v>14188</v>
      </c>
      <c r="Z17" s="999">
        <v>15083</v>
      </c>
      <c r="AA17" s="974">
        <v>22774</v>
      </c>
      <c r="AB17" s="974">
        <v>14400</v>
      </c>
      <c r="AC17" s="974">
        <v>-3304</v>
      </c>
      <c r="AD17" s="999">
        <v>5781</v>
      </c>
      <c r="AE17" s="974">
        <v>3943</v>
      </c>
      <c r="AF17" s="974">
        <v>7882</v>
      </c>
      <c r="AG17" s="974">
        <v>-17560</v>
      </c>
      <c r="AH17" s="999">
        <v>-22804</v>
      </c>
      <c r="AI17" s="974">
        <v>-32357</v>
      </c>
      <c r="AJ17" s="974">
        <v>1208</v>
      </c>
      <c r="AK17" s="974">
        <v>-7078</v>
      </c>
      <c r="AL17" s="999">
        <v>13105</v>
      </c>
      <c r="AM17" s="974">
        <v>41323</v>
      </c>
      <c r="AN17" s="974">
        <v>42997</v>
      </c>
      <c r="AO17" s="974">
        <v>10251</v>
      </c>
      <c r="AP17" s="999">
        <v>5172</v>
      </c>
      <c r="AQ17" s="974">
        <v>7526</v>
      </c>
      <c r="AR17" s="974">
        <v>15113</v>
      </c>
      <c r="AS17" s="974">
        <v>6746</v>
      </c>
      <c r="AT17" s="999"/>
      <c r="AU17" s="974"/>
      <c r="AV17" s="974"/>
      <c r="AW17" s="974"/>
      <c r="AX17" s="999"/>
      <c r="AY17" s="974"/>
      <c r="AZ17" s="974"/>
      <c r="BA17" s="974"/>
      <c r="BB17" s="974"/>
      <c r="BC17" s="1000"/>
      <c r="BD17" s="999"/>
      <c r="BE17" s="999"/>
      <c r="BF17" s="999"/>
      <c r="BG17" s="1001"/>
      <c r="BH17" s="1002">
        <v>61126</v>
      </c>
      <c r="BI17" s="1002">
        <v>3431</v>
      </c>
      <c r="BJ17" s="974">
        <v>57695</v>
      </c>
      <c r="BK17" s="953" t="s">
        <v>41</v>
      </c>
      <c r="BL17" s="1003"/>
      <c r="BM17" s="1000">
        <v>61126</v>
      </c>
      <c r="BN17" s="1000">
        <v>3431</v>
      </c>
      <c r="BO17" s="1000">
        <v>27025</v>
      </c>
      <c r="BP17" s="1000">
        <v>-370463</v>
      </c>
      <c r="BQ17" s="1000">
        <v>-25061</v>
      </c>
      <c r="BR17" s="1000">
        <v>39651</v>
      </c>
      <c r="BS17" s="1000">
        <v>-28539</v>
      </c>
      <c r="BT17" s="1000">
        <v>-25122</v>
      </c>
      <c r="BU17" s="1000">
        <v>99743</v>
      </c>
      <c r="BV17" s="1000">
        <v>38497</v>
      </c>
      <c r="BW17" s="1000">
        <v>-47651</v>
      </c>
      <c r="BX17" s="1000">
        <v>31334</v>
      </c>
      <c r="BY17" s="1000">
        <v>93456</v>
      </c>
      <c r="BZ17" s="1000"/>
      <c r="CA17" s="1000"/>
      <c r="CB17" s="1000"/>
      <c r="CC17" s="949"/>
    </row>
    <row r="18" spans="1:81" ht="9.75" customHeight="1" x14ac:dyDescent="0.2">
      <c r="A18" s="946"/>
      <c r="B18" s="946"/>
      <c r="C18" s="951"/>
      <c r="D18" s="953"/>
      <c r="E18" s="909"/>
      <c r="F18" s="2941"/>
      <c r="G18" s="1972"/>
      <c r="H18" s="1005"/>
      <c r="I18" s="974"/>
      <c r="J18" s="999"/>
      <c r="K18" s="1005"/>
      <c r="L18" s="1005"/>
      <c r="M18" s="974"/>
      <c r="N18" s="974"/>
      <c r="O18" s="1947"/>
      <c r="P18" s="1005"/>
      <c r="Q18" s="974"/>
      <c r="R18" s="999"/>
      <c r="S18" s="1947"/>
      <c r="T18" s="1005"/>
      <c r="U18" s="974"/>
      <c r="V18" s="999"/>
      <c r="W18" s="1004"/>
      <c r="X18" s="1005"/>
      <c r="Y18" s="974"/>
      <c r="Z18" s="999"/>
      <c r="AA18" s="1004"/>
      <c r="AB18" s="1005"/>
      <c r="AC18" s="974"/>
      <c r="AD18" s="999"/>
      <c r="AE18" s="1004"/>
      <c r="AF18" s="1005"/>
      <c r="AG18" s="974"/>
      <c r="AH18" s="999"/>
      <c r="AI18" s="1004"/>
      <c r="AJ18" s="1005"/>
      <c r="AK18" s="974"/>
      <c r="AL18" s="999"/>
      <c r="AM18" s="1004"/>
      <c r="AN18" s="1005"/>
      <c r="AO18" s="974"/>
      <c r="AP18" s="999"/>
      <c r="AQ18" s="1004"/>
      <c r="AR18" s="1004"/>
      <c r="AS18" s="974"/>
      <c r="AT18" s="999"/>
      <c r="AU18" s="1004"/>
      <c r="AV18" s="1004"/>
      <c r="AW18" s="974"/>
      <c r="AX18" s="999"/>
      <c r="AY18" s="974"/>
      <c r="AZ18" s="974"/>
      <c r="BA18" s="974"/>
      <c r="BB18" s="974"/>
      <c r="BC18" s="1000"/>
      <c r="BD18" s="999"/>
      <c r="BE18" s="999"/>
      <c r="BF18" s="999"/>
      <c r="BG18" s="1001"/>
      <c r="BH18" s="971"/>
      <c r="BI18" s="971"/>
      <c r="BJ18" s="974"/>
      <c r="BK18" s="953"/>
      <c r="BL18" s="1003"/>
      <c r="BM18" s="1000"/>
      <c r="BN18" s="1000"/>
      <c r="BO18" s="1000"/>
      <c r="BP18" s="1000"/>
      <c r="BQ18" s="1000"/>
      <c r="BR18" s="1000"/>
      <c r="BS18" s="1000"/>
      <c r="BT18" s="1000"/>
      <c r="BU18" s="1000"/>
      <c r="BV18" s="1000"/>
      <c r="BW18" s="1000"/>
      <c r="BX18" s="1000"/>
      <c r="BY18" s="1000"/>
      <c r="BZ18" s="2920"/>
      <c r="CA18" s="2920"/>
      <c r="CB18" s="2920"/>
      <c r="CC18" s="949"/>
    </row>
    <row r="19" spans="1:81" ht="12.75" customHeight="1" x14ac:dyDescent="0.2">
      <c r="A19" s="947" t="s">
        <v>8</v>
      </c>
      <c r="B19" s="946"/>
      <c r="C19" s="951"/>
      <c r="D19" s="953"/>
      <c r="E19" s="909"/>
      <c r="F19" s="909"/>
      <c r="G19" s="912"/>
      <c r="H19" s="1004"/>
      <c r="I19" s="974"/>
      <c r="J19" s="999"/>
      <c r="K19" s="1004"/>
      <c r="L19" s="1004"/>
      <c r="M19" s="974"/>
      <c r="N19" s="974"/>
      <c r="O19" s="1128"/>
      <c r="P19" s="1004"/>
      <c r="Q19" s="974"/>
      <c r="R19" s="999"/>
      <c r="S19" s="1128"/>
      <c r="T19" s="1004"/>
      <c r="U19" s="974"/>
      <c r="V19" s="999"/>
      <c r="W19" s="1004"/>
      <c r="X19" s="1004"/>
      <c r="Y19" s="974"/>
      <c r="Z19" s="999"/>
      <c r="AA19" s="1004"/>
      <c r="AB19" s="1004"/>
      <c r="AC19" s="974"/>
      <c r="AD19" s="999"/>
      <c r="AE19" s="1004"/>
      <c r="AF19" s="1004"/>
      <c r="AG19" s="974"/>
      <c r="AH19" s="999"/>
      <c r="AI19" s="1004"/>
      <c r="AJ19" s="1004"/>
      <c r="AK19" s="974"/>
      <c r="AL19" s="999"/>
      <c r="AM19" s="1004"/>
      <c r="AN19" s="1004"/>
      <c r="AO19" s="974"/>
      <c r="AP19" s="999"/>
      <c r="AQ19" s="1004"/>
      <c r="AR19" s="1004"/>
      <c r="AS19" s="974"/>
      <c r="AT19" s="999"/>
      <c r="AU19" s="1004"/>
      <c r="AV19" s="1004"/>
      <c r="AW19" s="974"/>
      <c r="AX19" s="999"/>
      <c r="AY19" s="974"/>
      <c r="AZ19" s="974"/>
      <c r="BA19" s="974"/>
      <c r="BB19" s="974"/>
      <c r="BC19" s="1000"/>
      <c r="BD19" s="999"/>
      <c r="BE19" s="999"/>
      <c r="BF19" s="999"/>
      <c r="BG19" s="1001"/>
      <c r="BH19" s="971"/>
      <c r="BI19" s="971"/>
      <c r="BJ19" s="974"/>
      <c r="BK19" s="953"/>
      <c r="BL19" s="1003"/>
      <c r="BM19" s="1000"/>
      <c r="BN19" s="1000"/>
      <c r="BO19" s="1000"/>
      <c r="BP19" s="1000"/>
      <c r="BQ19" s="1000"/>
      <c r="BR19" s="1000"/>
      <c r="BS19" s="1000"/>
      <c r="BT19" s="1000"/>
      <c r="BU19" s="1000"/>
      <c r="BV19" s="1000"/>
      <c r="BW19" s="1000"/>
      <c r="BX19" s="1000"/>
      <c r="BY19" s="1000"/>
      <c r="BZ19" s="1000"/>
      <c r="CA19" s="1000"/>
      <c r="CB19" s="1000"/>
      <c r="CC19" s="949"/>
    </row>
    <row r="20" spans="1:81" ht="12.75" customHeight="1" x14ac:dyDescent="0.2">
      <c r="A20" s="948"/>
      <c r="B20" s="946" t="s">
        <v>9</v>
      </c>
      <c r="C20" s="951">
        <v>1136660</v>
      </c>
      <c r="D20" s="952">
        <v>0.26923357515545371</v>
      </c>
      <c r="E20" s="909"/>
      <c r="F20" s="2940">
        <v>5358496</v>
      </c>
      <c r="G20" s="914">
        <v>4749294</v>
      </c>
      <c r="H20" s="974">
        <v>3998083</v>
      </c>
      <c r="I20" s="974">
        <v>4220131</v>
      </c>
      <c r="J20" s="999">
        <v>4221836</v>
      </c>
      <c r="K20" s="974">
        <v>4020736</v>
      </c>
      <c r="L20" s="974">
        <v>3317204</v>
      </c>
      <c r="M20" s="974">
        <v>3413398</v>
      </c>
      <c r="N20" s="974">
        <v>3623250</v>
      </c>
      <c r="O20" s="951">
        <v>5203516</v>
      </c>
      <c r="P20" s="974">
        <v>2776098</v>
      </c>
      <c r="Q20" s="974">
        <v>3960901</v>
      </c>
      <c r="R20" s="999">
        <v>4083107</v>
      </c>
      <c r="S20" s="951">
        <v>3424546</v>
      </c>
      <c r="T20" s="974">
        <v>2763315</v>
      </c>
      <c r="U20" s="974">
        <v>3981552</v>
      </c>
      <c r="V20" s="999">
        <v>4428413</v>
      </c>
      <c r="W20" s="974">
        <v>4369905</v>
      </c>
      <c r="X20" s="974">
        <v>3930036</v>
      </c>
      <c r="Y20" s="974">
        <v>4719202</v>
      </c>
      <c r="Z20" s="999">
        <v>4371138</v>
      </c>
      <c r="AA20" s="974">
        <v>5014622</v>
      </c>
      <c r="AB20" s="974">
        <v>4122920</v>
      </c>
      <c r="AC20" s="974">
        <v>4245682</v>
      </c>
      <c r="AD20" s="999">
        <v>5327433</v>
      </c>
      <c r="AE20" s="974">
        <v>4603502</v>
      </c>
      <c r="AF20" s="1006">
        <v>4977201</v>
      </c>
      <c r="AG20" s="974">
        <v>5102481</v>
      </c>
      <c r="AH20" s="999">
        <v>5105838</v>
      </c>
      <c r="AI20" s="974">
        <v>5762723</v>
      </c>
      <c r="AJ20" s="974">
        <v>4439877</v>
      </c>
      <c r="AK20" s="974">
        <v>5665166</v>
      </c>
      <c r="AL20" s="999">
        <v>4429105</v>
      </c>
      <c r="AM20" s="974">
        <v>5097500</v>
      </c>
      <c r="AN20" s="974">
        <v>4555884</v>
      </c>
      <c r="AO20" s="974">
        <v>5261916</v>
      </c>
      <c r="AP20" s="999">
        <v>3961904</v>
      </c>
      <c r="AQ20" s="974">
        <v>3123848</v>
      </c>
      <c r="AR20" s="974">
        <v>2583857</v>
      </c>
      <c r="AS20" s="974">
        <v>3407005</v>
      </c>
      <c r="AT20" s="999">
        <v>2184790</v>
      </c>
      <c r="AU20" s="974">
        <v>2022099</v>
      </c>
      <c r="AV20" s="974">
        <v>1679685</v>
      </c>
      <c r="AW20" s="974">
        <v>1942070</v>
      </c>
      <c r="AX20" s="999">
        <v>2333893</v>
      </c>
      <c r="AY20" s="974">
        <v>2098718</v>
      </c>
      <c r="AZ20" s="974">
        <v>1972741</v>
      </c>
      <c r="BA20" s="974">
        <v>2525725</v>
      </c>
      <c r="BB20" s="974">
        <v>2693627</v>
      </c>
      <c r="BC20" s="1000">
        <v>2609942</v>
      </c>
      <c r="BD20" s="999">
        <v>1794143</v>
      </c>
      <c r="BE20" s="999">
        <v>1665413</v>
      </c>
      <c r="BF20" s="999">
        <v>1789397</v>
      </c>
      <c r="BG20" s="1001"/>
      <c r="BH20" s="1002">
        <v>4749294</v>
      </c>
      <c r="BI20" s="1002">
        <v>4020736</v>
      </c>
      <c r="BJ20" s="974">
        <v>728558</v>
      </c>
      <c r="BK20" s="953">
        <v>0.18120015837896344</v>
      </c>
      <c r="BL20" s="1003"/>
      <c r="BM20" s="1000">
        <v>4749294</v>
      </c>
      <c r="BN20" s="1000">
        <v>4020736</v>
      </c>
      <c r="BO20" s="1000">
        <v>5203516</v>
      </c>
      <c r="BP20" s="1000">
        <v>3424546</v>
      </c>
      <c r="BQ20" s="1000">
        <v>4369905</v>
      </c>
      <c r="BR20" s="1000">
        <v>5014622</v>
      </c>
      <c r="BS20" s="1000">
        <v>4603502</v>
      </c>
      <c r="BT20" s="1000">
        <v>5762723</v>
      </c>
      <c r="BU20" s="1000">
        <v>5097500</v>
      </c>
      <c r="BV20" s="1000">
        <v>3123848</v>
      </c>
      <c r="BW20" s="1000">
        <v>2022099</v>
      </c>
      <c r="BX20" s="1000">
        <v>2098718</v>
      </c>
      <c r="BY20" s="1000">
        <v>2609942</v>
      </c>
      <c r="BZ20" s="1000">
        <v>2177973</v>
      </c>
      <c r="CA20" s="1000">
        <v>1638165</v>
      </c>
      <c r="CB20" s="1000">
        <v>1508366</v>
      </c>
      <c r="CC20" s="949"/>
    </row>
    <row r="21" spans="1:81" ht="12.75" customHeight="1" x14ac:dyDescent="0.2">
      <c r="A21" s="948"/>
      <c r="B21" s="946" t="s">
        <v>10</v>
      </c>
      <c r="C21" s="951">
        <v>1129503</v>
      </c>
      <c r="D21" s="952">
        <v>0.33348085774768899</v>
      </c>
      <c r="E21" s="909"/>
      <c r="F21" s="2940">
        <v>4516513</v>
      </c>
      <c r="G21" s="914">
        <v>3870934</v>
      </c>
      <c r="H21" s="974">
        <v>3156579</v>
      </c>
      <c r="I21" s="974">
        <v>3420074</v>
      </c>
      <c r="J21" s="999">
        <v>3387010</v>
      </c>
      <c r="K21" s="974">
        <v>3165813</v>
      </c>
      <c r="L21" s="974">
        <v>2538841</v>
      </c>
      <c r="M21" s="974">
        <v>2679660</v>
      </c>
      <c r="N21" s="974">
        <v>2868892</v>
      </c>
      <c r="O21" s="951">
        <v>4426873</v>
      </c>
      <c r="P21" s="974">
        <v>2030844</v>
      </c>
      <c r="Q21" s="974">
        <v>3223981</v>
      </c>
      <c r="R21" s="999">
        <v>3337537</v>
      </c>
      <c r="S21" s="951">
        <v>2665895</v>
      </c>
      <c r="T21" s="974">
        <v>1962623</v>
      </c>
      <c r="U21" s="974">
        <v>2841706</v>
      </c>
      <c r="V21" s="999">
        <v>3288860</v>
      </c>
      <c r="W21" s="951">
        <v>3242088</v>
      </c>
      <c r="X21" s="974">
        <v>2812476</v>
      </c>
      <c r="Y21" s="974">
        <v>3562261</v>
      </c>
      <c r="Z21" s="999">
        <v>3232024</v>
      </c>
      <c r="AA21" s="974">
        <v>3831030</v>
      </c>
      <c r="AB21" s="974">
        <v>2991414</v>
      </c>
      <c r="AC21" s="974">
        <v>3150694</v>
      </c>
      <c r="AD21" s="999">
        <v>4246564</v>
      </c>
      <c r="AE21" s="974">
        <v>3538170</v>
      </c>
      <c r="AF21" s="1006">
        <v>3910105</v>
      </c>
      <c r="AG21" s="974">
        <v>4052592</v>
      </c>
      <c r="AH21" s="999">
        <v>4030987</v>
      </c>
      <c r="AI21" s="974">
        <v>4753144</v>
      </c>
      <c r="AJ21" s="974">
        <v>3569364</v>
      </c>
      <c r="AK21" s="974">
        <v>4801673</v>
      </c>
      <c r="AL21" s="999">
        <v>3580864</v>
      </c>
      <c r="AM21" s="974">
        <v>4340608</v>
      </c>
      <c r="AN21" s="974">
        <v>3831158</v>
      </c>
      <c r="AO21" s="974">
        <v>4581386</v>
      </c>
      <c r="AP21" s="999">
        <v>3290908</v>
      </c>
      <c r="AQ21" s="974">
        <v>2722103</v>
      </c>
      <c r="AR21" s="974">
        <v>2183190</v>
      </c>
      <c r="AS21" s="974">
        <v>3018780</v>
      </c>
      <c r="AT21" s="999">
        <v>1799394</v>
      </c>
      <c r="AU21" s="974">
        <v>1649395</v>
      </c>
      <c r="AV21" s="974">
        <v>1321724</v>
      </c>
      <c r="AW21" s="974">
        <v>1527762</v>
      </c>
      <c r="AX21" s="999">
        <v>1893991</v>
      </c>
      <c r="AY21" s="974">
        <v>1741274</v>
      </c>
      <c r="AZ21" s="974">
        <v>1582513</v>
      </c>
      <c r="BA21" s="974">
        <v>2143412</v>
      </c>
      <c r="BB21" s="974">
        <v>2304386</v>
      </c>
      <c r="BC21" s="1000">
        <v>2237751</v>
      </c>
      <c r="BD21" s="999">
        <v>1438915</v>
      </c>
      <c r="BE21" s="999">
        <v>1338324</v>
      </c>
      <c r="BF21" s="999">
        <v>1478199</v>
      </c>
      <c r="BG21" s="1001"/>
      <c r="BH21" s="1002">
        <v>3870934</v>
      </c>
      <c r="BI21" s="1002">
        <v>3165813</v>
      </c>
      <c r="BJ21" s="974">
        <v>705121</v>
      </c>
      <c r="BK21" s="953">
        <v>0.22272983274754385</v>
      </c>
      <c r="BL21" s="1003"/>
      <c r="BM21" s="1000">
        <v>3870934</v>
      </c>
      <c r="BN21" s="1000">
        <v>3165813</v>
      </c>
      <c r="BO21" s="1000">
        <v>4426873</v>
      </c>
      <c r="BP21" s="1000">
        <v>2665895</v>
      </c>
      <c r="BQ21" s="1000">
        <v>3242088</v>
      </c>
      <c r="BR21" s="1000">
        <v>3831030</v>
      </c>
      <c r="BS21" s="1000">
        <v>3538170</v>
      </c>
      <c r="BT21" s="1000">
        <v>4753144</v>
      </c>
      <c r="BU21" s="1000">
        <v>4340608</v>
      </c>
      <c r="BV21" s="1000">
        <v>2722103</v>
      </c>
      <c r="BW21" s="1000">
        <v>1649395</v>
      </c>
      <c r="BX21" s="1000">
        <v>1741274</v>
      </c>
      <c r="BY21" s="1000">
        <v>2237751</v>
      </c>
      <c r="BZ21" s="1000">
        <v>1890143</v>
      </c>
      <c r="CA21" s="1000">
        <v>1415954</v>
      </c>
      <c r="CB21" s="1000">
        <v>1409679</v>
      </c>
      <c r="CC21" s="949"/>
    </row>
    <row r="22" spans="1:81" ht="12.75" customHeight="1" x14ac:dyDescent="0.2">
      <c r="A22" s="948"/>
      <c r="B22" s="946" t="s">
        <v>246</v>
      </c>
      <c r="C22" s="951">
        <v>-12963</v>
      </c>
      <c r="D22" s="952">
        <v>-0.84953142407759352</v>
      </c>
      <c r="E22" s="909"/>
      <c r="F22" s="2942">
        <v>2296</v>
      </c>
      <c r="G22" s="1973">
        <v>1997</v>
      </c>
      <c r="H22" s="1008">
        <v>2338</v>
      </c>
      <c r="I22" s="1008">
        <v>2004</v>
      </c>
      <c r="J22" s="999">
        <v>15259</v>
      </c>
      <c r="K22" s="1008">
        <v>13571</v>
      </c>
      <c r="L22" s="1008">
        <v>12031</v>
      </c>
      <c r="M22" s="1008">
        <v>13354</v>
      </c>
      <c r="N22" s="974">
        <v>12481</v>
      </c>
      <c r="O22" s="1039">
        <v>11858</v>
      </c>
      <c r="P22" s="1008">
        <v>9651</v>
      </c>
      <c r="Q22" s="1008">
        <v>8992</v>
      </c>
      <c r="R22" s="999">
        <v>9892</v>
      </c>
      <c r="S22" s="1039">
        <v>8722</v>
      </c>
      <c r="T22" s="1008">
        <v>11481</v>
      </c>
      <c r="U22" s="1008">
        <v>11361</v>
      </c>
      <c r="V22" s="999">
        <v>11584</v>
      </c>
      <c r="W22" s="1008">
        <v>10275</v>
      </c>
      <c r="X22" s="1008">
        <v>9608</v>
      </c>
      <c r="Y22" s="1008">
        <v>15130</v>
      </c>
      <c r="Z22" s="999">
        <v>15821</v>
      </c>
      <c r="AA22" s="1008">
        <v>14912</v>
      </c>
      <c r="AB22" s="1008">
        <v>12110</v>
      </c>
      <c r="AC22" s="1008">
        <v>12375</v>
      </c>
      <c r="AD22" s="999">
        <v>12244</v>
      </c>
      <c r="AE22" s="1008">
        <v>16169</v>
      </c>
      <c r="AF22" s="1009">
        <v>15913</v>
      </c>
      <c r="AG22" s="1008">
        <v>16047</v>
      </c>
      <c r="AH22" s="999">
        <v>16882</v>
      </c>
      <c r="AI22" s="1008">
        <v>17454</v>
      </c>
      <c r="AJ22" s="1008">
        <v>18218</v>
      </c>
      <c r="AK22" s="1010">
        <v>0</v>
      </c>
      <c r="AL22" s="1011">
        <v>0</v>
      </c>
      <c r="AM22" s="1010">
        <v>0</v>
      </c>
      <c r="AN22" s="1010">
        <v>0</v>
      </c>
      <c r="AO22" s="1010">
        <v>0</v>
      </c>
      <c r="AP22" s="1011">
        <v>0</v>
      </c>
      <c r="AQ22" s="1010">
        <v>0</v>
      </c>
      <c r="AR22" s="1010">
        <v>0</v>
      </c>
      <c r="AS22" s="974"/>
      <c r="AT22" s="999"/>
      <c r="AU22" s="974"/>
      <c r="AV22" s="974"/>
      <c r="AW22" s="974"/>
      <c r="AX22" s="999"/>
      <c r="AY22" s="974"/>
      <c r="AZ22" s="974"/>
      <c r="BA22" s="974"/>
      <c r="BB22" s="974"/>
      <c r="BC22" s="1000"/>
      <c r="BD22" s="999"/>
      <c r="BE22" s="999"/>
      <c r="BF22" s="999"/>
      <c r="BG22" s="1001"/>
      <c r="BH22" s="1002">
        <v>1997</v>
      </c>
      <c r="BI22" s="1002">
        <v>13571</v>
      </c>
      <c r="BJ22" s="974">
        <v>-11574</v>
      </c>
      <c r="BK22" s="953">
        <v>-0.85284798467320022</v>
      </c>
      <c r="BL22" s="1003"/>
      <c r="BM22" s="1000">
        <v>1997</v>
      </c>
      <c r="BN22" s="1000">
        <v>13571</v>
      </c>
      <c r="BO22" s="1000">
        <v>11858</v>
      </c>
      <c r="BP22" s="1000">
        <v>8722</v>
      </c>
      <c r="BQ22" s="1000">
        <v>10275</v>
      </c>
      <c r="BR22" s="1000">
        <v>14912</v>
      </c>
      <c r="BS22" s="1000">
        <v>16169</v>
      </c>
      <c r="BT22" s="1000">
        <v>17454</v>
      </c>
      <c r="BU22" s="2921">
        <v>0</v>
      </c>
      <c r="BV22" s="2921">
        <v>0</v>
      </c>
      <c r="BW22" s="2921">
        <v>0</v>
      </c>
      <c r="BX22" s="2921">
        <v>0</v>
      </c>
      <c r="BY22" s="2921">
        <v>0</v>
      </c>
      <c r="BZ22" s="1000"/>
      <c r="CA22" s="1000"/>
      <c r="CB22" s="1000"/>
      <c r="CC22" s="949"/>
    </row>
    <row r="23" spans="1:81" ht="12.75" customHeight="1" x14ac:dyDescent="0.2">
      <c r="A23" s="948"/>
      <c r="B23" s="946" t="s">
        <v>11</v>
      </c>
      <c r="C23" s="951">
        <v>20120</v>
      </c>
      <c r="D23" s="952">
        <v>2.4549548725119483E-2</v>
      </c>
      <c r="E23" s="909"/>
      <c r="F23" s="2942">
        <v>839687</v>
      </c>
      <c r="G23" s="1973">
        <v>876363</v>
      </c>
      <c r="H23" s="1008">
        <v>839166</v>
      </c>
      <c r="I23" s="1008">
        <v>798053</v>
      </c>
      <c r="J23" s="999">
        <v>819567</v>
      </c>
      <c r="K23" s="1008">
        <v>841352</v>
      </c>
      <c r="L23" s="1008">
        <v>766332</v>
      </c>
      <c r="M23" s="1008">
        <v>720384</v>
      </c>
      <c r="N23" s="974">
        <v>741877</v>
      </c>
      <c r="O23" s="1039">
        <v>764785</v>
      </c>
      <c r="P23" s="1008">
        <v>735603</v>
      </c>
      <c r="Q23" s="1008">
        <v>727928</v>
      </c>
      <c r="R23" s="999">
        <v>735678</v>
      </c>
      <c r="S23" s="1039">
        <v>749929</v>
      </c>
      <c r="T23" s="1008">
        <v>789211</v>
      </c>
      <c r="U23" s="1008">
        <v>1128485</v>
      </c>
      <c r="V23" s="999">
        <v>1127969</v>
      </c>
      <c r="W23" s="1008">
        <v>1117542</v>
      </c>
      <c r="X23" s="1008">
        <v>1107952</v>
      </c>
      <c r="Y23" s="1008">
        <v>1141811</v>
      </c>
      <c r="Z23" s="999">
        <v>1123293</v>
      </c>
      <c r="AA23" s="1008">
        <v>1168680</v>
      </c>
      <c r="AB23" s="1008">
        <v>1119396</v>
      </c>
      <c r="AC23" s="1008">
        <v>1082613</v>
      </c>
      <c r="AD23" s="999">
        <v>1068625</v>
      </c>
      <c r="AE23" s="1008">
        <v>1049163</v>
      </c>
      <c r="AF23" s="1009">
        <v>1051183</v>
      </c>
      <c r="AG23" s="1008">
        <v>1033842</v>
      </c>
      <c r="AH23" s="999">
        <v>1057969</v>
      </c>
      <c r="AI23" s="974">
        <v>992125</v>
      </c>
      <c r="AJ23" s="974">
        <v>852295</v>
      </c>
      <c r="AK23" s="974">
        <v>863493</v>
      </c>
      <c r="AL23" s="999">
        <v>848241</v>
      </c>
      <c r="AM23" s="974">
        <v>756892</v>
      </c>
      <c r="AN23" s="974">
        <v>724726</v>
      </c>
      <c r="AO23" s="974">
        <v>680530</v>
      </c>
      <c r="AP23" s="999">
        <v>670996</v>
      </c>
      <c r="AQ23" s="974">
        <v>401745</v>
      </c>
      <c r="AR23" s="974">
        <v>400667</v>
      </c>
      <c r="AS23" s="974">
        <v>388225</v>
      </c>
      <c r="AT23" s="999">
        <v>385396</v>
      </c>
      <c r="AU23" s="974">
        <v>372704</v>
      </c>
      <c r="AV23" s="974">
        <v>357961</v>
      </c>
      <c r="AW23" s="974">
        <v>414308</v>
      </c>
      <c r="AX23" s="999">
        <v>439902</v>
      </c>
      <c r="AY23" s="974">
        <v>357444</v>
      </c>
      <c r="AZ23" s="974">
        <v>390228</v>
      </c>
      <c r="BA23" s="974">
        <v>382313</v>
      </c>
      <c r="BB23" s="974">
        <v>389241</v>
      </c>
      <c r="BC23" s="1000">
        <v>372191</v>
      </c>
      <c r="BD23" s="999">
        <v>355228</v>
      </c>
      <c r="BE23" s="999">
        <v>327089</v>
      </c>
      <c r="BF23" s="999">
        <v>311198</v>
      </c>
      <c r="BG23" s="1001"/>
      <c r="BH23" s="1002">
        <v>876363</v>
      </c>
      <c r="BI23" s="1002">
        <v>841352</v>
      </c>
      <c r="BJ23" s="974">
        <v>35011</v>
      </c>
      <c r="BK23" s="953">
        <v>4.1612785136304425E-2</v>
      </c>
      <c r="BL23" s="1003"/>
      <c r="BM23" s="1000">
        <v>876363</v>
      </c>
      <c r="BN23" s="1000">
        <v>841352</v>
      </c>
      <c r="BO23" s="1000">
        <v>764785</v>
      </c>
      <c r="BP23" s="1000">
        <v>749929</v>
      </c>
      <c r="BQ23" s="1000">
        <v>1117542</v>
      </c>
      <c r="BR23" s="1000">
        <v>1168680</v>
      </c>
      <c r="BS23" s="1000">
        <v>1049163</v>
      </c>
      <c r="BT23" s="1000">
        <v>992125</v>
      </c>
      <c r="BU23" s="1000">
        <v>756892</v>
      </c>
      <c r="BV23" s="1000">
        <v>401745</v>
      </c>
      <c r="BW23" s="1000">
        <v>372704</v>
      </c>
      <c r="BX23" s="1000">
        <v>357444</v>
      </c>
      <c r="BY23" s="1000">
        <v>372191</v>
      </c>
      <c r="BZ23" s="1000">
        <v>287830</v>
      </c>
      <c r="CA23" s="1000">
        <v>222211</v>
      </c>
      <c r="CB23" s="1000">
        <v>98687</v>
      </c>
      <c r="CC23" s="949"/>
    </row>
    <row r="24" spans="1:81" ht="9.75" customHeight="1" x14ac:dyDescent="0.2">
      <c r="A24" s="948"/>
      <c r="B24" s="946"/>
      <c r="C24" s="951"/>
      <c r="D24" s="953"/>
      <c r="E24" s="909"/>
      <c r="F24" s="909"/>
      <c r="G24" s="912"/>
      <c r="H24" s="1004"/>
      <c r="I24" s="971"/>
      <c r="J24" s="1012"/>
      <c r="K24" s="1004"/>
      <c r="L24" s="1004"/>
      <c r="M24" s="971"/>
      <c r="N24" s="971"/>
      <c r="O24" s="1128"/>
      <c r="P24" s="1004"/>
      <c r="Q24" s="971"/>
      <c r="R24" s="1012"/>
      <c r="S24" s="1128"/>
      <c r="T24" s="1004"/>
      <c r="U24" s="971"/>
      <c r="V24" s="1012"/>
      <c r="W24" s="1004"/>
      <c r="X24" s="1004"/>
      <c r="Y24" s="971"/>
      <c r="Z24" s="1012"/>
      <c r="AA24" s="1004"/>
      <c r="AB24" s="1004"/>
      <c r="AC24" s="971"/>
      <c r="AD24" s="1012"/>
      <c r="AE24" s="1004"/>
      <c r="AF24" s="1004"/>
      <c r="AG24" s="971"/>
      <c r="AH24" s="1012"/>
      <c r="AI24" s="1004"/>
      <c r="AJ24" s="1004"/>
      <c r="AK24" s="971"/>
      <c r="AL24" s="1012"/>
      <c r="AM24" s="1004"/>
      <c r="AN24" s="1004"/>
      <c r="AO24" s="971"/>
      <c r="AP24" s="1012"/>
      <c r="AQ24" s="1004"/>
      <c r="AR24" s="1004"/>
      <c r="AS24" s="971"/>
      <c r="AT24" s="1012"/>
      <c r="AU24" s="1004"/>
      <c r="AV24" s="1004"/>
      <c r="AW24" s="971"/>
      <c r="AX24" s="1012"/>
      <c r="AY24" s="974"/>
      <c r="AZ24" s="974"/>
      <c r="BA24" s="974"/>
      <c r="BB24" s="974"/>
      <c r="BC24" s="1000"/>
      <c r="BD24" s="999"/>
      <c r="BE24" s="999"/>
      <c r="BF24" s="999"/>
      <c r="BG24" s="1001"/>
      <c r="BH24" s="971"/>
      <c r="BI24" s="971"/>
      <c r="BJ24" s="974"/>
      <c r="BK24" s="953"/>
      <c r="BL24" s="1003"/>
      <c r="BM24" s="1000"/>
      <c r="BN24" s="1000"/>
      <c r="BO24" s="1000"/>
      <c r="BP24" s="1000"/>
      <c r="BQ24" s="1000"/>
      <c r="BR24" s="1000"/>
      <c r="BS24" s="1000"/>
      <c r="BT24" s="1000"/>
      <c r="BU24" s="1000"/>
      <c r="BV24" s="1000"/>
      <c r="BW24" s="1000"/>
      <c r="BX24" s="1000"/>
      <c r="BY24" s="1000"/>
      <c r="BZ24" s="2922"/>
      <c r="CA24" s="2922"/>
      <c r="CB24" s="2922"/>
      <c r="CC24" s="949"/>
    </row>
    <row r="25" spans="1:81" ht="12.75" customHeight="1" x14ac:dyDescent="0.2">
      <c r="A25" s="947" t="s">
        <v>257</v>
      </c>
      <c r="B25" s="946"/>
      <c r="C25" s="951"/>
      <c r="D25" s="953"/>
      <c r="E25" s="909"/>
      <c r="F25" s="909"/>
      <c r="G25" s="912"/>
      <c r="H25" s="1004"/>
      <c r="I25" s="971"/>
      <c r="J25" s="1012"/>
      <c r="K25" s="1004"/>
      <c r="L25" s="1004"/>
      <c r="M25" s="971"/>
      <c r="N25" s="971"/>
      <c r="O25" s="1128"/>
      <c r="P25" s="1004"/>
      <c r="Q25" s="971"/>
      <c r="R25" s="1012"/>
      <c r="S25" s="1128"/>
      <c r="T25" s="1004"/>
      <c r="U25" s="971"/>
      <c r="V25" s="1012"/>
      <c r="W25" s="1004"/>
      <c r="X25" s="1004"/>
      <c r="Y25" s="971"/>
      <c r="Z25" s="1012"/>
      <c r="AA25" s="1004"/>
      <c r="AB25" s="1004"/>
      <c r="AC25" s="971"/>
      <c r="AD25" s="1012"/>
      <c r="AE25" s="1004"/>
      <c r="AF25" s="1004"/>
      <c r="AG25" s="971"/>
      <c r="AH25" s="1012"/>
      <c r="AI25" s="1004"/>
      <c r="AJ25" s="1004"/>
      <c r="AK25" s="971"/>
      <c r="AL25" s="1012"/>
      <c r="AM25" s="1004"/>
      <c r="AN25" s="1004"/>
      <c r="AO25" s="971"/>
      <c r="AP25" s="1012"/>
      <c r="AQ25" s="1004"/>
      <c r="AR25" s="1004"/>
      <c r="AS25" s="971"/>
      <c r="AT25" s="1012"/>
      <c r="AU25" s="1004"/>
      <c r="AV25" s="1004"/>
      <c r="AW25" s="971"/>
      <c r="AX25" s="1012"/>
      <c r="AY25" s="974"/>
      <c r="AZ25" s="974"/>
      <c r="BA25" s="974"/>
      <c r="BB25" s="974"/>
      <c r="BC25" s="1000"/>
      <c r="BD25" s="999"/>
      <c r="BE25" s="999"/>
      <c r="BF25" s="999"/>
      <c r="BG25" s="1001"/>
      <c r="BH25" s="971"/>
      <c r="BI25" s="971"/>
      <c r="BJ25" s="974"/>
      <c r="BK25" s="953"/>
      <c r="BL25" s="1003"/>
      <c r="BM25" s="1000"/>
      <c r="BN25" s="1000"/>
      <c r="BO25" s="1000"/>
      <c r="BP25" s="1000"/>
      <c r="BQ25" s="1000"/>
      <c r="BR25" s="1000"/>
      <c r="BS25" s="1000"/>
      <c r="BT25" s="1000"/>
      <c r="BU25" s="1000"/>
      <c r="BV25" s="1000"/>
      <c r="BW25" s="1000"/>
      <c r="BX25" s="1000"/>
      <c r="BY25" s="1000"/>
      <c r="BZ25" s="1000"/>
      <c r="CA25" s="1000"/>
      <c r="CB25" s="1000"/>
      <c r="CC25" s="949"/>
    </row>
    <row r="26" spans="1:81" ht="13.5" customHeight="1" x14ac:dyDescent="0.2">
      <c r="A26" s="947"/>
      <c r="B26" s="946" t="s">
        <v>258</v>
      </c>
      <c r="C26" s="951">
        <v>625</v>
      </c>
      <c r="D26" s="952">
        <v>0.16796560064498792</v>
      </c>
      <c r="E26" s="917"/>
      <c r="F26" s="2940">
        <v>4346</v>
      </c>
      <c r="G26" s="898">
        <v>4221</v>
      </c>
      <c r="H26" s="974">
        <v>3954</v>
      </c>
      <c r="I26" s="974">
        <v>4158</v>
      </c>
      <c r="J26" s="999">
        <v>3721</v>
      </c>
      <c r="K26" s="974">
        <v>2815</v>
      </c>
      <c r="L26" s="974">
        <v>2838</v>
      </c>
      <c r="M26" s="974">
        <v>2688</v>
      </c>
      <c r="N26" s="974">
        <v>2647</v>
      </c>
      <c r="O26" s="951">
        <v>2637</v>
      </c>
      <c r="P26" s="974">
        <v>2527</v>
      </c>
      <c r="Q26" s="974">
        <v>1219</v>
      </c>
      <c r="R26" s="999">
        <v>1268</v>
      </c>
      <c r="S26" s="951">
        <v>1257</v>
      </c>
      <c r="T26" s="974">
        <v>1262</v>
      </c>
      <c r="U26" s="974">
        <v>1360</v>
      </c>
      <c r="V26" s="999">
        <v>1419</v>
      </c>
      <c r="W26" s="974">
        <v>1561</v>
      </c>
      <c r="X26" s="974">
        <v>1441</v>
      </c>
      <c r="Y26" s="974">
        <v>1391</v>
      </c>
      <c r="Z26" s="999">
        <v>1270</v>
      </c>
      <c r="AA26" s="974">
        <v>1204</v>
      </c>
      <c r="AB26" s="974">
        <v>1070</v>
      </c>
      <c r="AC26" s="974">
        <v>935</v>
      </c>
      <c r="AD26" s="999">
        <v>880</v>
      </c>
      <c r="AE26" s="974">
        <v>835</v>
      </c>
      <c r="AF26" s="974">
        <v>791</v>
      </c>
      <c r="AG26" s="974">
        <v>784</v>
      </c>
      <c r="AH26" s="999">
        <v>709</v>
      </c>
      <c r="AI26" s="974">
        <v>677</v>
      </c>
      <c r="AJ26" s="974">
        <v>607</v>
      </c>
      <c r="AK26" s="974">
        <v>574</v>
      </c>
      <c r="AL26" s="999">
        <v>575</v>
      </c>
      <c r="AM26" s="974">
        <v>546</v>
      </c>
      <c r="AN26" s="974">
        <v>514</v>
      </c>
      <c r="AO26" s="974">
        <v>473</v>
      </c>
      <c r="AP26" s="999">
        <v>431</v>
      </c>
      <c r="AQ26" s="974">
        <v>445</v>
      </c>
      <c r="AR26" s="974"/>
      <c r="AS26" s="974"/>
      <c r="AT26" s="999"/>
      <c r="AU26" s="974"/>
      <c r="AV26" s="974"/>
      <c r="AW26" s="974"/>
      <c r="AX26" s="974"/>
      <c r="AY26" s="951"/>
      <c r="AZ26" s="974"/>
      <c r="BA26" s="974"/>
      <c r="BB26" s="974"/>
      <c r="BC26" s="1000"/>
      <c r="BD26" s="999"/>
      <c r="BE26" s="999"/>
      <c r="BF26" s="999"/>
      <c r="BG26" s="1001"/>
      <c r="BH26" s="1002">
        <v>4221</v>
      </c>
      <c r="BI26" s="1002">
        <v>2815</v>
      </c>
      <c r="BJ26" s="974">
        <v>1406</v>
      </c>
      <c r="BK26" s="953">
        <v>0.49946714031971579</v>
      </c>
      <c r="BL26" s="1003"/>
      <c r="BM26" s="1000">
        <v>4221</v>
      </c>
      <c r="BN26" s="1000">
        <v>2815</v>
      </c>
      <c r="BO26" s="1000">
        <v>2637</v>
      </c>
      <c r="BP26" s="1000">
        <v>1257</v>
      </c>
      <c r="BQ26" s="1000">
        <v>1561</v>
      </c>
      <c r="BR26" s="1000">
        <v>1204</v>
      </c>
      <c r="BS26" s="1000">
        <v>835</v>
      </c>
      <c r="BT26" s="1000">
        <v>677</v>
      </c>
      <c r="BU26" s="1000">
        <v>546</v>
      </c>
      <c r="BV26" s="1000">
        <v>445</v>
      </c>
      <c r="BW26" s="1000">
        <v>393</v>
      </c>
      <c r="BX26" s="1000">
        <v>730</v>
      </c>
      <c r="BY26" s="1000"/>
      <c r="BZ26" s="1000"/>
      <c r="CA26" s="1000"/>
      <c r="CB26" s="1000"/>
      <c r="CC26" s="949"/>
    </row>
    <row r="27" spans="1:81" ht="13.5" customHeight="1" x14ac:dyDescent="0.2">
      <c r="A27" s="948"/>
      <c r="B27" s="954" t="s">
        <v>376</v>
      </c>
      <c r="C27" s="951">
        <v>2302</v>
      </c>
      <c r="D27" s="952">
        <v>0.12166375984356007</v>
      </c>
      <c r="E27" s="909"/>
      <c r="F27" s="2940">
        <v>21223</v>
      </c>
      <c r="G27" s="898">
        <v>20674</v>
      </c>
      <c r="H27" s="974">
        <v>18260</v>
      </c>
      <c r="I27" s="974">
        <v>19746</v>
      </c>
      <c r="J27" s="999">
        <v>18921</v>
      </c>
      <c r="K27" s="974">
        <v>15567</v>
      </c>
      <c r="L27" s="974">
        <v>14451</v>
      </c>
      <c r="M27" s="974">
        <v>12801</v>
      </c>
      <c r="N27" s="974">
        <v>12669</v>
      </c>
      <c r="O27" s="951">
        <v>13228</v>
      </c>
      <c r="P27" s="974">
        <v>11969</v>
      </c>
      <c r="Q27" s="974">
        <v>10334</v>
      </c>
      <c r="R27" s="999">
        <v>9817</v>
      </c>
      <c r="S27" s="951">
        <v>9192</v>
      </c>
      <c r="T27" s="974">
        <v>9035</v>
      </c>
      <c r="U27" s="974">
        <v>9481</v>
      </c>
      <c r="V27" s="999">
        <v>10648</v>
      </c>
      <c r="W27" s="974">
        <v>10729</v>
      </c>
      <c r="X27" s="974">
        <v>10310</v>
      </c>
      <c r="Y27" s="974">
        <v>10757</v>
      </c>
      <c r="Z27" s="999">
        <v>10958</v>
      </c>
      <c r="AA27" s="974">
        <v>10160</v>
      </c>
      <c r="AB27" s="974">
        <v>9536</v>
      </c>
      <c r="AC27" s="974">
        <v>9427</v>
      </c>
      <c r="AD27" s="999">
        <v>9325</v>
      </c>
      <c r="AE27" s="974">
        <v>10429</v>
      </c>
      <c r="AF27" s="974">
        <v>11403</v>
      </c>
      <c r="AG27" s="974">
        <v>13344</v>
      </c>
      <c r="AH27" s="999">
        <v>13137</v>
      </c>
      <c r="AI27" s="974">
        <v>14828</v>
      </c>
      <c r="AJ27" s="974">
        <v>14367</v>
      </c>
      <c r="AK27" s="974">
        <v>14635</v>
      </c>
      <c r="AL27" s="999">
        <v>15676</v>
      </c>
      <c r="AM27" s="974">
        <v>16985</v>
      </c>
      <c r="AN27" s="974">
        <v>16006</v>
      </c>
      <c r="AO27" s="974">
        <v>13895</v>
      </c>
      <c r="AP27" s="999">
        <v>12571</v>
      </c>
      <c r="AQ27" s="974">
        <v>12922</v>
      </c>
      <c r="AR27" s="974">
        <v>12210</v>
      </c>
      <c r="AS27" s="974">
        <v>11386</v>
      </c>
      <c r="AT27" s="999">
        <v>10341</v>
      </c>
      <c r="AU27" s="974">
        <v>9184</v>
      </c>
      <c r="AV27" s="974">
        <v>9030</v>
      </c>
      <c r="AW27" s="974">
        <v>11584</v>
      </c>
      <c r="AX27" s="974">
        <v>14695</v>
      </c>
      <c r="AY27" s="951">
        <v>14295</v>
      </c>
      <c r="AZ27" s="974">
        <v>14860</v>
      </c>
      <c r="BA27" s="974">
        <v>15288</v>
      </c>
      <c r="BB27" s="974">
        <v>15701</v>
      </c>
      <c r="BC27" s="1000">
        <v>15014</v>
      </c>
      <c r="BD27" s="999">
        <v>14121</v>
      </c>
      <c r="BE27" s="999">
        <v>13826</v>
      </c>
      <c r="BF27" s="999">
        <v>13942</v>
      </c>
      <c r="BG27" s="1001"/>
      <c r="BH27" s="1002">
        <v>20674</v>
      </c>
      <c r="BI27" s="1002">
        <v>15567</v>
      </c>
      <c r="BJ27" s="974">
        <v>5107</v>
      </c>
      <c r="BK27" s="953">
        <v>0.32806578017601334</v>
      </c>
      <c r="BL27" s="1003"/>
      <c r="BM27" s="1000">
        <v>20674</v>
      </c>
      <c r="BN27" s="1000">
        <v>15567</v>
      </c>
      <c r="BO27" s="1000">
        <v>13228</v>
      </c>
      <c r="BP27" s="1000">
        <v>9192</v>
      </c>
      <c r="BQ27" s="1000">
        <v>10729</v>
      </c>
      <c r="BR27" s="1000">
        <v>10160</v>
      </c>
      <c r="BS27" s="1000">
        <v>10429</v>
      </c>
      <c r="BT27" s="1000">
        <v>14828</v>
      </c>
      <c r="BU27" s="1000">
        <v>16985</v>
      </c>
      <c r="BV27" s="1000">
        <v>12922</v>
      </c>
      <c r="BW27" s="1000">
        <v>9184</v>
      </c>
      <c r="BX27" s="1000">
        <v>14295</v>
      </c>
      <c r="BY27" s="1000">
        <v>15014</v>
      </c>
      <c r="BZ27" s="1000">
        <v>14310</v>
      </c>
      <c r="CA27" s="1000">
        <v>9967</v>
      </c>
      <c r="CB27" s="1000">
        <v>8292</v>
      </c>
      <c r="CC27" s="949"/>
    </row>
    <row r="28" spans="1:81" ht="13.5" customHeight="1" x14ac:dyDescent="0.2">
      <c r="A28" s="948"/>
      <c r="B28" s="954" t="s">
        <v>262</v>
      </c>
      <c r="C28" s="951">
        <v>-860</v>
      </c>
      <c r="D28" s="952">
        <v>-1.8520911401128482E-2</v>
      </c>
      <c r="E28" s="909"/>
      <c r="F28" s="2940">
        <v>45574</v>
      </c>
      <c r="G28" s="898">
        <v>44195</v>
      </c>
      <c r="H28" s="974">
        <v>41153</v>
      </c>
      <c r="I28" s="974">
        <v>45230</v>
      </c>
      <c r="J28" s="999">
        <v>46434</v>
      </c>
      <c r="K28" s="974">
        <v>44877</v>
      </c>
      <c r="L28" s="974">
        <v>43791</v>
      </c>
      <c r="M28" s="974">
        <v>40797</v>
      </c>
      <c r="N28" s="974">
        <v>25755</v>
      </c>
      <c r="O28" s="951">
        <v>24526</v>
      </c>
      <c r="P28" s="974">
        <v>23383</v>
      </c>
      <c r="Q28" s="974">
        <v>23208</v>
      </c>
      <c r="R28" s="999">
        <v>22410</v>
      </c>
      <c r="S28" s="951">
        <v>22791</v>
      </c>
      <c r="T28" s="974">
        <v>24530</v>
      </c>
      <c r="U28" s="974">
        <v>22948</v>
      </c>
      <c r="V28" s="999">
        <v>22813</v>
      </c>
      <c r="W28" s="974">
        <v>21763</v>
      </c>
      <c r="X28" s="974">
        <v>20307</v>
      </c>
      <c r="Y28" s="974">
        <v>20420</v>
      </c>
      <c r="Z28" s="999">
        <v>20486</v>
      </c>
      <c r="AA28" s="974">
        <v>20156</v>
      </c>
      <c r="AB28" s="974">
        <v>18984</v>
      </c>
      <c r="AC28" s="974">
        <v>17655</v>
      </c>
      <c r="AD28" s="999">
        <v>16125</v>
      </c>
      <c r="AE28" s="974">
        <v>15936</v>
      </c>
      <c r="AF28" s="974">
        <v>15228</v>
      </c>
      <c r="AG28" s="974">
        <v>13122</v>
      </c>
      <c r="AH28" s="999">
        <v>12583</v>
      </c>
      <c r="AI28" s="974">
        <v>13087.2</v>
      </c>
      <c r="AJ28" s="974">
        <v>0</v>
      </c>
      <c r="AK28" s="974">
        <v>0</v>
      </c>
      <c r="AL28" s="999">
        <v>0</v>
      </c>
      <c r="AM28" s="974">
        <v>0</v>
      </c>
      <c r="AN28" s="974">
        <v>0</v>
      </c>
      <c r="AO28" s="974">
        <v>0</v>
      </c>
      <c r="AP28" s="999">
        <v>0</v>
      </c>
      <c r="AQ28" s="974">
        <v>0</v>
      </c>
      <c r="AR28" s="974">
        <v>423</v>
      </c>
      <c r="AS28" s="974">
        <v>453</v>
      </c>
      <c r="AT28" s="999">
        <v>443</v>
      </c>
      <c r="AU28" s="974">
        <v>393</v>
      </c>
      <c r="AV28" s="974">
        <v>454</v>
      </c>
      <c r="AW28" s="974">
        <v>609</v>
      </c>
      <c r="AX28" s="974">
        <v>747</v>
      </c>
      <c r="AY28" s="951">
        <v>730</v>
      </c>
      <c r="AZ28" s="974">
        <v>760</v>
      </c>
      <c r="BA28" s="974">
        <v>777</v>
      </c>
      <c r="BB28" s="974">
        <v>815</v>
      </c>
      <c r="BC28" s="1000">
        <v>807</v>
      </c>
      <c r="BD28" s="999">
        <v>814</v>
      </c>
      <c r="BE28" s="999">
        <v>745</v>
      </c>
      <c r="BF28" s="999">
        <v>712</v>
      </c>
      <c r="BG28" s="1001"/>
      <c r="BH28" s="1002">
        <v>44195</v>
      </c>
      <c r="BI28" s="1002">
        <v>44877</v>
      </c>
      <c r="BJ28" s="974">
        <v>-682</v>
      </c>
      <c r="BK28" s="953">
        <v>-1.5197094279920671E-2</v>
      </c>
      <c r="BL28" s="1003"/>
      <c r="BM28" s="1000">
        <v>44195</v>
      </c>
      <c r="BN28" s="1000">
        <v>44877</v>
      </c>
      <c r="BO28" s="1000">
        <v>24526</v>
      </c>
      <c r="BP28" s="1000">
        <v>22791</v>
      </c>
      <c r="BQ28" s="1000">
        <v>21763</v>
      </c>
      <c r="BR28" s="1000">
        <v>20156</v>
      </c>
      <c r="BS28" s="1000">
        <v>15936</v>
      </c>
      <c r="BT28" s="1000">
        <v>13087.2</v>
      </c>
      <c r="BU28" s="1000">
        <v>0</v>
      </c>
      <c r="BV28" s="1000">
        <v>0</v>
      </c>
      <c r="BW28" s="1000">
        <v>0</v>
      </c>
      <c r="BX28" s="1000">
        <v>0</v>
      </c>
      <c r="BY28" s="1000">
        <v>807</v>
      </c>
      <c r="BZ28" s="1000">
        <v>613</v>
      </c>
      <c r="CA28" s="1000">
        <v>380</v>
      </c>
      <c r="CB28" s="1000">
        <v>237</v>
      </c>
      <c r="CC28" s="949"/>
    </row>
    <row r="29" spans="1:81" ht="13.5" customHeight="1" x14ac:dyDescent="0.2">
      <c r="A29" s="948"/>
      <c r="B29" s="954" t="s">
        <v>370</v>
      </c>
      <c r="C29" s="951">
        <v>-71</v>
      </c>
      <c r="D29" s="952">
        <v>-8.4023668639053251E-2</v>
      </c>
      <c r="E29" s="909"/>
      <c r="F29" s="2940">
        <v>774</v>
      </c>
      <c r="G29" s="898">
        <v>854</v>
      </c>
      <c r="H29" s="974">
        <v>771</v>
      </c>
      <c r="I29" s="974">
        <v>834</v>
      </c>
      <c r="J29" s="999">
        <v>845</v>
      </c>
      <c r="K29" s="974">
        <v>830</v>
      </c>
      <c r="L29" s="974">
        <v>928</v>
      </c>
      <c r="M29" s="974">
        <v>866</v>
      </c>
      <c r="N29" s="974">
        <v>860</v>
      </c>
      <c r="O29" s="951">
        <v>862</v>
      </c>
      <c r="P29" s="974">
        <v>769</v>
      </c>
      <c r="Q29" s="974">
        <v>845</v>
      </c>
      <c r="R29" s="999">
        <v>742</v>
      </c>
      <c r="S29" s="951">
        <v>731</v>
      </c>
      <c r="T29" s="974">
        <v>816</v>
      </c>
      <c r="U29" s="974">
        <v>790</v>
      </c>
      <c r="V29" s="999">
        <v>803</v>
      </c>
      <c r="W29" s="974">
        <v>836</v>
      </c>
      <c r="X29" s="974">
        <v>634</v>
      </c>
      <c r="Y29" s="974">
        <v>569</v>
      </c>
      <c r="Z29" s="999">
        <v>631</v>
      </c>
      <c r="AA29" s="974">
        <v>555</v>
      </c>
      <c r="AB29" s="974">
        <v>463</v>
      </c>
      <c r="AC29" s="974">
        <v>411</v>
      </c>
      <c r="AD29" s="999">
        <v>360</v>
      </c>
      <c r="AE29" s="974">
        <v>451</v>
      </c>
      <c r="AF29" s="974">
        <v>408</v>
      </c>
      <c r="AG29" s="974">
        <v>354</v>
      </c>
      <c r="AH29" s="999">
        <v>305.20875765857699</v>
      </c>
      <c r="AI29" s="974">
        <v>0</v>
      </c>
      <c r="AJ29" s="974">
        <v>0</v>
      </c>
      <c r="AK29" s="974">
        <v>0</v>
      </c>
      <c r="AL29" s="999">
        <v>0</v>
      </c>
      <c r="AM29" s="974">
        <v>0</v>
      </c>
      <c r="AN29" s="974">
        <v>0</v>
      </c>
      <c r="AO29" s="974">
        <v>0</v>
      </c>
      <c r="AP29" s="999">
        <v>0</v>
      </c>
      <c r="AQ29" s="974"/>
      <c r="AR29" s="974"/>
      <c r="AS29" s="974"/>
      <c r="AT29" s="999"/>
      <c r="AU29" s="974"/>
      <c r="AV29" s="974"/>
      <c r="AW29" s="974"/>
      <c r="AX29" s="974"/>
      <c r="AY29" s="974"/>
      <c r="AZ29" s="974"/>
      <c r="BA29" s="974"/>
      <c r="BB29" s="974"/>
      <c r="BC29" s="1000"/>
      <c r="BD29" s="999"/>
      <c r="BE29" s="999"/>
      <c r="BF29" s="999"/>
      <c r="BG29" s="1001"/>
      <c r="BH29" s="1002">
        <v>854</v>
      </c>
      <c r="BI29" s="1002">
        <v>830</v>
      </c>
      <c r="BJ29" s="974">
        <v>24</v>
      </c>
      <c r="BK29" s="953">
        <v>2.891566265060241E-2</v>
      </c>
      <c r="BL29" s="1003"/>
      <c r="BM29" s="1000">
        <v>854</v>
      </c>
      <c r="BN29" s="1000">
        <v>830</v>
      </c>
      <c r="BO29" s="1000">
        <v>862</v>
      </c>
      <c r="BP29" s="1000">
        <v>731</v>
      </c>
      <c r="BQ29" s="1000">
        <v>836</v>
      </c>
      <c r="BR29" s="1000">
        <v>555</v>
      </c>
      <c r="BS29" s="1000">
        <v>451</v>
      </c>
      <c r="BT29" s="1000">
        <v>0</v>
      </c>
      <c r="BU29" s="1000">
        <v>0</v>
      </c>
      <c r="BV29" s="1000">
        <v>0</v>
      </c>
      <c r="BW29" s="1000">
        <v>0</v>
      </c>
      <c r="BX29" s="1000">
        <v>0</v>
      </c>
      <c r="BY29" s="1000"/>
      <c r="BZ29" s="1000"/>
      <c r="CA29" s="1000"/>
      <c r="CB29" s="1000"/>
      <c r="CC29" s="949"/>
    </row>
    <row r="30" spans="1:81" ht="22.5" customHeight="1" x14ac:dyDescent="0.2">
      <c r="A30" s="948"/>
      <c r="B30" s="2556" t="s">
        <v>546</v>
      </c>
      <c r="C30" s="951">
        <v>1371</v>
      </c>
      <c r="D30" s="952">
        <v>2.0709969788519637E-2</v>
      </c>
      <c r="E30" s="909"/>
      <c r="F30" s="2940">
        <v>67571</v>
      </c>
      <c r="G30" s="898">
        <v>65723</v>
      </c>
      <c r="H30" s="974">
        <v>60184</v>
      </c>
      <c r="I30" s="974">
        <v>65810</v>
      </c>
      <c r="J30" s="999">
        <v>66200</v>
      </c>
      <c r="K30" s="974">
        <v>61274</v>
      </c>
      <c r="L30" s="974">
        <v>59170</v>
      </c>
      <c r="M30" s="974">
        <v>54464</v>
      </c>
      <c r="N30" s="974">
        <v>39284</v>
      </c>
      <c r="O30" s="951">
        <v>38616</v>
      </c>
      <c r="P30" s="974">
        <v>36121</v>
      </c>
      <c r="Q30" s="974">
        <v>34387</v>
      </c>
      <c r="R30" s="999">
        <v>32969</v>
      </c>
      <c r="S30" s="951">
        <v>32714</v>
      </c>
      <c r="T30" s="974">
        <v>34381</v>
      </c>
      <c r="U30" s="974">
        <v>33219</v>
      </c>
      <c r="V30" s="999">
        <v>34264</v>
      </c>
      <c r="W30" s="974">
        <v>33328</v>
      </c>
      <c r="X30" s="974">
        <v>31251</v>
      </c>
      <c r="Y30" s="974">
        <v>31746</v>
      </c>
      <c r="Z30" s="999">
        <v>32075</v>
      </c>
      <c r="AA30" s="974">
        <v>30871</v>
      </c>
      <c r="AB30" s="974">
        <v>28983</v>
      </c>
      <c r="AC30" s="974">
        <v>27493</v>
      </c>
      <c r="AD30" s="999">
        <v>25810</v>
      </c>
      <c r="AE30" s="974">
        <v>26816</v>
      </c>
      <c r="AF30" s="974">
        <v>27039</v>
      </c>
      <c r="AG30" s="974">
        <v>26820</v>
      </c>
      <c r="AH30" s="999">
        <v>26025.208757658576</v>
      </c>
      <c r="AI30" s="974">
        <v>27915.200000000001</v>
      </c>
      <c r="AJ30" s="974">
        <v>14367</v>
      </c>
      <c r="AK30" s="974">
        <v>14635</v>
      </c>
      <c r="AL30" s="999">
        <v>15676</v>
      </c>
      <c r="AM30" s="974">
        <v>16985</v>
      </c>
      <c r="AN30" s="974">
        <v>16006</v>
      </c>
      <c r="AO30" s="974">
        <v>13895</v>
      </c>
      <c r="AP30" s="999">
        <v>12571</v>
      </c>
      <c r="AQ30" s="974">
        <v>12922</v>
      </c>
      <c r="AR30" s="974"/>
      <c r="AS30" s="974"/>
      <c r="AT30" s="999"/>
      <c r="AU30" s="974"/>
      <c r="AV30" s="974"/>
      <c r="AW30" s="974"/>
      <c r="AX30" s="974"/>
      <c r="AY30" s="974"/>
      <c r="AZ30" s="974"/>
      <c r="BA30" s="974"/>
      <c r="BB30" s="974"/>
      <c r="BC30" s="1000"/>
      <c r="BD30" s="999"/>
      <c r="BE30" s="999"/>
      <c r="BF30" s="999"/>
      <c r="BG30" s="1001"/>
      <c r="BH30" s="1002">
        <v>65723</v>
      </c>
      <c r="BI30" s="1002">
        <v>61274</v>
      </c>
      <c r="BJ30" s="974">
        <v>4449</v>
      </c>
      <c r="BK30" s="953">
        <v>7.2608284100923723E-2</v>
      </c>
      <c r="BL30" s="1003"/>
      <c r="BM30" s="1000">
        <v>65723</v>
      </c>
      <c r="BN30" s="1000">
        <v>61274</v>
      </c>
      <c r="BO30" s="1000">
        <v>38616</v>
      </c>
      <c r="BP30" s="1000">
        <v>32714</v>
      </c>
      <c r="BQ30" s="1000">
        <v>33328</v>
      </c>
      <c r="BR30" s="1000">
        <v>30871</v>
      </c>
      <c r="BS30" s="1000">
        <v>26816</v>
      </c>
      <c r="BT30" s="1000">
        <v>27915.200000000001</v>
      </c>
      <c r="BU30" s="1000">
        <v>16985</v>
      </c>
      <c r="BV30" s="1000">
        <v>12922</v>
      </c>
      <c r="BW30" s="1000">
        <v>9184</v>
      </c>
      <c r="BX30" s="1000">
        <v>14295</v>
      </c>
      <c r="BY30" s="1000"/>
      <c r="BZ30" s="1000"/>
      <c r="CA30" s="1000"/>
      <c r="CB30" s="1000"/>
      <c r="CC30" s="949"/>
    </row>
    <row r="31" spans="1:81" ht="14.25" customHeight="1" x14ac:dyDescent="0.2">
      <c r="A31" s="948"/>
      <c r="B31" s="946"/>
      <c r="C31" s="951"/>
      <c r="D31" s="953"/>
      <c r="E31" s="909"/>
      <c r="F31" s="909"/>
      <c r="G31" s="912"/>
      <c r="H31" s="1004"/>
      <c r="I31" s="971"/>
      <c r="J31" s="1012"/>
      <c r="K31" s="1004"/>
      <c r="L31" s="1004"/>
      <c r="M31" s="971"/>
      <c r="N31" s="971"/>
      <c r="O31" s="1128"/>
      <c r="P31" s="1004"/>
      <c r="Q31" s="971"/>
      <c r="R31" s="1012"/>
      <c r="S31" s="1128"/>
      <c r="T31" s="1004"/>
      <c r="U31" s="971"/>
      <c r="V31" s="1012"/>
      <c r="W31" s="1004"/>
      <c r="X31" s="1004"/>
      <c r="Y31" s="971"/>
      <c r="Z31" s="1012"/>
      <c r="AA31" s="1004"/>
      <c r="AB31" s="1004"/>
      <c r="AC31" s="971"/>
      <c r="AD31" s="1012"/>
      <c r="AE31" s="1004"/>
      <c r="AF31" s="1004"/>
      <c r="AG31" s="971"/>
      <c r="AH31" s="1012"/>
      <c r="AI31" s="1004"/>
      <c r="AJ31" s="1004"/>
      <c r="AK31" s="971"/>
      <c r="AL31" s="1012"/>
      <c r="AM31" s="1004"/>
      <c r="AN31" s="1004"/>
      <c r="AO31" s="971"/>
      <c r="AP31" s="1012"/>
      <c r="AQ31" s="1004"/>
      <c r="AR31" s="1004"/>
      <c r="AS31" s="971"/>
      <c r="AT31" s="1012"/>
      <c r="AU31" s="1004"/>
      <c r="AV31" s="1004"/>
      <c r="AW31" s="971"/>
      <c r="AX31" s="1012"/>
      <c r="AY31" s="974"/>
      <c r="AZ31" s="974"/>
      <c r="BA31" s="974"/>
      <c r="BB31" s="974"/>
      <c r="BC31" s="1000"/>
      <c r="BD31" s="999"/>
      <c r="BE31" s="999"/>
      <c r="BF31" s="999"/>
      <c r="BG31" s="1001"/>
      <c r="BH31" s="971"/>
      <c r="BI31" s="971"/>
      <c r="BJ31" s="974"/>
      <c r="BK31" s="953"/>
      <c r="BL31" s="1003"/>
      <c r="BM31" s="1000"/>
      <c r="BN31" s="1000"/>
      <c r="BO31" s="1000"/>
      <c r="BP31" s="1000"/>
      <c r="BQ31" s="1000"/>
      <c r="BR31" s="1000"/>
      <c r="BS31" s="1000"/>
      <c r="BT31" s="1000"/>
      <c r="BU31" s="1000"/>
      <c r="BV31" s="1000"/>
      <c r="BW31" s="1000"/>
      <c r="BX31" s="1000"/>
      <c r="BY31" s="1000"/>
      <c r="BZ31" s="2922"/>
      <c r="CA31" s="2922"/>
      <c r="CB31" s="2922"/>
      <c r="CC31" s="949"/>
    </row>
    <row r="32" spans="1:81" ht="24.75" customHeight="1" x14ac:dyDescent="0.2">
      <c r="A32" s="947" t="s">
        <v>12</v>
      </c>
      <c r="B32" s="946"/>
      <c r="C32" s="951"/>
      <c r="D32" s="953"/>
      <c r="E32" s="909"/>
      <c r="F32" s="920"/>
      <c r="G32" s="908"/>
      <c r="H32" s="1004"/>
      <c r="I32" s="971"/>
      <c r="J32" s="1012"/>
      <c r="K32" s="1004"/>
      <c r="L32" s="1004"/>
      <c r="M32" s="971"/>
      <c r="N32" s="971"/>
      <c r="O32" s="1128"/>
      <c r="P32" s="1004"/>
      <c r="Q32" s="971"/>
      <c r="R32" s="1012"/>
      <c r="S32" s="1128"/>
      <c r="T32" s="1004"/>
      <c r="U32" s="971"/>
      <c r="V32" s="1012"/>
      <c r="W32" s="1004"/>
      <c r="X32" s="1004"/>
      <c r="Y32" s="971"/>
      <c r="Z32" s="1012"/>
      <c r="AA32" s="1004"/>
      <c r="AB32" s="1004"/>
      <c r="AC32" s="971"/>
      <c r="AD32" s="1012"/>
      <c r="AE32" s="1004"/>
      <c r="AF32" s="1004"/>
      <c r="AG32" s="971"/>
      <c r="AH32" s="1012"/>
      <c r="AI32" s="1004"/>
      <c r="AJ32" s="1004"/>
      <c r="AK32" s="971"/>
      <c r="AL32" s="1012"/>
      <c r="AM32" s="1004"/>
      <c r="AN32" s="1004"/>
      <c r="AO32" s="971"/>
      <c r="AP32" s="1012"/>
      <c r="AQ32" s="1004"/>
      <c r="AR32" s="1004"/>
      <c r="AS32" s="971"/>
      <c r="AT32" s="1012"/>
      <c r="AU32" s="1004"/>
      <c r="AV32" s="1004"/>
      <c r="AW32" s="971"/>
      <c r="AX32" s="1012"/>
      <c r="AY32" s="974"/>
      <c r="AZ32" s="974"/>
      <c r="BA32" s="974"/>
      <c r="BB32" s="974"/>
      <c r="BC32" s="1000"/>
      <c r="BD32" s="999"/>
      <c r="BE32" s="999"/>
      <c r="BF32" s="999"/>
      <c r="BG32" s="1001"/>
      <c r="BH32" s="971"/>
      <c r="BI32" s="971"/>
      <c r="BJ32" s="974"/>
      <c r="BK32" s="953"/>
      <c r="BL32" s="1003"/>
      <c r="BM32" s="1000"/>
      <c r="BN32" s="1000"/>
      <c r="BO32" s="1000"/>
      <c r="BP32" s="1000"/>
      <c r="BQ32" s="1000"/>
      <c r="BR32" s="1000"/>
      <c r="BS32" s="1000"/>
      <c r="BT32" s="1000"/>
      <c r="BU32" s="1000"/>
      <c r="BV32" s="1000"/>
      <c r="BW32" s="1000"/>
      <c r="BX32" s="1000"/>
      <c r="BY32" s="1000"/>
      <c r="BZ32" s="1000"/>
      <c r="CA32" s="1000"/>
      <c r="CB32" s="1000"/>
      <c r="CC32" s="949"/>
    </row>
    <row r="33" spans="1:84" ht="12.75" customHeight="1" x14ac:dyDescent="0.2">
      <c r="A33" s="946" t="s">
        <v>13</v>
      </c>
      <c r="B33" s="946"/>
      <c r="C33" s="2818"/>
      <c r="D33" s="953"/>
      <c r="E33" s="909"/>
      <c r="F33" s="909"/>
      <c r="G33" s="912"/>
      <c r="H33" s="1004"/>
      <c r="I33" s="971"/>
      <c r="J33" s="1012"/>
      <c r="K33" s="1004"/>
      <c r="L33" s="1004"/>
      <c r="M33" s="971"/>
      <c r="N33" s="971"/>
      <c r="O33" s="1128"/>
      <c r="P33" s="1004"/>
      <c r="Q33" s="971"/>
      <c r="R33" s="1012"/>
      <c r="S33" s="1128"/>
      <c r="T33" s="1004"/>
      <c r="U33" s="971"/>
      <c r="V33" s="1012"/>
      <c r="W33" s="1004"/>
      <c r="X33" s="1004"/>
      <c r="Y33" s="971"/>
      <c r="Z33" s="1012"/>
      <c r="AA33" s="1004"/>
      <c r="AB33" s="1004"/>
      <c r="AC33" s="971"/>
      <c r="AD33" s="1012"/>
      <c r="AE33" s="1004"/>
      <c r="AF33" s="1004"/>
      <c r="AG33" s="971"/>
      <c r="AH33" s="1012"/>
      <c r="AI33" s="1004"/>
      <c r="AJ33" s="1004"/>
      <c r="AK33" s="971"/>
      <c r="AL33" s="1012"/>
      <c r="AM33" s="1004"/>
      <c r="AN33" s="1004"/>
      <c r="AO33" s="971"/>
      <c r="AP33" s="1012"/>
      <c r="AQ33" s="1004"/>
      <c r="AR33" s="1004"/>
      <c r="AS33" s="971"/>
      <c r="AT33" s="1012"/>
      <c r="AU33" s="1004"/>
      <c r="AV33" s="1004"/>
      <c r="AW33" s="971"/>
      <c r="AX33" s="1012"/>
      <c r="AY33" s="974"/>
      <c r="AZ33" s="974"/>
      <c r="BA33" s="974"/>
      <c r="BB33" s="974"/>
      <c r="BC33" s="1000"/>
      <c r="BD33" s="999"/>
      <c r="BE33" s="999"/>
      <c r="BF33" s="999"/>
      <c r="BG33" s="1001"/>
      <c r="BH33" s="971"/>
      <c r="BI33" s="971"/>
      <c r="BJ33" s="974"/>
      <c r="BK33" s="953"/>
      <c r="BL33" s="1003"/>
      <c r="BM33" s="1000"/>
      <c r="BN33" s="1000"/>
      <c r="BO33" s="1000"/>
      <c r="BP33" s="1000"/>
      <c r="BQ33" s="1000"/>
      <c r="BR33" s="1000"/>
      <c r="BS33" s="1000"/>
      <c r="BT33" s="1000"/>
      <c r="BU33" s="1000"/>
      <c r="BV33" s="1000"/>
      <c r="BW33" s="1000"/>
      <c r="BX33" s="1000"/>
      <c r="BY33" s="1000"/>
      <c r="BZ33" s="1000"/>
      <c r="CA33" s="1000"/>
      <c r="CB33" s="1000"/>
      <c r="CC33" s="949"/>
    </row>
    <row r="34" spans="1:84" ht="12.75" customHeight="1" x14ac:dyDescent="0.2">
      <c r="A34" s="946"/>
      <c r="B34" s="946" t="s">
        <v>617</v>
      </c>
      <c r="C34" s="2818">
        <v>0.06</v>
      </c>
      <c r="D34" s="952">
        <v>0.375</v>
      </c>
      <c r="E34" s="909"/>
      <c r="F34" s="2943">
        <v>0.22</v>
      </c>
      <c r="G34" s="1288">
        <v>0</v>
      </c>
      <c r="H34" s="1013">
        <v>0.31</v>
      </c>
      <c r="I34" s="1013">
        <v>0.11</v>
      </c>
      <c r="J34" s="1014">
        <v>0.16</v>
      </c>
      <c r="K34" s="1013">
        <v>-0.15</v>
      </c>
      <c r="L34" s="1013">
        <v>0.35</v>
      </c>
      <c r="M34" s="1013">
        <v>-0.11</v>
      </c>
      <c r="N34" s="2194">
        <v>-0.05</v>
      </c>
      <c r="O34" s="1129">
        <v>0.28999999999999998</v>
      </c>
      <c r="P34" s="1013">
        <v>0.01</v>
      </c>
      <c r="Q34" s="1013">
        <v>-0.05</v>
      </c>
      <c r="R34" s="1014">
        <v>0.04</v>
      </c>
      <c r="S34" s="1129">
        <v>-0.28999999999999998</v>
      </c>
      <c r="T34" s="1013">
        <v>-3.91</v>
      </c>
      <c r="U34" s="1013">
        <v>-0.03</v>
      </c>
      <c r="V34" s="1014">
        <v>0.08</v>
      </c>
      <c r="W34" s="1013">
        <v>-0.33</v>
      </c>
      <c r="X34" s="1013">
        <v>-0.27</v>
      </c>
      <c r="Y34" s="1013">
        <v>0.16</v>
      </c>
      <c r="Z34" s="1014">
        <v>0.16</v>
      </c>
      <c r="AA34" s="1013">
        <v>0.24</v>
      </c>
      <c r="AB34" s="1015">
        <v>0.15</v>
      </c>
      <c r="AC34" s="1013">
        <v>-0.03</v>
      </c>
      <c r="AD34" s="1014">
        <v>0.06</v>
      </c>
      <c r="AE34" s="1013">
        <v>0.04</v>
      </c>
      <c r="AF34" s="1015">
        <v>0.09</v>
      </c>
      <c r="AG34" s="1013">
        <v>-0.19</v>
      </c>
      <c r="AH34" s="1014">
        <v>-0.24</v>
      </c>
      <c r="AI34" s="1013">
        <v>-0.42</v>
      </c>
      <c r="AJ34" s="1015">
        <v>0.02</v>
      </c>
      <c r="AK34" s="1013">
        <v>-0.09</v>
      </c>
      <c r="AL34" s="1016">
        <v>0.17</v>
      </c>
      <c r="AM34" s="1015">
        <v>0.55000000000000004</v>
      </c>
      <c r="AN34" s="1015">
        <v>0.56999999999999995</v>
      </c>
      <c r="AO34" s="1013">
        <v>0.14000000000000001</v>
      </c>
      <c r="AP34" s="1016">
        <v>0.08</v>
      </c>
      <c r="AQ34" s="1015">
        <v>0.15</v>
      </c>
      <c r="AR34" s="1013">
        <v>0.31</v>
      </c>
      <c r="AS34" s="1013">
        <v>0.14000000000000001</v>
      </c>
      <c r="AT34" s="1012">
        <v>0.19</v>
      </c>
      <c r="AU34" s="1015">
        <v>7.0000000000000007E-2</v>
      </c>
      <c r="AV34" s="1013">
        <v>-1.27</v>
      </c>
      <c r="AW34" s="1013">
        <v>-0.11</v>
      </c>
      <c r="AX34" s="1012">
        <v>0.35</v>
      </c>
      <c r="AY34" s="1013">
        <v>-0.8</v>
      </c>
      <c r="AZ34" s="1013">
        <v>0.34</v>
      </c>
      <c r="BA34" s="1013">
        <v>0.28000000000000003</v>
      </c>
      <c r="BB34" s="1013">
        <v>0.86</v>
      </c>
      <c r="BC34" s="1017">
        <v>0.56999999999999995</v>
      </c>
      <c r="BD34" s="1018">
        <v>0.51</v>
      </c>
      <c r="BE34" s="1018">
        <v>0.39</v>
      </c>
      <c r="BF34" s="1018">
        <v>0.56999999999999995</v>
      </c>
      <c r="BG34" s="1001"/>
      <c r="BH34" s="1013">
        <v>0.57999999999999996</v>
      </c>
      <c r="BI34" s="1013">
        <v>0.04</v>
      </c>
      <c r="BJ34" s="1019">
        <v>0.53999999999999992</v>
      </c>
      <c r="BK34" s="953" t="s">
        <v>41</v>
      </c>
      <c r="BL34" s="1003"/>
      <c r="BM34" s="1022">
        <v>0.57999999999999996</v>
      </c>
      <c r="BN34" s="1017">
        <v>0.04</v>
      </c>
      <c r="BO34" s="1017">
        <v>0.28999999999999998</v>
      </c>
      <c r="BP34" s="1017">
        <v>-4.09</v>
      </c>
      <c r="BQ34" s="1017">
        <v>-0.27</v>
      </c>
      <c r="BR34" s="1017">
        <v>0.42</v>
      </c>
      <c r="BS34" s="1017">
        <v>-0.31</v>
      </c>
      <c r="BT34" s="1017">
        <v>-0.33</v>
      </c>
      <c r="BU34" s="1017">
        <v>1.37</v>
      </c>
      <c r="BV34" s="1017">
        <v>0.79</v>
      </c>
      <c r="BW34" s="1017">
        <v>-0.97</v>
      </c>
      <c r="BX34" s="1017">
        <v>0.7</v>
      </c>
      <c r="BY34" s="1017">
        <v>2.0299999999999998</v>
      </c>
      <c r="BZ34" s="1017">
        <v>1.82</v>
      </c>
      <c r="CA34" s="1017">
        <v>1.17</v>
      </c>
      <c r="CB34" s="1017">
        <v>1.43</v>
      </c>
      <c r="CC34" s="949"/>
    </row>
    <row r="35" spans="1:84" ht="12.75" customHeight="1" x14ac:dyDescent="0.2">
      <c r="A35" s="946"/>
      <c r="B35" s="946" t="s">
        <v>618</v>
      </c>
      <c r="C35" s="2818">
        <v>3.999999999999998E-2</v>
      </c>
      <c r="D35" s="952">
        <v>0.28571428571428553</v>
      </c>
      <c r="E35" s="909"/>
      <c r="F35" s="2943">
        <v>0.18</v>
      </c>
      <c r="G35" s="1288">
        <v>0</v>
      </c>
      <c r="H35" s="1013">
        <v>0.25</v>
      </c>
      <c r="I35" s="1013">
        <v>0.09</v>
      </c>
      <c r="J35" s="1014">
        <v>0.14000000000000001</v>
      </c>
      <c r="K35" s="1013">
        <v>-0.15</v>
      </c>
      <c r="L35" s="1013">
        <v>0.28999999999999998</v>
      </c>
      <c r="M35" s="1013">
        <v>-0.11</v>
      </c>
      <c r="N35" s="2194">
        <v>-0.05</v>
      </c>
      <c r="O35" s="1129">
        <v>0.26</v>
      </c>
      <c r="P35" s="1013">
        <v>0.01</v>
      </c>
      <c r="Q35" s="1013">
        <v>-0.05</v>
      </c>
      <c r="R35" s="1014">
        <v>0.04</v>
      </c>
      <c r="S35" s="1129">
        <v>-0.28999999999999998</v>
      </c>
      <c r="T35" s="1013">
        <v>-3.91</v>
      </c>
      <c r="U35" s="1013">
        <v>-0.03</v>
      </c>
      <c r="V35" s="1014">
        <v>0.08</v>
      </c>
      <c r="W35" s="1013">
        <v>-0.33</v>
      </c>
      <c r="X35" s="1013">
        <v>-0.27</v>
      </c>
      <c r="Y35" s="1013">
        <v>0.14000000000000001</v>
      </c>
      <c r="Z35" s="1014">
        <v>0.15</v>
      </c>
      <c r="AA35" s="1013">
        <v>0.22</v>
      </c>
      <c r="AB35" s="1015">
        <v>0.14000000000000001</v>
      </c>
      <c r="AC35" s="1013">
        <v>-0.03</v>
      </c>
      <c r="AD35" s="1014">
        <v>0.06</v>
      </c>
      <c r="AE35" s="1013">
        <v>0.04</v>
      </c>
      <c r="AF35" s="1015">
        <v>0.08</v>
      </c>
      <c r="AG35" s="1013">
        <v>-0.19</v>
      </c>
      <c r="AH35" s="1014">
        <v>-0.24</v>
      </c>
      <c r="AI35" s="1013">
        <v>-0.42</v>
      </c>
      <c r="AJ35" s="1015">
        <v>0.01</v>
      </c>
      <c r="AK35" s="1013">
        <v>-0.09</v>
      </c>
      <c r="AL35" s="1016">
        <v>0.16</v>
      </c>
      <c r="AM35" s="1015">
        <v>0.49</v>
      </c>
      <c r="AN35" s="1015">
        <v>0.51</v>
      </c>
      <c r="AO35" s="1013">
        <v>0.12</v>
      </c>
      <c r="AP35" s="1016">
        <v>7.0000000000000007E-2</v>
      </c>
      <c r="AQ35" s="1015">
        <v>0.14000000000000001</v>
      </c>
      <c r="AR35" s="1013">
        <v>0.27</v>
      </c>
      <c r="AS35" s="1013">
        <v>0.12</v>
      </c>
      <c r="AT35" s="1012">
        <v>0.16</v>
      </c>
      <c r="AU35" s="1015">
        <v>7.0000000000000007E-2</v>
      </c>
      <c r="AV35" s="1013">
        <v>-1.27</v>
      </c>
      <c r="AW35" s="1013">
        <v>-0.11</v>
      </c>
      <c r="AX35" s="1012">
        <v>0.31</v>
      </c>
      <c r="AY35" s="1013">
        <v>-0.8</v>
      </c>
      <c r="AZ35" s="1013">
        <v>0.31</v>
      </c>
      <c r="BA35" s="1013">
        <v>0.26</v>
      </c>
      <c r="BB35" s="1013">
        <v>0.8</v>
      </c>
      <c r="BC35" s="1017">
        <v>0.54</v>
      </c>
      <c r="BD35" s="1018">
        <v>0.49</v>
      </c>
      <c r="BE35" s="1018">
        <v>0.37</v>
      </c>
      <c r="BF35" s="1018">
        <v>0.54</v>
      </c>
      <c r="BG35" s="1001"/>
      <c r="BH35" s="1013">
        <v>0.48</v>
      </c>
      <c r="BI35" s="1013">
        <v>0.03</v>
      </c>
      <c r="BJ35" s="1019">
        <v>0.44999999999999996</v>
      </c>
      <c r="BK35" s="953" t="s">
        <v>41</v>
      </c>
      <c r="BL35" s="1003"/>
      <c r="BM35" s="1022">
        <v>0.48</v>
      </c>
      <c r="BN35" s="1017">
        <v>0.03</v>
      </c>
      <c r="BO35" s="1017">
        <v>0.27</v>
      </c>
      <c r="BP35" s="1017">
        <v>-4.09</v>
      </c>
      <c r="BQ35" s="1017">
        <v>-0.27</v>
      </c>
      <c r="BR35" s="1017">
        <v>0.39</v>
      </c>
      <c r="BS35" s="1017">
        <v>-0.31</v>
      </c>
      <c r="BT35" s="1017">
        <v>-0.33</v>
      </c>
      <c r="BU35" s="1017">
        <v>1.22</v>
      </c>
      <c r="BV35" s="1017">
        <v>0.69</v>
      </c>
      <c r="BW35" s="1017">
        <v>-0.97</v>
      </c>
      <c r="BX35" s="1017">
        <v>0.64</v>
      </c>
      <c r="BY35" s="1017">
        <v>1.94</v>
      </c>
      <c r="BZ35" s="1017">
        <v>1.74</v>
      </c>
      <c r="CA35" s="1017">
        <v>1.1100000000000001</v>
      </c>
      <c r="CB35" s="1017">
        <v>1.1200000000000001</v>
      </c>
      <c r="CC35" s="949"/>
      <c r="CE35" s="924"/>
    </row>
    <row r="36" spans="1:84" ht="12.75" customHeight="1" x14ac:dyDescent="0.2">
      <c r="A36" s="946"/>
      <c r="B36" s="946" t="s">
        <v>263</v>
      </c>
      <c r="C36" s="2818">
        <v>0.67960405277367464</v>
      </c>
      <c r="D36" s="952">
        <v>0.12306532849947256</v>
      </c>
      <c r="E36" s="909"/>
      <c r="F36" s="2994">
        <v>6.2019072153300341</v>
      </c>
      <c r="G36" s="918">
        <v>6.2482726164245834</v>
      </c>
      <c r="H36" s="1013">
        <v>6.0416730694648724</v>
      </c>
      <c r="I36" s="1013">
        <v>5.6938819959198783</v>
      </c>
      <c r="J36" s="1014">
        <v>5.5223031625563594</v>
      </c>
      <c r="K36" s="1013">
        <v>5.7118605886044378</v>
      </c>
      <c r="L36" s="1013">
        <v>5.1104589844536221</v>
      </c>
      <c r="M36" s="1013">
        <v>4.7418338824401287</v>
      </c>
      <c r="N36" s="2194">
        <v>4.9081597347945385</v>
      </c>
      <c r="O36" s="1129">
        <v>5.0842821672786878</v>
      </c>
      <c r="P36" s="1013">
        <v>4.8524520290158106</v>
      </c>
      <c r="Q36" s="1013">
        <v>4.7023745465275733</v>
      </c>
      <c r="R36" s="1014">
        <v>4.7513176517578817</v>
      </c>
      <c r="S36" s="1129">
        <v>4.990171629749157</v>
      </c>
      <c r="T36" s="1020">
        <v>5.3274116540838587</v>
      </c>
      <c r="U36" s="1013">
        <v>8.3842300334057658</v>
      </c>
      <c r="V36" s="1014">
        <v>8.34</v>
      </c>
      <c r="W36" s="1013">
        <v>8.7100000000000009</v>
      </c>
      <c r="X36" s="1020">
        <v>8.6300000000000008</v>
      </c>
      <c r="Y36" s="1013">
        <v>8.9</v>
      </c>
      <c r="Z36" s="1014">
        <v>8.6999999999999993</v>
      </c>
      <c r="AA36" s="1013">
        <v>9.0500000000000007</v>
      </c>
      <c r="AB36" s="1021">
        <v>8.43</v>
      </c>
      <c r="AC36" s="1013">
        <v>8</v>
      </c>
      <c r="AD36" s="1014">
        <v>7.8690965112156039</v>
      </c>
      <c r="AE36" s="1013">
        <v>7.6805825717690102</v>
      </c>
      <c r="AF36" s="1021">
        <v>7.619629128942214</v>
      </c>
      <c r="AG36" s="1013">
        <v>7.6129029043796193</v>
      </c>
      <c r="AH36" s="1016">
        <v>7.9000240300341398</v>
      </c>
      <c r="AI36" s="1013">
        <v>8.26</v>
      </c>
      <c r="AJ36" s="1015">
        <v>8.54362469180208</v>
      </c>
      <c r="AK36" s="1013">
        <v>8.7541612287663693</v>
      </c>
      <c r="AL36" s="1016">
        <v>8.7073727909457759</v>
      </c>
      <c r="AM36" s="1015">
        <v>8.7928854314765257</v>
      </c>
      <c r="AN36" s="1015">
        <v>8.4331234596167377</v>
      </c>
      <c r="AO36" s="1013">
        <v>8.047419145036363</v>
      </c>
      <c r="AP36" s="1016">
        <v>7.8610513978754888</v>
      </c>
      <c r="AQ36" s="1015">
        <v>6.96</v>
      </c>
      <c r="AR36" s="1013">
        <v>7</v>
      </c>
      <c r="AS36" s="1013">
        <v>6.78</v>
      </c>
      <c r="AT36" s="1012">
        <v>6.73</v>
      </c>
      <c r="AU36" s="1015">
        <v>6.51</v>
      </c>
      <c r="AV36" s="1015">
        <v>6.37</v>
      </c>
      <c r="AW36" s="971">
        <v>7.15</v>
      </c>
      <c r="AX36" s="1012">
        <v>7.66</v>
      </c>
      <c r="AY36" s="1019">
        <v>7.21</v>
      </c>
      <c r="AZ36" s="1019">
        <v>7.95</v>
      </c>
      <c r="BA36" s="1019">
        <v>7.83</v>
      </c>
      <c r="BB36" s="1019">
        <v>7.96</v>
      </c>
      <c r="BC36" s="1022">
        <v>7.74</v>
      </c>
      <c r="BD36" s="1023">
        <v>7.43</v>
      </c>
      <c r="BE36" s="1023">
        <v>6.84</v>
      </c>
      <c r="BF36" s="1023">
        <v>6.49</v>
      </c>
      <c r="BG36" s="1001"/>
      <c r="BH36" s="1020">
        <v>6.2482726164245834</v>
      </c>
      <c r="BI36" s="1020">
        <v>5.71</v>
      </c>
      <c r="BJ36" s="1019">
        <v>0.53827261642458346</v>
      </c>
      <c r="BK36" s="953">
        <v>9.4268409181187993E-2</v>
      </c>
      <c r="BL36" s="1003"/>
      <c r="BM36" s="1022">
        <v>6.2482726164245834</v>
      </c>
      <c r="BN36" s="1017">
        <v>5.7118605886044378</v>
      </c>
      <c r="BO36" s="1017">
        <v>5.0842821672786878</v>
      </c>
      <c r="BP36" s="1017">
        <v>4.990171629749157</v>
      </c>
      <c r="BQ36" s="1017">
        <v>8.7100000000000009</v>
      </c>
      <c r="BR36" s="1017">
        <v>9.0500000000000007</v>
      </c>
      <c r="BS36" s="1017">
        <v>7.6805825717690102</v>
      </c>
      <c r="BT36" s="1017">
        <v>8.26</v>
      </c>
      <c r="BU36" s="1017">
        <v>8.7885987238297076</v>
      </c>
      <c r="BV36" s="1017">
        <v>6.96</v>
      </c>
      <c r="BW36" s="1017">
        <v>6.51</v>
      </c>
      <c r="BX36" s="1017">
        <v>7.21</v>
      </c>
      <c r="BY36" s="1017">
        <v>7.74</v>
      </c>
      <c r="BZ36" s="1017">
        <v>5.99</v>
      </c>
      <c r="CA36" s="1017">
        <v>4.82</v>
      </c>
      <c r="CB36" s="1017">
        <v>2.59</v>
      </c>
      <c r="CC36" s="949"/>
    </row>
    <row r="37" spans="1:84" ht="9.75" customHeight="1" x14ac:dyDescent="0.2">
      <c r="A37" s="948"/>
      <c r="B37" s="946"/>
      <c r="C37" s="2818"/>
      <c r="D37" s="953"/>
      <c r="E37" s="909"/>
      <c r="F37" s="909"/>
      <c r="G37" s="912"/>
      <c r="H37" s="1004"/>
      <c r="I37" s="971"/>
      <c r="J37" s="1012"/>
      <c r="K37" s="1004"/>
      <c r="L37" s="1004"/>
      <c r="M37" s="971"/>
      <c r="N37" s="971"/>
      <c r="O37" s="1128"/>
      <c r="P37" s="1004"/>
      <c r="Q37" s="971"/>
      <c r="R37" s="1012"/>
      <c r="S37" s="1128"/>
      <c r="T37" s="1004"/>
      <c r="U37" s="971"/>
      <c r="V37" s="1012"/>
      <c r="W37" s="1004"/>
      <c r="X37" s="1004"/>
      <c r="Y37" s="971"/>
      <c r="Z37" s="1012"/>
      <c r="AA37" s="1004"/>
      <c r="AB37" s="1004"/>
      <c r="AC37" s="971"/>
      <c r="AD37" s="1012"/>
      <c r="AE37" s="1004"/>
      <c r="AF37" s="1004"/>
      <c r="AG37" s="971"/>
      <c r="AH37" s="1012"/>
      <c r="AI37" s="1004"/>
      <c r="AJ37" s="1004"/>
      <c r="AK37" s="971"/>
      <c r="AL37" s="1012"/>
      <c r="AM37" s="1004"/>
      <c r="AN37" s="1004"/>
      <c r="AO37" s="971"/>
      <c r="AP37" s="1012"/>
      <c r="AQ37" s="1004"/>
      <c r="AR37" s="1004"/>
      <c r="AS37" s="971"/>
      <c r="AT37" s="1012"/>
      <c r="AU37" s="1004"/>
      <c r="AV37" s="1004"/>
      <c r="AW37" s="971"/>
      <c r="AX37" s="1012"/>
      <c r="AY37" s="974"/>
      <c r="AZ37" s="974"/>
      <c r="BA37" s="974"/>
      <c r="BB37" s="974"/>
      <c r="BC37" s="1000"/>
      <c r="BD37" s="999"/>
      <c r="BE37" s="999"/>
      <c r="BF37" s="999"/>
      <c r="BG37" s="1001"/>
      <c r="BH37" s="971"/>
      <c r="BI37" s="971"/>
      <c r="BJ37" s="1024"/>
      <c r="BK37" s="953"/>
      <c r="BL37" s="1003"/>
      <c r="BM37" s="1000"/>
      <c r="BN37" s="1000"/>
      <c r="BO37" s="1000"/>
      <c r="BP37" s="1000"/>
      <c r="BQ37" s="1000"/>
      <c r="BR37" s="1000"/>
      <c r="BS37" s="1000"/>
      <c r="BT37" s="1000"/>
      <c r="BU37" s="1000"/>
      <c r="BV37" s="1000"/>
      <c r="BW37" s="1000"/>
      <c r="BX37" s="1000"/>
      <c r="BY37" s="1000"/>
      <c r="BZ37" s="1000"/>
      <c r="CA37" s="1000"/>
      <c r="CB37" s="1000"/>
      <c r="CC37" s="949"/>
    </row>
    <row r="38" spans="1:84" ht="12.75" customHeight="1" x14ac:dyDescent="0.2">
      <c r="A38" s="946" t="s">
        <v>14</v>
      </c>
      <c r="B38" s="946"/>
      <c r="C38" s="2818"/>
      <c r="D38" s="953"/>
      <c r="E38" s="909"/>
      <c r="F38" s="909"/>
      <c r="G38" s="912"/>
      <c r="H38" s="1004"/>
      <c r="I38" s="971"/>
      <c r="J38" s="1012"/>
      <c r="K38" s="1004"/>
      <c r="L38" s="1004"/>
      <c r="M38" s="971"/>
      <c r="N38" s="971"/>
      <c r="O38" s="1128"/>
      <c r="P38" s="1004"/>
      <c r="Q38" s="971"/>
      <c r="R38" s="1012"/>
      <c r="S38" s="1128"/>
      <c r="T38" s="1004"/>
      <c r="U38" s="971"/>
      <c r="V38" s="1012"/>
      <c r="W38" s="1004"/>
      <c r="X38" s="1004"/>
      <c r="Y38" s="971"/>
      <c r="Z38" s="1012"/>
      <c r="AA38" s="1004"/>
      <c r="AB38" s="1004"/>
      <c r="AC38" s="971"/>
      <c r="AD38" s="1012"/>
      <c r="AE38" s="1004"/>
      <c r="AF38" s="1004"/>
      <c r="AG38" s="971"/>
      <c r="AH38" s="1012"/>
      <c r="AI38" s="1004"/>
      <c r="AJ38" s="1004"/>
      <c r="AK38" s="971"/>
      <c r="AL38" s="1012"/>
      <c r="AM38" s="1004"/>
      <c r="AN38" s="1004"/>
      <c r="AO38" s="971"/>
      <c r="AP38" s="1012"/>
      <c r="AQ38" s="1004"/>
      <c r="AR38" s="1004"/>
      <c r="AS38" s="971"/>
      <c r="AT38" s="1012"/>
      <c r="AU38" s="1004"/>
      <c r="AV38" s="1004"/>
      <c r="AW38" s="971"/>
      <c r="AX38" s="1012"/>
      <c r="AY38" s="974"/>
      <c r="AZ38" s="974"/>
      <c r="BA38" s="974"/>
      <c r="BB38" s="974"/>
      <c r="BC38" s="1000"/>
      <c r="BD38" s="999"/>
      <c r="BE38" s="999"/>
      <c r="BF38" s="999"/>
      <c r="BG38" s="1001"/>
      <c r="BH38" s="971"/>
      <c r="BI38" s="971"/>
      <c r="BJ38" s="1024"/>
      <c r="BK38" s="953"/>
      <c r="BL38" s="1003"/>
      <c r="BM38" s="1000"/>
      <c r="BN38" s="1000"/>
      <c r="BO38" s="1000"/>
      <c r="BP38" s="1000"/>
      <c r="BQ38" s="1000"/>
      <c r="BR38" s="1000"/>
      <c r="BS38" s="1000"/>
      <c r="BT38" s="1000"/>
      <c r="BU38" s="1000"/>
      <c r="BV38" s="1000"/>
      <c r="BW38" s="1000"/>
      <c r="BX38" s="1000"/>
      <c r="BY38" s="1000"/>
      <c r="BZ38" s="1000"/>
      <c r="CA38" s="1000"/>
      <c r="CB38" s="1000"/>
      <c r="CC38" s="949"/>
    </row>
    <row r="39" spans="1:84" ht="12.75" customHeight="1" x14ac:dyDescent="0.2">
      <c r="A39" s="948"/>
      <c r="B39" s="946" t="s">
        <v>15</v>
      </c>
      <c r="C39" s="955">
        <v>-1.4400000000000004</v>
      </c>
      <c r="D39" s="952">
        <v>-0.19354838709677424</v>
      </c>
      <c r="E39" s="909"/>
      <c r="F39" s="2944">
        <v>6</v>
      </c>
      <c r="G39" s="1945">
        <v>6.65</v>
      </c>
      <c r="H39" s="1015">
        <v>7.11</v>
      </c>
      <c r="I39" s="1015">
        <v>7.47</v>
      </c>
      <c r="J39" s="1016">
        <v>7.44</v>
      </c>
      <c r="K39" s="1015">
        <v>7.49</v>
      </c>
      <c r="L39" s="1015">
        <v>5.91</v>
      </c>
      <c r="M39" s="1015">
        <v>6.68</v>
      </c>
      <c r="N39" s="1015">
        <v>5.42</v>
      </c>
      <c r="O39" s="1975">
        <v>5.7</v>
      </c>
      <c r="P39" s="1015">
        <v>4.8099999999999996</v>
      </c>
      <c r="Q39" s="1015">
        <v>5.1100000000000003</v>
      </c>
      <c r="R39" s="1016">
        <v>5.1100000000000003</v>
      </c>
      <c r="S39" s="1975">
        <v>5.08</v>
      </c>
      <c r="T39" s="1015">
        <v>5.89</v>
      </c>
      <c r="U39" s="1015">
        <v>7.87</v>
      </c>
      <c r="V39" s="1016">
        <v>8.58</v>
      </c>
      <c r="W39" s="1015">
        <v>7.85</v>
      </c>
      <c r="X39" s="1015">
        <v>11.47</v>
      </c>
      <c r="Y39" s="1015">
        <v>13.49</v>
      </c>
      <c r="Z39" s="1016">
        <v>13.05</v>
      </c>
      <c r="AA39" s="1015">
        <v>8.4499999999999993</v>
      </c>
      <c r="AB39" s="1015">
        <v>7</v>
      </c>
      <c r="AC39" s="1015">
        <v>7.06</v>
      </c>
      <c r="AD39" s="1016">
        <v>6.94</v>
      </c>
      <c r="AE39" s="1015">
        <v>7.93</v>
      </c>
      <c r="AF39" s="1015">
        <v>6.77</v>
      </c>
      <c r="AG39" s="1015">
        <v>6.45</v>
      </c>
      <c r="AH39" s="1016">
        <v>8.3000000000000007</v>
      </c>
      <c r="AI39" s="1015">
        <v>9.44</v>
      </c>
      <c r="AJ39" s="1015">
        <v>9.74</v>
      </c>
      <c r="AK39" s="1015">
        <v>13.05</v>
      </c>
      <c r="AL39" s="1016">
        <v>15.31</v>
      </c>
      <c r="AM39" s="1015">
        <v>16.41</v>
      </c>
      <c r="AN39" s="1015">
        <v>14.42</v>
      </c>
      <c r="AO39" s="1015">
        <v>10.89</v>
      </c>
      <c r="AP39" s="1016">
        <v>11.48</v>
      </c>
      <c r="AQ39" s="1015">
        <v>11.34</v>
      </c>
      <c r="AR39" s="1015">
        <v>11.87</v>
      </c>
      <c r="AS39" s="1015">
        <v>10.71</v>
      </c>
      <c r="AT39" s="1016">
        <v>8.41</v>
      </c>
      <c r="AU39" s="1015">
        <v>5.53</v>
      </c>
      <c r="AV39" s="1015">
        <v>8.19</v>
      </c>
      <c r="AW39" s="1015">
        <v>9.33</v>
      </c>
      <c r="AX39" s="1016">
        <v>11.75</v>
      </c>
      <c r="AY39" s="971">
        <v>16.329999999999998</v>
      </c>
      <c r="AZ39" s="1015">
        <v>20.58</v>
      </c>
      <c r="BA39" s="1025">
        <v>22.49</v>
      </c>
      <c r="BB39" s="1015">
        <v>25.92</v>
      </c>
      <c r="BC39" s="1026">
        <v>22.64</v>
      </c>
      <c r="BD39" s="1027">
        <v>19.78</v>
      </c>
      <c r="BE39" s="1014">
        <v>20.6</v>
      </c>
      <c r="BF39" s="1027">
        <v>27.5</v>
      </c>
      <c r="BG39" s="1001"/>
      <c r="BH39" s="1988">
        <v>7.47</v>
      </c>
      <c r="BI39" s="1988">
        <v>7.49</v>
      </c>
      <c r="BJ39" s="1019">
        <v>-2.0000000000000462E-2</v>
      </c>
      <c r="BK39" s="953">
        <v>-2.6702269692924514E-3</v>
      </c>
      <c r="BL39" s="1003"/>
      <c r="BM39" s="1022">
        <v>7.47</v>
      </c>
      <c r="BN39" s="1022">
        <v>7.49</v>
      </c>
      <c r="BO39" s="1022">
        <v>5.7</v>
      </c>
      <c r="BP39" s="1022">
        <v>8.58</v>
      </c>
      <c r="BQ39" s="1022">
        <v>13.49</v>
      </c>
      <c r="BR39" s="1022">
        <v>8.4499999999999993</v>
      </c>
      <c r="BS39" s="1022">
        <v>8.3000000000000007</v>
      </c>
      <c r="BT39" s="1022">
        <v>15.31</v>
      </c>
      <c r="BU39" s="1022">
        <v>16.41</v>
      </c>
      <c r="BV39" s="1022">
        <v>11.87</v>
      </c>
      <c r="BW39" s="1022">
        <v>11.75</v>
      </c>
      <c r="BX39" s="1022">
        <v>25.92</v>
      </c>
      <c r="BY39" s="1022">
        <v>27.5</v>
      </c>
      <c r="BZ39" s="1022">
        <v>21.25</v>
      </c>
      <c r="CA39" s="1022">
        <v>11.1</v>
      </c>
      <c r="CB39" s="1022">
        <v>0</v>
      </c>
      <c r="CC39" s="949"/>
    </row>
    <row r="40" spans="1:84" ht="12.75" customHeight="1" x14ac:dyDescent="0.2">
      <c r="A40" s="948"/>
      <c r="B40" s="946" t="s">
        <v>16</v>
      </c>
      <c r="C40" s="955">
        <v>-0.77999999999999936</v>
      </c>
      <c r="D40" s="952">
        <v>-0.13541666666666657</v>
      </c>
      <c r="E40" s="909"/>
      <c r="F40" s="2944">
        <v>4.9800000000000004</v>
      </c>
      <c r="G40" s="1945">
        <v>5.65</v>
      </c>
      <c r="H40" s="1015">
        <v>5.54</v>
      </c>
      <c r="I40" s="1015">
        <v>6.83</v>
      </c>
      <c r="J40" s="1016">
        <v>5.76</v>
      </c>
      <c r="K40" s="1015">
        <v>5.5</v>
      </c>
      <c r="L40" s="1015">
        <v>4.08</v>
      </c>
      <c r="M40" s="1015">
        <v>4.26</v>
      </c>
      <c r="N40" s="1015">
        <v>4.17</v>
      </c>
      <c r="O40" s="1975">
        <v>4.1100000000000003</v>
      </c>
      <c r="P40" s="1015">
        <v>3.53</v>
      </c>
      <c r="Q40" s="1015">
        <v>3.98</v>
      </c>
      <c r="R40" s="1016">
        <v>3.63</v>
      </c>
      <c r="S40" s="1975">
        <v>3.5</v>
      </c>
      <c r="T40" s="1015">
        <v>4.2300000000000004</v>
      </c>
      <c r="U40" s="1015">
        <v>5.14</v>
      </c>
      <c r="V40" s="1016">
        <v>6.38</v>
      </c>
      <c r="W40" s="1015">
        <v>6.14</v>
      </c>
      <c r="X40" s="1015">
        <v>5.98</v>
      </c>
      <c r="Y40" s="1015">
        <v>10.73</v>
      </c>
      <c r="Z40" s="1016">
        <v>7.8</v>
      </c>
      <c r="AA40" s="1015">
        <v>6.54</v>
      </c>
      <c r="AB40" s="1015">
        <v>5.84</v>
      </c>
      <c r="AC40" s="1015">
        <v>5.37</v>
      </c>
      <c r="AD40" s="1016">
        <v>5.05</v>
      </c>
      <c r="AE40" s="1015">
        <v>6.44</v>
      </c>
      <c r="AF40" s="1015">
        <v>4.7</v>
      </c>
      <c r="AG40" s="1015">
        <v>4.03</v>
      </c>
      <c r="AH40" s="1016">
        <v>4.91</v>
      </c>
      <c r="AI40" s="1015">
        <v>7.61</v>
      </c>
      <c r="AJ40" s="1015">
        <v>6.94</v>
      </c>
      <c r="AK40" s="1015">
        <v>9.32</v>
      </c>
      <c r="AL40" s="1016">
        <v>11.65</v>
      </c>
      <c r="AM40" s="1015">
        <v>13.03</v>
      </c>
      <c r="AN40" s="1015">
        <v>10.09</v>
      </c>
      <c r="AO40" s="1015">
        <v>8.77</v>
      </c>
      <c r="AP40" s="1016">
        <v>7.95</v>
      </c>
      <c r="AQ40" s="1015">
        <v>8.27</v>
      </c>
      <c r="AR40" s="1015">
        <v>9.5</v>
      </c>
      <c r="AS40" s="1015">
        <v>6.7</v>
      </c>
      <c r="AT40" s="1016">
        <v>5.3</v>
      </c>
      <c r="AU40" s="1015">
        <v>3.5</v>
      </c>
      <c r="AV40" s="1015">
        <v>2.87</v>
      </c>
      <c r="AW40" s="1015">
        <v>6.68</v>
      </c>
      <c r="AX40" s="1016">
        <v>7.6</v>
      </c>
      <c r="AY40" s="1015">
        <v>8.6</v>
      </c>
      <c r="AZ40" s="1015">
        <v>13.3</v>
      </c>
      <c r="BA40" s="1025">
        <v>16.25</v>
      </c>
      <c r="BB40" s="971">
        <v>20.22</v>
      </c>
      <c r="BC40" s="1028">
        <v>16.7</v>
      </c>
      <c r="BD40" s="1027">
        <v>15.8</v>
      </c>
      <c r="BE40" s="1014">
        <v>16.739999999999998</v>
      </c>
      <c r="BF40" s="1029">
        <v>16.25</v>
      </c>
      <c r="BG40" s="1001"/>
      <c r="BH40" s="1988">
        <v>5.54</v>
      </c>
      <c r="BI40" s="1988">
        <v>4.08</v>
      </c>
      <c r="BJ40" s="1019">
        <v>1.46</v>
      </c>
      <c r="BK40" s="953">
        <v>0.35784313725490197</v>
      </c>
      <c r="BL40" s="1003"/>
      <c r="BM40" s="1022">
        <v>5.54</v>
      </c>
      <c r="BN40" s="1022">
        <v>4.08</v>
      </c>
      <c r="BO40" s="1022">
        <v>3.53</v>
      </c>
      <c r="BP40" s="1022">
        <v>3.5</v>
      </c>
      <c r="BQ40" s="1022">
        <v>5.98</v>
      </c>
      <c r="BR40" s="1022">
        <v>5.05</v>
      </c>
      <c r="BS40" s="1022">
        <v>4.03</v>
      </c>
      <c r="BT40" s="1022">
        <v>6.94</v>
      </c>
      <c r="BU40" s="1022">
        <v>7.95</v>
      </c>
      <c r="BV40" s="1022">
        <v>5.3</v>
      </c>
      <c r="BW40" s="1022">
        <v>2.87</v>
      </c>
      <c r="BX40" s="1022">
        <v>8.6</v>
      </c>
      <c r="BY40" s="1022">
        <v>15.8</v>
      </c>
      <c r="BZ40" s="1022">
        <v>9</v>
      </c>
      <c r="CA40" s="1022">
        <v>7.96</v>
      </c>
      <c r="CB40" s="1022">
        <v>0</v>
      </c>
      <c r="CC40" s="949"/>
    </row>
    <row r="41" spans="1:84" ht="12.75" customHeight="1" x14ac:dyDescent="0.2">
      <c r="A41" s="948"/>
      <c r="B41" s="946" t="s">
        <v>17</v>
      </c>
      <c r="C41" s="955">
        <v>-1.2599999999999998</v>
      </c>
      <c r="D41" s="952">
        <v>-0.17355371900826444</v>
      </c>
      <c r="E41" s="909"/>
      <c r="F41" s="2944">
        <v>6</v>
      </c>
      <c r="G41" s="1945">
        <v>5.84</v>
      </c>
      <c r="H41" s="1015">
        <v>5.77</v>
      </c>
      <c r="I41" s="1015">
        <v>6.9</v>
      </c>
      <c r="J41" s="1016">
        <v>7.26</v>
      </c>
      <c r="K41" s="1015">
        <v>6.93</v>
      </c>
      <c r="L41" s="1015">
        <v>5.8</v>
      </c>
      <c r="M41" s="1015">
        <v>4.29</v>
      </c>
      <c r="N41" s="1015">
        <v>5.33</v>
      </c>
      <c r="O41" s="1975">
        <v>5.09</v>
      </c>
      <c r="P41" s="1015">
        <v>4.7699999999999996</v>
      </c>
      <c r="Q41" s="1015">
        <v>4.71</v>
      </c>
      <c r="R41" s="1016">
        <v>4.92</v>
      </c>
      <c r="S41" s="1975">
        <v>4.01</v>
      </c>
      <c r="T41" s="1015">
        <v>5.1100000000000003</v>
      </c>
      <c r="U41" s="1015">
        <v>5.23</v>
      </c>
      <c r="V41" s="1016">
        <v>7.78</v>
      </c>
      <c r="W41" s="1015">
        <v>6.52</v>
      </c>
      <c r="X41" s="1015">
        <v>7.81</v>
      </c>
      <c r="Y41" s="1015">
        <v>11.19</v>
      </c>
      <c r="Z41" s="1016">
        <v>12.29</v>
      </c>
      <c r="AA41" s="1015">
        <v>8.1999999999999993</v>
      </c>
      <c r="AB41" s="1015">
        <v>6.95</v>
      </c>
      <c r="AC41" s="1015">
        <v>6.63</v>
      </c>
      <c r="AD41" s="1016">
        <v>5.71</v>
      </c>
      <c r="AE41" s="1015">
        <v>6.82</v>
      </c>
      <c r="AF41" s="1015">
        <v>6.7</v>
      </c>
      <c r="AG41" s="1015">
        <v>5.68</v>
      </c>
      <c r="AH41" s="1016">
        <v>5.5</v>
      </c>
      <c r="AI41" s="1015">
        <v>8.3000000000000007</v>
      </c>
      <c r="AJ41" s="1015">
        <v>7.8</v>
      </c>
      <c r="AK41" s="1015">
        <v>9.5500000000000007</v>
      </c>
      <c r="AL41" s="1016">
        <v>12.36</v>
      </c>
      <c r="AM41" s="1015">
        <v>14</v>
      </c>
      <c r="AN41" s="1015">
        <v>14.16</v>
      </c>
      <c r="AO41" s="1015">
        <v>10.37</v>
      </c>
      <c r="AP41" s="1016">
        <v>9.39</v>
      </c>
      <c r="AQ41" s="1015">
        <v>11.1</v>
      </c>
      <c r="AR41" s="1015">
        <v>10.37</v>
      </c>
      <c r="AS41" s="1015">
        <v>10.199999999999999</v>
      </c>
      <c r="AT41" s="1016">
        <v>6.95</v>
      </c>
      <c r="AU41" s="1015">
        <v>5.4</v>
      </c>
      <c r="AV41" s="1015">
        <v>4.04</v>
      </c>
      <c r="AW41" s="1015">
        <v>7.98</v>
      </c>
      <c r="AX41" s="1016">
        <v>7.95</v>
      </c>
      <c r="AY41" s="1015">
        <v>9.8000000000000007</v>
      </c>
      <c r="AZ41" s="1015">
        <v>15.3</v>
      </c>
      <c r="BA41" s="1025">
        <v>18.98</v>
      </c>
      <c r="BB41" s="971">
        <v>20.83</v>
      </c>
      <c r="BC41" s="1026">
        <v>22.12</v>
      </c>
      <c r="BD41" s="1027">
        <v>18.600000000000001</v>
      </c>
      <c r="BE41" s="1014">
        <v>17.100000000000001</v>
      </c>
      <c r="BF41" s="1029">
        <v>17.72</v>
      </c>
      <c r="BG41" s="1001"/>
      <c r="BH41" s="1988">
        <v>5.84</v>
      </c>
      <c r="BI41" s="1988">
        <v>6.93</v>
      </c>
      <c r="BJ41" s="1019">
        <v>-1.0899999999999999</v>
      </c>
      <c r="BK41" s="953">
        <v>-0.15728715728715728</v>
      </c>
      <c r="BL41" s="1003"/>
      <c r="BM41" s="1022">
        <v>5.84</v>
      </c>
      <c r="BN41" s="1022">
        <v>6.93</v>
      </c>
      <c r="BO41" s="1022">
        <v>5.09</v>
      </c>
      <c r="BP41" s="1022">
        <v>4.01</v>
      </c>
      <c r="BQ41" s="1022">
        <v>6.52</v>
      </c>
      <c r="BR41" s="1022">
        <v>8.1999999999999993</v>
      </c>
      <c r="BS41" s="1022">
        <v>6.82</v>
      </c>
      <c r="BT41" s="1022">
        <v>8.3000000000000007</v>
      </c>
      <c r="BU41" s="1022">
        <v>14</v>
      </c>
      <c r="BV41" s="1022">
        <v>11.1</v>
      </c>
      <c r="BW41" s="1022">
        <v>5.4</v>
      </c>
      <c r="BX41" s="1022">
        <v>9.8000000000000007</v>
      </c>
      <c r="BY41" s="1022">
        <v>22.12</v>
      </c>
      <c r="BZ41" s="1022">
        <v>20.8</v>
      </c>
      <c r="CA41" s="1022">
        <v>10.48</v>
      </c>
      <c r="CB41" s="1022">
        <v>0</v>
      </c>
      <c r="CC41" s="949"/>
    </row>
    <row r="42" spans="1:84" ht="9.75" customHeight="1" x14ac:dyDescent="0.2">
      <c r="A42" s="948"/>
      <c r="B42" s="946"/>
      <c r="C42" s="955"/>
      <c r="D42" s="953"/>
      <c r="E42" s="909"/>
      <c r="F42" s="909"/>
      <c r="G42" s="912"/>
      <c r="H42" s="1004"/>
      <c r="I42" s="971"/>
      <c r="J42" s="1012"/>
      <c r="K42" s="1004"/>
      <c r="L42" s="1004"/>
      <c r="M42" s="971"/>
      <c r="N42" s="971"/>
      <c r="O42" s="1128"/>
      <c r="P42" s="1004"/>
      <c r="Q42" s="971"/>
      <c r="R42" s="1012"/>
      <c r="S42" s="1128"/>
      <c r="T42" s="1004"/>
      <c r="U42" s="971"/>
      <c r="V42" s="1012"/>
      <c r="W42" s="1004"/>
      <c r="X42" s="1004"/>
      <c r="Y42" s="971"/>
      <c r="Z42" s="1012"/>
      <c r="AA42" s="1004"/>
      <c r="AB42" s="1004"/>
      <c r="AC42" s="971"/>
      <c r="AD42" s="1012"/>
      <c r="AE42" s="1004"/>
      <c r="AF42" s="1004"/>
      <c r="AG42" s="971"/>
      <c r="AH42" s="1012"/>
      <c r="AI42" s="1004"/>
      <c r="AJ42" s="1004"/>
      <c r="AK42" s="971"/>
      <c r="AL42" s="1012"/>
      <c r="AM42" s="1004"/>
      <c r="AN42" s="1004"/>
      <c r="AO42" s="971"/>
      <c r="AP42" s="1012"/>
      <c r="AQ42" s="1004"/>
      <c r="AR42" s="1004"/>
      <c r="AS42" s="971"/>
      <c r="AT42" s="1012"/>
      <c r="AU42" s="1004"/>
      <c r="AV42" s="1004"/>
      <c r="AW42" s="971"/>
      <c r="AX42" s="1012"/>
      <c r="AY42" s="974"/>
      <c r="AZ42" s="974"/>
      <c r="BA42" s="974"/>
      <c r="BB42" s="974"/>
      <c r="BC42" s="1000"/>
      <c r="BD42" s="999"/>
      <c r="BE42" s="999"/>
      <c r="BF42" s="999"/>
      <c r="BG42" s="1001"/>
      <c r="BH42" s="971"/>
      <c r="BI42" s="974"/>
      <c r="BJ42" s="974"/>
      <c r="BK42" s="953"/>
      <c r="BL42" s="1003"/>
      <c r="BM42" s="1000"/>
      <c r="BN42" s="1000"/>
      <c r="BO42" s="1000"/>
      <c r="BP42" s="1000"/>
      <c r="BQ42" s="1000"/>
      <c r="BR42" s="1000"/>
      <c r="BS42" s="1000"/>
      <c r="BT42" s="1000"/>
      <c r="BU42" s="1000"/>
      <c r="BV42" s="1000"/>
      <c r="BW42" s="1000"/>
      <c r="BX42" s="1000"/>
      <c r="BY42" s="1000"/>
      <c r="BZ42" s="1000"/>
      <c r="CA42" s="1000"/>
      <c r="CB42" s="1000"/>
      <c r="CC42" s="949"/>
    </row>
    <row r="43" spans="1:84" ht="12.75" customHeight="1" x14ac:dyDescent="0.2">
      <c r="A43" s="946" t="s">
        <v>18</v>
      </c>
      <c r="B43" s="946"/>
      <c r="C43" s="951"/>
      <c r="D43" s="953"/>
      <c r="E43" s="909"/>
      <c r="F43" s="909"/>
      <c r="G43" s="912"/>
      <c r="H43" s="1004"/>
      <c r="I43" s="971"/>
      <c r="J43" s="1012"/>
      <c r="K43" s="1004"/>
      <c r="L43" s="1004"/>
      <c r="M43" s="971"/>
      <c r="N43" s="971"/>
      <c r="O43" s="1128"/>
      <c r="P43" s="1004"/>
      <c r="Q43" s="971"/>
      <c r="R43" s="1012"/>
      <c r="S43" s="1128"/>
      <c r="T43" s="1004"/>
      <c r="U43" s="971"/>
      <c r="V43" s="1012"/>
      <c r="W43" s="1004"/>
      <c r="X43" s="1004"/>
      <c r="Y43" s="971"/>
      <c r="Z43" s="1012"/>
      <c r="AA43" s="1004"/>
      <c r="AB43" s="1004"/>
      <c r="AC43" s="971"/>
      <c r="AD43" s="1012"/>
      <c r="AE43" s="1004"/>
      <c r="AF43" s="1004"/>
      <c r="AG43" s="971"/>
      <c r="AH43" s="1012"/>
      <c r="AI43" s="1004"/>
      <c r="AJ43" s="1004"/>
      <c r="AK43" s="971"/>
      <c r="AL43" s="1012"/>
      <c r="AM43" s="1004"/>
      <c r="AN43" s="1004"/>
      <c r="AO43" s="971"/>
      <c r="AP43" s="1012"/>
      <c r="AQ43" s="1004"/>
      <c r="AR43" s="1004"/>
      <c r="AS43" s="971"/>
      <c r="AT43" s="1012"/>
      <c r="AU43" s="1004"/>
      <c r="AV43" s="1004"/>
      <c r="AW43" s="971"/>
      <c r="AX43" s="1012"/>
      <c r="AY43" s="974"/>
      <c r="AZ43" s="974"/>
      <c r="BA43" s="1030"/>
      <c r="BB43" s="974"/>
      <c r="BC43" s="1000"/>
      <c r="BD43" s="999"/>
      <c r="BE43" s="1031"/>
      <c r="BF43" s="999"/>
      <c r="BG43" s="1001"/>
      <c r="BH43" s="971"/>
      <c r="BI43" s="971"/>
      <c r="BJ43" s="974"/>
      <c r="BK43" s="953"/>
      <c r="BL43" s="1003"/>
      <c r="BM43" s="1000"/>
      <c r="BN43" s="1000"/>
      <c r="BO43" s="1000"/>
      <c r="BP43" s="1000"/>
      <c r="BQ43" s="1000"/>
      <c r="BR43" s="1000"/>
      <c r="BS43" s="1000"/>
      <c r="BT43" s="1000"/>
      <c r="BU43" s="1000"/>
      <c r="BV43" s="1000"/>
      <c r="BW43" s="1000"/>
      <c r="BX43" s="1000"/>
      <c r="BY43" s="1000"/>
      <c r="BZ43" s="1000"/>
      <c r="CA43" s="1000"/>
      <c r="CB43" s="1000"/>
      <c r="CC43" s="949"/>
    </row>
    <row r="44" spans="1:84" s="924" customFormat="1" ht="13.5" customHeight="1" x14ac:dyDescent="0.2">
      <c r="A44" s="948"/>
      <c r="B44" s="946" t="s">
        <v>19</v>
      </c>
      <c r="C44" s="951">
        <v>10038</v>
      </c>
      <c r="D44" s="952">
        <v>0.10401856956332511</v>
      </c>
      <c r="E44" s="920"/>
      <c r="F44" s="2003">
        <v>106540</v>
      </c>
      <c r="G44" s="914">
        <v>97580</v>
      </c>
      <c r="H44" s="1006">
        <v>96259</v>
      </c>
      <c r="I44" s="1006">
        <v>97055</v>
      </c>
      <c r="J44" s="1032">
        <v>96502</v>
      </c>
      <c r="K44" s="1006">
        <v>93054</v>
      </c>
      <c r="L44" s="1006">
        <v>92281</v>
      </c>
      <c r="M44" s="1006">
        <v>91602</v>
      </c>
      <c r="N44" s="1006">
        <v>92904</v>
      </c>
      <c r="O44" s="957">
        <v>92780</v>
      </c>
      <c r="P44" s="1006">
        <v>91780</v>
      </c>
      <c r="Q44" s="1006">
        <v>91163</v>
      </c>
      <c r="R44" s="1032">
        <v>96657</v>
      </c>
      <c r="S44" s="957">
        <v>89084</v>
      </c>
      <c r="T44" s="1006">
        <v>89201</v>
      </c>
      <c r="U44" s="1006">
        <v>90099</v>
      </c>
      <c r="V44" s="1032">
        <v>92588</v>
      </c>
      <c r="W44" s="1006">
        <v>91794.667000000001</v>
      </c>
      <c r="X44" s="1006">
        <v>90878.278999999995</v>
      </c>
      <c r="Y44" s="1006">
        <v>91104</v>
      </c>
      <c r="Z44" s="1032">
        <v>91392.918999999994</v>
      </c>
      <c r="AA44" s="1006">
        <v>93115.358999999997</v>
      </c>
      <c r="AB44" s="1006">
        <v>92911.964000000007</v>
      </c>
      <c r="AC44" s="1006">
        <v>93951.271999999997</v>
      </c>
      <c r="AD44" s="1032">
        <v>94935.751999999993</v>
      </c>
      <c r="AE44" s="1006">
        <v>93061.796000000002</v>
      </c>
      <c r="AF44" s="1006">
        <v>92521.668999999994</v>
      </c>
      <c r="AG44" s="1006">
        <v>93991.129000000001</v>
      </c>
      <c r="AH44" s="1032">
        <v>93566.31</v>
      </c>
      <c r="AI44" s="1006">
        <v>94025.876999999993</v>
      </c>
      <c r="AJ44" s="1006">
        <v>74998.990000000005</v>
      </c>
      <c r="AK44" s="1006">
        <v>76232.323999999993</v>
      </c>
      <c r="AL44" s="1032">
        <v>75596.665999999997</v>
      </c>
      <c r="AM44" s="1006">
        <v>75404</v>
      </c>
      <c r="AN44" s="1006">
        <v>75055</v>
      </c>
      <c r="AO44" s="1006">
        <v>74552</v>
      </c>
      <c r="AP44" s="1032">
        <v>74961.240000000005</v>
      </c>
      <c r="AQ44" s="1006">
        <v>48868</v>
      </c>
      <c r="AR44" s="1006">
        <v>48106</v>
      </c>
      <c r="AS44" s="1006">
        <v>48681</v>
      </c>
      <c r="AT44" s="1032">
        <v>49118</v>
      </c>
      <c r="AU44" s="1006">
        <v>49343</v>
      </c>
      <c r="AV44" s="1006">
        <v>49108</v>
      </c>
      <c r="AW44" s="1006">
        <v>48274</v>
      </c>
      <c r="AX44" s="1032">
        <v>50069</v>
      </c>
      <c r="AY44" s="1006">
        <v>43873</v>
      </c>
      <c r="AZ44" s="1006">
        <v>44191</v>
      </c>
      <c r="BA44" s="1006">
        <v>44548</v>
      </c>
      <c r="BB44" s="1006">
        <v>45183.714</v>
      </c>
      <c r="BC44" s="1033">
        <v>45973.118999999999</v>
      </c>
      <c r="BD44" s="1032">
        <v>46320.542000000001</v>
      </c>
      <c r="BE44" s="1032">
        <v>46199.726000000002</v>
      </c>
      <c r="BF44" s="1032">
        <v>45906.368000000002</v>
      </c>
      <c r="BG44" s="1034"/>
      <c r="BH44" s="1002">
        <v>97580</v>
      </c>
      <c r="BI44" s="1006">
        <v>93054</v>
      </c>
      <c r="BJ44" s="974">
        <v>4526</v>
      </c>
      <c r="BK44" s="1035">
        <v>4.8638425000537319E-2</v>
      </c>
      <c r="BL44" s="1036"/>
      <c r="BM44" s="1000">
        <v>97580</v>
      </c>
      <c r="BN44" s="1033">
        <v>93054</v>
      </c>
      <c r="BO44" s="1033">
        <v>92780</v>
      </c>
      <c r="BP44" s="1033">
        <v>89084</v>
      </c>
      <c r="BQ44" s="1033">
        <v>91794.667000000001</v>
      </c>
      <c r="BR44" s="1033">
        <v>93115.358999999997</v>
      </c>
      <c r="BS44" s="1033">
        <v>93061.796000000002</v>
      </c>
      <c r="BT44" s="1033">
        <v>94025.876999999993</v>
      </c>
      <c r="BU44" s="1033">
        <v>75404</v>
      </c>
      <c r="BV44" s="1033">
        <v>48868</v>
      </c>
      <c r="BW44" s="1033">
        <v>49343</v>
      </c>
      <c r="BX44" s="1033">
        <v>43873</v>
      </c>
      <c r="BY44" s="1033">
        <v>45973.118999999999</v>
      </c>
      <c r="BZ44" s="1033">
        <v>45746.033000000003</v>
      </c>
      <c r="CA44" s="1033">
        <v>45413.311000000002</v>
      </c>
      <c r="CB44" s="1033">
        <v>29983</v>
      </c>
      <c r="CC44" s="2396"/>
    </row>
    <row r="45" spans="1:84" s="924" customFormat="1" ht="13.5" customHeight="1" x14ac:dyDescent="0.2">
      <c r="A45" s="948"/>
      <c r="B45" s="946" t="s">
        <v>20</v>
      </c>
      <c r="C45" s="951">
        <v>2200</v>
      </c>
      <c r="D45" s="952">
        <v>1.937506605136154E-2</v>
      </c>
      <c r="E45" s="920"/>
      <c r="F45" s="2003">
        <v>115748</v>
      </c>
      <c r="G45" s="914">
        <v>115617</v>
      </c>
      <c r="H45" s="1006">
        <v>114857</v>
      </c>
      <c r="I45" s="1006">
        <v>115707</v>
      </c>
      <c r="J45" s="1032">
        <v>113548</v>
      </c>
      <c r="K45" s="1006">
        <v>113523</v>
      </c>
      <c r="L45" s="1006">
        <v>113511</v>
      </c>
      <c r="M45" s="1006">
        <v>113511</v>
      </c>
      <c r="N45" s="1006">
        <v>113511</v>
      </c>
      <c r="O45" s="957">
        <v>113511</v>
      </c>
      <c r="P45" s="1006">
        <v>112777</v>
      </c>
      <c r="Q45" s="1006">
        <v>112057</v>
      </c>
      <c r="R45" s="1032">
        <v>111601</v>
      </c>
      <c r="S45" s="957">
        <v>103813</v>
      </c>
      <c r="T45" s="1006">
        <v>103108</v>
      </c>
      <c r="U45" s="1006">
        <v>102978.795</v>
      </c>
      <c r="V45" s="1032">
        <v>103268</v>
      </c>
      <c r="W45" s="1006">
        <v>102607.705</v>
      </c>
      <c r="X45" s="1006">
        <v>101883.242</v>
      </c>
      <c r="Y45" s="1006">
        <v>102163</v>
      </c>
      <c r="Z45" s="1032">
        <v>101982.93799999999</v>
      </c>
      <c r="AA45" s="1006">
        <v>101471.45600000001</v>
      </c>
      <c r="AB45" s="1006">
        <v>101818.94100000001</v>
      </c>
      <c r="AC45" s="1006">
        <v>102519.742</v>
      </c>
      <c r="AD45" s="1032">
        <v>103570.194</v>
      </c>
      <c r="AE45" s="1006">
        <v>102896.17200000001</v>
      </c>
      <c r="AF45" s="1006">
        <v>102512.817</v>
      </c>
      <c r="AG45" s="1006">
        <v>102381.448</v>
      </c>
      <c r="AH45" s="1032">
        <v>102030.601</v>
      </c>
      <c r="AI45" s="1006">
        <v>101688.72100000001</v>
      </c>
      <c r="AJ45" s="1006">
        <v>83412.456000000006</v>
      </c>
      <c r="AK45" s="1006">
        <v>83321.695999999996</v>
      </c>
      <c r="AL45" s="1032">
        <v>83097.441000000006</v>
      </c>
      <c r="AM45" s="1006">
        <v>82810</v>
      </c>
      <c r="AN45" s="1006">
        <v>82626</v>
      </c>
      <c r="AO45" s="1006">
        <v>82553</v>
      </c>
      <c r="AP45" s="1032">
        <v>82307.929999999993</v>
      </c>
      <c r="AQ45" s="1006">
        <v>55571</v>
      </c>
      <c r="AR45" s="1006">
        <v>55405</v>
      </c>
      <c r="AS45" s="1006">
        <v>55359</v>
      </c>
      <c r="AT45" s="1032">
        <v>55234</v>
      </c>
      <c r="AU45" s="1006">
        <v>55093</v>
      </c>
      <c r="AV45" s="1006">
        <v>54636</v>
      </c>
      <c r="AW45" s="1006">
        <v>54553</v>
      </c>
      <c r="AX45" s="1032">
        <v>54591</v>
      </c>
      <c r="AY45" s="1006">
        <v>47835</v>
      </c>
      <c r="AZ45" s="1006">
        <v>47835</v>
      </c>
      <c r="BA45" s="1006">
        <v>47866</v>
      </c>
      <c r="BB45" s="1006">
        <v>47864.233999999997</v>
      </c>
      <c r="BC45" s="1033">
        <v>47831.961000000003</v>
      </c>
      <c r="BD45" s="1032">
        <v>47831.203000000001</v>
      </c>
      <c r="BE45" s="1032">
        <v>47827.35</v>
      </c>
      <c r="BF45" s="1032">
        <v>47827.35</v>
      </c>
      <c r="BG45" s="1034"/>
      <c r="BH45" s="1002">
        <v>115617</v>
      </c>
      <c r="BI45" s="1006">
        <v>113523</v>
      </c>
      <c r="BJ45" s="974">
        <v>2094</v>
      </c>
      <c r="BK45" s="1035">
        <v>1.8445601331888693E-2</v>
      </c>
      <c r="BL45" s="1036"/>
      <c r="BM45" s="1000">
        <v>115617</v>
      </c>
      <c r="BN45" s="1033">
        <v>113523</v>
      </c>
      <c r="BO45" s="1033">
        <v>113511</v>
      </c>
      <c r="BP45" s="1033">
        <v>103812</v>
      </c>
      <c r="BQ45" s="1033">
        <v>102607.705</v>
      </c>
      <c r="BR45" s="1033">
        <v>101471.45600000001</v>
      </c>
      <c r="BS45" s="1033">
        <v>102896.17200000001</v>
      </c>
      <c r="BT45" s="1033">
        <v>101688.72100000001</v>
      </c>
      <c r="BU45" s="1033">
        <v>82810</v>
      </c>
      <c r="BV45" s="1033">
        <v>55571</v>
      </c>
      <c r="BW45" s="1033">
        <v>55093</v>
      </c>
      <c r="BX45" s="1033">
        <v>47835</v>
      </c>
      <c r="BY45" s="1033">
        <v>47831.961000000003</v>
      </c>
      <c r="BZ45" s="1033">
        <v>47827.35</v>
      </c>
      <c r="CA45" s="1033">
        <v>46129.267999999996</v>
      </c>
      <c r="CB45" s="1033">
        <v>38089</v>
      </c>
      <c r="CC45" s="2396"/>
    </row>
    <row r="46" spans="1:84" s="924" customFormat="1" ht="13.5" customHeight="1" x14ac:dyDescent="0.2">
      <c r="A46" s="948"/>
      <c r="B46" s="946" t="s">
        <v>21</v>
      </c>
      <c r="C46" s="951">
        <v>8113</v>
      </c>
      <c r="D46" s="952">
        <v>6.5088330150987597E-2</v>
      </c>
      <c r="E46" s="920"/>
      <c r="F46" s="2003">
        <v>132759</v>
      </c>
      <c r="G46" s="914">
        <v>140241</v>
      </c>
      <c r="H46" s="1006">
        <v>136659</v>
      </c>
      <c r="I46" s="1006">
        <v>137741</v>
      </c>
      <c r="J46" s="1032">
        <v>124646</v>
      </c>
      <c r="K46" s="1006">
        <v>124294</v>
      </c>
      <c r="L46" s="1006">
        <v>124209</v>
      </c>
      <c r="M46" s="1006">
        <v>124141</v>
      </c>
      <c r="N46" s="1006">
        <v>124281</v>
      </c>
      <c r="O46" s="957">
        <v>124479</v>
      </c>
      <c r="P46" s="1006">
        <v>124346</v>
      </c>
      <c r="Q46" s="1006">
        <v>115222</v>
      </c>
      <c r="R46" s="1032">
        <v>115167</v>
      </c>
      <c r="S46" s="957">
        <v>109072</v>
      </c>
      <c r="T46" s="1006">
        <v>109541</v>
      </c>
      <c r="U46" s="1006">
        <v>110069.022</v>
      </c>
      <c r="V46" s="1032">
        <v>110645</v>
      </c>
      <c r="W46" s="1006">
        <v>104651.985</v>
      </c>
      <c r="X46" s="1006">
        <v>104356.9</v>
      </c>
      <c r="Y46" s="1006">
        <v>105275</v>
      </c>
      <c r="Z46" s="1032">
        <v>105470</v>
      </c>
      <c r="AA46" s="1006">
        <v>107945.18399999999</v>
      </c>
      <c r="AB46" s="1006">
        <v>108409.478</v>
      </c>
      <c r="AC46" s="1006">
        <v>109603.592</v>
      </c>
      <c r="AD46" s="1032">
        <v>109667.482</v>
      </c>
      <c r="AE46" s="1006">
        <v>109882.489</v>
      </c>
      <c r="AF46" s="1006">
        <v>110968.91800000001</v>
      </c>
      <c r="AG46" s="1006">
        <v>108789.11900000001</v>
      </c>
      <c r="AH46" s="1032">
        <v>107853.796</v>
      </c>
      <c r="AI46" s="1006">
        <v>106656.02800000001</v>
      </c>
      <c r="AJ46" s="1006">
        <v>86787.168999999994</v>
      </c>
      <c r="AK46" s="1006">
        <v>85979.111000000004</v>
      </c>
      <c r="AL46" s="1032">
        <v>86236</v>
      </c>
      <c r="AM46" s="1006">
        <v>86080.047999999995</v>
      </c>
      <c r="AN46" s="1006">
        <v>85938.028000000006</v>
      </c>
      <c r="AO46" s="1006">
        <v>84565</v>
      </c>
      <c r="AP46" s="1032">
        <v>85357.03</v>
      </c>
      <c r="AQ46" s="1006">
        <v>57814</v>
      </c>
      <c r="AR46" s="1006">
        <v>57267</v>
      </c>
      <c r="AS46" s="1006">
        <v>57226</v>
      </c>
      <c r="AT46" s="1032">
        <v>57245</v>
      </c>
      <c r="AU46" s="1006">
        <v>57251</v>
      </c>
      <c r="AV46" s="1006">
        <v>56210</v>
      </c>
      <c r="AW46" s="1006">
        <v>57981</v>
      </c>
      <c r="AX46" s="1032">
        <v>57466</v>
      </c>
      <c r="AY46" s="1006">
        <v>49556</v>
      </c>
      <c r="AZ46" s="1006">
        <v>49096</v>
      </c>
      <c r="BA46" s="1006">
        <v>48830</v>
      </c>
      <c r="BB46" s="1006">
        <v>48872.326999999997</v>
      </c>
      <c r="BC46" s="1033">
        <v>48084.303999999996</v>
      </c>
      <c r="BD46" s="1032">
        <v>48045.762000000002</v>
      </c>
      <c r="BE46" s="1032">
        <v>47962</v>
      </c>
      <c r="BF46" s="1032">
        <v>47950.567999999999</v>
      </c>
      <c r="BG46" s="1034"/>
      <c r="BH46" s="1002">
        <v>140241</v>
      </c>
      <c r="BI46" s="1006">
        <v>124294</v>
      </c>
      <c r="BJ46" s="974">
        <v>15947</v>
      </c>
      <c r="BK46" s="1035">
        <v>0.12830064202616379</v>
      </c>
      <c r="BL46" s="1036"/>
      <c r="BM46" s="1000">
        <v>140241</v>
      </c>
      <c r="BN46" s="1033">
        <v>124294</v>
      </c>
      <c r="BO46" s="1033">
        <v>124479</v>
      </c>
      <c r="BP46" s="1033">
        <v>109072</v>
      </c>
      <c r="BQ46" s="1033">
        <v>104704.48299999999</v>
      </c>
      <c r="BR46" s="1033">
        <v>107937.492</v>
      </c>
      <c r="BS46" s="1033">
        <v>109879.724</v>
      </c>
      <c r="BT46" s="1033">
        <v>106883.242</v>
      </c>
      <c r="BU46" s="1033">
        <v>85655</v>
      </c>
      <c r="BV46" s="1033">
        <v>57767</v>
      </c>
      <c r="BW46" s="1033">
        <v>57251</v>
      </c>
      <c r="BX46" s="1033">
        <v>49556</v>
      </c>
      <c r="BY46" s="1033">
        <v>48084.303999999996</v>
      </c>
      <c r="BZ46" s="1033">
        <v>48017.400999999998</v>
      </c>
      <c r="CA46" s="1033">
        <v>46129.267999999996</v>
      </c>
      <c r="CB46" s="1033">
        <v>38089</v>
      </c>
      <c r="CC46" s="2396"/>
    </row>
    <row r="47" spans="1:84" s="924" customFormat="1" ht="13.5" customHeight="1" x14ac:dyDescent="0.2">
      <c r="A47" s="948"/>
      <c r="B47" s="946" t="s">
        <v>22</v>
      </c>
      <c r="C47" s="951">
        <v>5722</v>
      </c>
      <c r="D47" s="952">
        <v>6.0638173860517362E-2</v>
      </c>
      <c r="E47" s="920"/>
      <c r="F47" s="2003">
        <v>100085</v>
      </c>
      <c r="G47" s="914">
        <v>96696</v>
      </c>
      <c r="H47" s="1006">
        <v>97163</v>
      </c>
      <c r="I47" s="1006">
        <v>96583</v>
      </c>
      <c r="J47" s="1032">
        <v>94363</v>
      </c>
      <c r="K47" s="1006">
        <v>92730</v>
      </c>
      <c r="L47" s="1006">
        <v>92030</v>
      </c>
      <c r="M47" s="1006">
        <v>92529</v>
      </c>
      <c r="N47" s="1006">
        <v>93069</v>
      </c>
      <c r="O47" s="957">
        <v>91985</v>
      </c>
      <c r="P47" s="1006">
        <v>91229</v>
      </c>
      <c r="Q47" s="1006">
        <v>92249</v>
      </c>
      <c r="R47" s="1032">
        <v>89786</v>
      </c>
      <c r="S47" s="957">
        <v>88948</v>
      </c>
      <c r="T47" s="1006">
        <v>89336</v>
      </c>
      <c r="U47" s="1006">
        <v>91465</v>
      </c>
      <c r="V47" s="1032">
        <v>92297.305999999997</v>
      </c>
      <c r="W47" s="1006">
        <v>91252</v>
      </c>
      <c r="X47" s="1006">
        <v>91404.244999999995</v>
      </c>
      <c r="Y47" s="1006">
        <v>91070.282999999996</v>
      </c>
      <c r="Z47" s="1032">
        <v>92763.055999999997</v>
      </c>
      <c r="AA47" s="1006">
        <v>92929.73</v>
      </c>
      <c r="AB47" s="1006">
        <v>93369.398000000001</v>
      </c>
      <c r="AC47" s="1006">
        <v>94485.744999999995</v>
      </c>
      <c r="AD47" s="1032">
        <v>94524.19</v>
      </c>
      <c r="AE47" s="1006">
        <v>92662.737999999998</v>
      </c>
      <c r="AF47" s="1006">
        <v>92268.072</v>
      </c>
      <c r="AG47" s="1006">
        <v>93715.828999999998</v>
      </c>
      <c r="AH47" s="1032">
        <v>94145.084000000003</v>
      </c>
      <c r="AI47" s="1006">
        <v>77829.903999999995</v>
      </c>
      <c r="AJ47" s="1006">
        <v>75220.877999999997</v>
      </c>
      <c r="AK47" s="1006">
        <v>76073.22</v>
      </c>
      <c r="AL47" s="1032">
        <v>75086.957999999999</v>
      </c>
      <c r="AM47" s="1006">
        <v>75194.373999999996</v>
      </c>
      <c r="AN47" s="1006">
        <v>74947</v>
      </c>
      <c r="AO47" s="1006">
        <v>74235</v>
      </c>
      <c r="AP47" s="1032">
        <v>67930.712</v>
      </c>
      <c r="AQ47" s="1006">
        <v>48697</v>
      </c>
      <c r="AR47" s="1006">
        <v>48147</v>
      </c>
      <c r="AS47" s="1006">
        <v>48536</v>
      </c>
      <c r="AT47" s="1032">
        <v>48165</v>
      </c>
      <c r="AU47" s="1006">
        <v>49352</v>
      </c>
      <c r="AV47" s="1006">
        <v>49073</v>
      </c>
      <c r="AW47" s="1006">
        <v>49021</v>
      </c>
      <c r="AX47" s="1032">
        <v>47519</v>
      </c>
      <c r="AY47" s="1006">
        <v>44165</v>
      </c>
      <c r="AZ47" s="1006">
        <v>44442</v>
      </c>
      <c r="BA47" s="1006">
        <v>44972</v>
      </c>
      <c r="BB47" s="1006">
        <v>45170.531999999999</v>
      </c>
      <c r="BC47" s="1033">
        <v>45970.574000000001</v>
      </c>
      <c r="BD47" s="1032">
        <v>46273.767999999996</v>
      </c>
      <c r="BE47" s="1032">
        <v>46152.802000000003</v>
      </c>
      <c r="BF47" s="1032">
        <v>45906.368000000002</v>
      </c>
      <c r="BG47" s="1034"/>
      <c r="BH47" s="1002">
        <v>96259</v>
      </c>
      <c r="BI47" s="1006">
        <v>92587</v>
      </c>
      <c r="BJ47" s="974">
        <v>3672</v>
      </c>
      <c r="BK47" s="1035">
        <v>3.9659995463726012E-2</v>
      </c>
      <c r="BL47" s="1036"/>
      <c r="BM47" s="1000">
        <v>96260</v>
      </c>
      <c r="BN47" s="1033">
        <v>92587</v>
      </c>
      <c r="BO47" s="1033">
        <v>91657</v>
      </c>
      <c r="BP47" s="1033">
        <v>90553</v>
      </c>
      <c r="BQ47" s="1033">
        <v>91693</v>
      </c>
      <c r="BR47" s="1033">
        <v>94124.672000000006</v>
      </c>
      <c r="BS47" s="1033">
        <v>92217.725999999995</v>
      </c>
      <c r="BT47" s="1033">
        <v>76715.248000000007</v>
      </c>
      <c r="BU47" s="1033">
        <v>72989.654999999999</v>
      </c>
      <c r="BV47" s="1033">
        <v>48698</v>
      </c>
      <c r="BW47" s="1033">
        <v>48929</v>
      </c>
      <c r="BX47" s="1033">
        <v>44778</v>
      </c>
      <c r="BY47" s="1033">
        <v>45969.345999999998</v>
      </c>
      <c r="BZ47" s="1033">
        <v>44606.133999999998</v>
      </c>
      <c r="CA47" s="1033">
        <v>41634.92</v>
      </c>
      <c r="CB47" s="1033">
        <v>28298</v>
      </c>
      <c r="CC47" s="2396"/>
      <c r="CF47" s="925"/>
    </row>
    <row r="48" spans="1:84" s="924" customFormat="1" ht="13.5" customHeight="1" x14ac:dyDescent="0.2">
      <c r="A48" s="948"/>
      <c r="B48" s="946" t="s">
        <v>249</v>
      </c>
      <c r="C48" s="951">
        <v>12369</v>
      </c>
      <c r="D48" s="952">
        <v>0.10523136607651798</v>
      </c>
      <c r="E48" s="920"/>
      <c r="F48" s="926">
        <v>129910</v>
      </c>
      <c r="G48" s="916">
        <v>118237</v>
      </c>
      <c r="H48" s="1009">
        <v>129169</v>
      </c>
      <c r="I48" s="1009">
        <v>115861</v>
      </c>
      <c r="J48" s="1037">
        <v>117541</v>
      </c>
      <c r="K48" s="1009">
        <v>112187</v>
      </c>
      <c r="L48" s="1009">
        <v>113613</v>
      </c>
      <c r="M48" s="1009">
        <v>104741</v>
      </c>
      <c r="N48" s="1009" t="s">
        <v>181</v>
      </c>
      <c r="O48" s="1740">
        <v>102296</v>
      </c>
      <c r="P48" s="1009">
        <v>98647</v>
      </c>
      <c r="Q48" s="1009" t="s">
        <v>181</v>
      </c>
      <c r="R48" s="1032">
        <v>92849</v>
      </c>
      <c r="S48" s="1740" t="s">
        <v>181</v>
      </c>
      <c r="T48" s="1009" t="s">
        <v>181</v>
      </c>
      <c r="U48" s="1009" t="s">
        <v>181</v>
      </c>
      <c r="V48" s="1032">
        <v>96766.486999999994</v>
      </c>
      <c r="W48" s="1009" t="s">
        <v>181</v>
      </c>
      <c r="X48" s="1009" t="s">
        <v>181</v>
      </c>
      <c r="Y48" s="1009">
        <v>101058.61599999999</v>
      </c>
      <c r="Z48" s="1032">
        <v>102202.969</v>
      </c>
      <c r="AA48" s="1006">
        <v>102217.59299999999</v>
      </c>
      <c r="AB48" s="1006">
        <v>102667.38499999999</v>
      </c>
      <c r="AC48" s="1009" t="s">
        <v>181</v>
      </c>
      <c r="AD48" s="1032">
        <v>102769.92200000001</v>
      </c>
      <c r="AE48" s="1006">
        <v>103045.02099999999</v>
      </c>
      <c r="AF48" s="1006">
        <v>102454.353</v>
      </c>
      <c r="AG48" s="1009" t="s">
        <v>181</v>
      </c>
      <c r="AH48" s="1037" t="s">
        <v>181</v>
      </c>
      <c r="AI48" s="1009" t="s">
        <v>181</v>
      </c>
      <c r="AJ48" s="1006">
        <v>83821.7</v>
      </c>
      <c r="AK48" s="1006">
        <v>83922</v>
      </c>
      <c r="AL48" s="1032">
        <v>84283</v>
      </c>
      <c r="AM48" s="1006">
        <v>84571</v>
      </c>
      <c r="AN48" s="1006">
        <v>83643</v>
      </c>
      <c r="AO48" s="1006">
        <v>82976</v>
      </c>
      <c r="AP48" s="1032">
        <v>76217.240000000005</v>
      </c>
      <c r="AQ48" s="1006">
        <v>56052</v>
      </c>
      <c r="AR48" s="1006">
        <v>56274</v>
      </c>
      <c r="AS48" s="1006">
        <v>55590</v>
      </c>
      <c r="AT48" s="1032">
        <v>55331</v>
      </c>
      <c r="AU48" s="1006">
        <v>54748</v>
      </c>
      <c r="AV48" s="1006">
        <v>55219</v>
      </c>
      <c r="AW48" s="1006">
        <v>55139</v>
      </c>
      <c r="AX48" s="1032">
        <v>52720</v>
      </c>
      <c r="AY48" s="1006">
        <v>48490</v>
      </c>
      <c r="AZ48" s="1006">
        <v>48324</v>
      </c>
      <c r="BA48" s="1006">
        <v>48270</v>
      </c>
      <c r="BB48" s="1006">
        <v>48859.144999999997</v>
      </c>
      <c r="BC48" s="1033">
        <v>48081.758999999998</v>
      </c>
      <c r="BD48" s="1032">
        <v>48045.762000000002</v>
      </c>
      <c r="BE48" s="1032">
        <v>47961.593999999997</v>
      </c>
      <c r="BF48" s="1032">
        <v>47998.175000000003</v>
      </c>
      <c r="BG48" s="1034"/>
      <c r="BH48" s="1002">
        <v>130944</v>
      </c>
      <c r="BI48" s="1009">
        <v>110862</v>
      </c>
      <c r="BJ48" s="974">
        <v>20082</v>
      </c>
      <c r="BK48" s="1035">
        <v>0.18114412512853817</v>
      </c>
      <c r="BL48" s="1036"/>
      <c r="BM48" s="1000">
        <v>130944</v>
      </c>
      <c r="BN48" s="1038">
        <v>110862</v>
      </c>
      <c r="BO48" s="1038">
        <v>101149</v>
      </c>
      <c r="BP48" s="1038" t="s">
        <v>181</v>
      </c>
      <c r="BQ48" s="1038" t="s">
        <v>181</v>
      </c>
      <c r="BR48" s="1033">
        <v>101992.679</v>
      </c>
      <c r="BS48" s="1038" t="s">
        <v>181</v>
      </c>
      <c r="BT48" s="1038" t="s">
        <v>181</v>
      </c>
      <c r="BU48" s="1033">
        <v>81716.618000000002</v>
      </c>
      <c r="BV48" s="1033">
        <v>55662</v>
      </c>
      <c r="BW48" s="1033">
        <v>54189</v>
      </c>
      <c r="BX48" s="1033">
        <v>48727</v>
      </c>
      <c r="BY48" s="1033">
        <v>48080.531000000003</v>
      </c>
      <c r="BZ48" s="1033">
        <v>46699.303999999996</v>
      </c>
      <c r="CA48" s="1033">
        <v>44188.296999999999</v>
      </c>
      <c r="CB48" s="1033">
        <v>37096</v>
      </c>
      <c r="CC48" s="2396"/>
      <c r="CF48" s="925"/>
    </row>
    <row r="49" spans="1:81" ht="9.75" customHeight="1" x14ac:dyDescent="0.2">
      <c r="A49" s="948"/>
      <c r="B49" s="946"/>
      <c r="C49" s="951"/>
      <c r="D49" s="952"/>
      <c r="E49" s="909"/>
      <c r="F49" s="909"/>
      <c r="G49" s="912"/>
      <c r="H49" s="1004"/>
      <c r="I49" s="971"/>
      <c r="J49" s="1012"/>
      <c r="K49" s="1004"/>
      <c r="L49" s="1004"/>
      <c r="M49" s="971"/>
      <c r="N49" s="971"/>
      <c r="O49" s="1128"/>
      <c r="P49" s="1004"/>
      <c r="Q49" s="971"/>
      <c r="R49" s="1012"/>
      <c r="S49" s="1128"/>
      <c r="T49" s="1004"/>
      <c r="U49" s="971"/>
      <c r="V49" s="1012"/>
      <c r="W49" s="1004"/>
      <c r="X49" s="1004"/>
      <c r="Y49" s="971"/>
      <c r="Z49" s="1012"/>
      <c r="AA49" s="1004"/>
      <c r="AB49" s="1004"/>
      <c r="AC49" s="971"/>
      <c r="AD49" s="1012"/>
      <c r="AE49" s="1004"/>
      <c r="AF49" s="1004"/>
      <c r="AG49" s="971"/>
      <c r="AH49" s="1012"/>
      <c r="AI49" s="1004"/>
      <c r="AJ49" s="1004"/>
      <c r="AK49" s="971"/>
      <c r="AL49" s="1012"/>
      <c r="AM49" s="1004"/>
      <c r="AN49" s="1004"/>
      <c r="AO49" s="971"/>
      <c r="AP49" s="1012"/>
      <c r="AQ49" s="1004"/>
      <c r="AR49" s="1004"/>
      <c r="AS49" s="971"/>
      <c r="AT49" s="1012"/>
      <c r="AU49" s="1004"/>
      <c r="AV49" s="1004"/>
      <c r="AW49" s="971"/>
      <c r="AX49" s="1012"/>
      <c r="AY49" s="971"/>
      <c r="AZ49" s="971"/>
      <c r="BA49" s="971"/>
      <c r="BB49" s="971"/>
      <c r="BC49" s="1026"/>
      <c r="BD49" s="1029"/>
      <c r="BE49" s="1029"/>
      <c r="BF49" s="1029"/>
      <c r="BG49" s="1001"/>
      <c r="BH49" s="1006"/>
      <c r="BI49" s="946"/>
      <c r="BJ49" s="974"/>
      <c r="BK49" s="953"/>
      <c r="BL49" s="1003"/>
      <c r="BM49" s="1000"/>
      <c r="BN49" s="1000"/>
      <c r="BO49" s="1000"/>
      <c r="BP49" s="1000"/>
      <c r="BQ49" s="1000"/>
      <c r="BR49" s="1000"/>
      <c r="BS49" s="1000"/>
      <c r="BT49" s="1000"/>
      <c r="BU49" s="1000"/>
      <c r="BV49" s="1000"/>
      <c r="BW49" s="1000"/>
      <c r="BX49" s="1000"/>
      <c r="BY49" s="1000"/>
      <c r="BZ49" s="1000"/>
      <c r="CA49" s="1000"/>
      <c r="CB49" s="1000"/>
      <c r="CC49" s="949"/>
    </row>
    <row r="50" spans="1:81" ht="12" customHeight="1" x14ac:dyDescent="0.2">
      <c r="A50" s="947" t="s">
        <v>239</v>
      </c>
      <c r="B50" s="946"/>
      <c r="C50" s="951"/>
      <c r="D50" s="953"/>
      <c r="E50" s="909"/>
      <c r="F50" s="909"/>
      <c r="G50" s="912"/>
      <c r="H50" s="1004"/>
      <c r="I50" s="971"/>
      <c r="J50" s="1012"/>
      <c r="K50" s="1004"/>
      <c r="L50" s="1004"/>
      <c r="M50" s="971"/>
      <c r="N50" s="971"/>
      <c r="O50" s="1128"/>
      <c r="P50" s="1004"/>
      <c r="Q50" s="971"/>
      <c r="R50" s="1012"/>
      <c r="S50" s="1128"/>
      <c r="T50" s="1004"/>
      <c r="U50" s="971"/>
      <c r="V50" s="1012"/>
      <c r="W50" s="1004"/>
      <c r="X50" s="1004"/>
      <c r="Y50" s="971"/>
      <c r="Z50" s="1012"/>
      <c r="AA50" s="1004"/>
      <c r="AB50" s="1004"/>
      <c r="AC50" s="971"/>
      <c r="AD50" s="1012"/>
      <c r="AE50" s="1004"/>
      <c r="AF50" s="1004"/>
      <c r="AG50" s="971"/>
      <c r="AH50" s="1012"/>
      <c r="AI50" s="1004"/>
      <c r="AJ50" s="1004"/>
      <c r="AK50" s="971"/>
      <c r="AL50" s="1012"/>
      <c r="AM50" s="1004"/>
      <c r="AN50" s="1004"/>
      <c r="AO50" s="971"/>
      <c r="AP50" s="1012"/>
      <c r="AQ50" s="1004"/>
      <c r="AR50" s="1004"/>
      <c r="AS50" s="971"/>
      <c r="AT50" s="1012"/>
      <c r="AU50" s="1004"/>
      <c r="AV50" s="1004"/>
      <c r="AW50" s="971"/>
      <c r="AX50" s="1012"/>
      <c r="AY50" s="1041"/>
      <c r="AZ50" s="1041"/>
      <c r="BA50" s="1041"/>
      <c r="BB50" s="1041"/>
      <c r="BC50" s="1042"/>
      <c r="BD50" s="1043"/>
      <c r="BE50" s="1043"/>
      <c r="BF50" s="1044"/>
      <c r="BG50" s="1001"/>
      <c r="BH50" s="971"/>
      <c r="BI50" s="971"/>
      <c r="BJ50" s="1041"/>
      <c r="BK50" s="1045"/>
      <c r="BL50" s="1003"/>
      <c r="BM50" s="1000"/>
      <c r="BN50" s="1042"/>
      <c r="BO50" s="1042"/>
      <c r="BP50" s="1042"/>
      <c r="BQ50" s="1042"/>
      <c r="BR50" s="1042"/>
      <c r="BS50" s="1042"/>
      <c r="BT50" s="1042"/>
      <c r="BU50" s="1042"/>
      <c r="BV50" s="1042"/>
      <c r="BW50" s="1042"/>
      <c r="BX50" s="1042"/>
      <c r="BY50" s="1042"/>
      <c r="BZ50" s="1042"/>
      <c r="CA50" s="1042"/>
      <c r="CB50" s="1042"/>
      <c r="CC50" s="949"/>
    </row>
    <row r="51" spans="1:81" ht="12" customHeight="1" x14ac:dyDescent="0.2">
      <c r="A51" s="948"/>
      <c r="B51" s="946" t="s">
        <v>232</v>
      </c>
      <c r="C51" s="951">
        <v>0</v>
      </c>
      <c r="D51" s="952">
        <v>0</v>
      </c>
      <c r="E51" s="909"/>
      <c r="F51" s="2541">
        <v>8540</v>
      </c>
      <c r="G51" s="927">
        <v>8540</v>
      </c>
      <c r="H51" s="1046">
        <v>8540</v>
      </c>
      <c r="I51" s="1046">
        <v>8540</v>
      </c>
      <c r="J51" s="1047">
        <v>8540</v>
      </c>
      <c r="K51" s="1048">
        <v>8540</v>
      </c>
      <c r="L51" s="1046">
        <v>8540</v>
      </c>
      <c r="M51" s="1046">
        <v>8540</v>
      </c>
      <c r="N51" s="1046">
        <v>8540</v>
      </c>
      <c r="O51" s="1976">
        <v>8540</v>
      </c>
      <c r="P51" s="1046">
        <v>8540</v>
      </c>
      <c r="Q51" s="1046">
        <v>8540</v>
      </c>
      <c r="R51" s="1047">
        <v>8540</v>
      </c>
      <c r="S51" s="1976">
        <v>8540</v>
      </c>
      <c r="T51" s="1046">
        <v>8540</v>
      </c>
      <c r="U51" s="1046">
        <v>8540</v>
      </c>
      <c r="V51" s="1047">
        <v>8540</v>
      </c>
      <c r="W51" s="1048">
        <v>8540</v>
      </c>
      <c r="X51" s="1046">
        <v>8540</v>
      </c>
      <c r="Y51" s="1046">
        <v>8540</v>
      </c>
      <c r="Z51" s="1047">
        <v>8540</v>
      </c>
      <c r="AA51" s="1048">
        <v>8540</v>
      </c>
      <c r="AB51" s="1046">
        <v>8540</v>
      </c>
      <c r="AC51" s="1046">
        <v>8540</v>
      </c>
      <c r="AD51" s="1047">
        <v>8540</v>
      </c>
      <c r="AE51" s="1048">
        <v>8540</v>
      </c>
      <c r="AF51" s="1046">
        <v>8540</v>
      </c>
      <c r="AG51" s="1046">
        <v>8540</v>
      </c>
      <c r="AH51" s="1047">
        <v>8540</v>
      </c>
      <c r="AI51" s="1048">
        <v>4540</v>
      </c>
      <c r="AJ51" s="1046">
        <v>4540</v>
      </c>
      <c r="AK51" s="1046">
        <v>4540</v>
      </c>
      <c r="AL51" s="1047">
        <v>4000</v>
      </c>
      <c r="AM51" s="1049" t="s">
        <v>181</v>
      </c>
      <c r="AN51" s="1050" t="s">
        <v>181</v>
      </c>
      <c r="AO51" s="1051" t="s">
        <v>181</v>
      </c>
      <c r="AP51" s="1052" t="s">
        <v>181</v>
      </c>
      <c r="AQ51" s="1050" t="s">
        <v>181</v>
      </c>
      <c r="AR51" s="1050" t="s">
        <v>181</v>
      </c>
      <c r="AS51" s="1051" t="s">
        <v>181</v>
      </c>
      <c r="AT51" s="1052" t="s">
        <v>181</v>
      </c>
      <c r="AU51" s="1050" t="s">
        <v>181</v>
      </c>
      <c r="AV51" s="1050" t="s">
        <v>181</v>
      </c>
      <c r="AW51" s="1051" t="s">
        <v>181</v>
      </c>
      <c r="AX51" s="1052" t="s">
        <v>181</v>
      </c>
      <c r="AY51" s="1053" t="s">
        <v>181</v>
      </c>
      <c r="AZ51" s="1053" t="s">
        <v>181</v>
      </c>
      <c r="BA51" s="1053" t="s">
        <v>181</v>
      </c>
      <c r="BB51" s="1053" t="s">
        <v>181</v>
      </c>
      <c r="BC51" s="1054" t="s">
        <v>181</v>
      </c>
      <c r="BD51" s="1055" t="s">
        <v>181</v>
      </c>
      <c r="BE51" s="1055" t="s">
        <v>181</v>
      </c>
      <c r="BF51" s="1056" t="s">
        <v>181</v>
      </c>
      <c r="BG51" s="1057"/>
      <c r="BH51" s="1002">
        <v>8540</v>
      </c>
      <c r="BI51" s="1002">
        <v>8540</v>
      </c>
      <c r="BJ51" s="1010">
        <v>0</v>
      </c>
      <c r="BK51" s="2290">
        <v>0</v>
      </c>
      <c r="BL51" s="1050"/>
      <c r="BM51" s="1000">
        <v>8540</v>
      </c>
      <c r="BN51" s="1058">
        <v>8540</v>
      </c>
      <c r="BO51" s="1058">
        <v>8540</v>
      </c>
      <c r="BP51" s="1058">
        <v>8540</v>
      </c>
      <c r="BQ51" s="1058">
        <v>8540</v>
      </c>
      <c r="BR51" s="1058">
        <v>8540</v>
      </c>
      <c r="BS51" s="1058">
        <v>8540</v>
      </c>
      <c r="BT51" s="1058">
        <v>4540</v>
      </c>
      <c r="BU51" s="1054" t="s">
        <v>181</v>
      </c>
      <c r="BV51" s="1054" t="s">
        <v>181</v>
      </c>
      <c r="BW51" s="1054" t="s">
        <v>181</v>
      </c>
      <c r="BX51" s="1054" t="s">
        <v>181</v>
      </c>
      <c r="BY51" s="1054" t="s">
        <v>181</v>
      </c>
      <c r="BZ51" s="1042"/>
      <c r="CA51" s="1042"/>
      <c r="CB51" s="1042"/>
      <c r="CC51" s="949"/>
    </row>
    <row r="52" spans="1:81" ht="9.75" customHeight="1" x14ac:dyDescent="0.2">
      <c r="A52" s="948"/>
      <c r="B52" s="946"/>
      <c r="C52" s="951"/>
      <c r="D52" s="953"/>
      <c r="E52" s="909"/>
      <c r="F52" s="909"/>
      <c r="G52" s="912"/>
      <c r="H52" s="1004"/>
      <c r="I52" s="971"/>
      <c r="J52" s="1012"/>
      <c r="K52" s="1004"/>
      <c r="L52" s="1004"/>
      <c r="M52" s="971"/>
      <c r="N52" s="971"/>
      <c r="O52" s="1128"/>
      <c r="P52" s="1004"/>
      <c r="Q52" s="971"/>
      <c r="R52" s="1012"/>
      <c r="S52" s="1128"/>
      <c r="T52" s="1004"/>
      <c r="U52" s="971"/>
      <c r="V52" s="1012"/>
      <c r="W52" s="1004"/>
      <c r="X52" s="1004"/>
      <c r="Y52" s="971"/>
      <c r="Z52" s="1012"/>
      <c r="AA52" s="1004"/>
      <c r="AB52" s="1004"/>
      <c r="AC52" s="971"/>
      <c r="AD52" s="1012"/>
      <c r="AE52" s="1004"/>
      <c r="AF52" s="1004"/>
      <c r="AG52" s="971"/>
      <c r="AH52" s="1012"/>
      <c r="AI52" s="1004"/>
      <c r="AJ52" s="1004"/>
      <c r="AK52" s="971"/>
      <c r="AL52" s="1012"/>
      <c r="AM52" s="1004"/>
      <c r="AN52" s="1004"/>
      <c r="AO52" s="971"/>
      <c r="AP52" s="1012"/>
      <c r="AQ52" s="1004"/>
      <c r="AR52" s="1004"/>
      <c r="AS52" s="971"/>
      <c r="AT52" s="1012"/>
      <c r="AU52" s="1004"/>
      <c r="AV52" s="1004"/>
      <c r="AW52" s="971"/>
      <c r="AX52" s="1012"/>
      <c r="AY52" s="1041"/>
      <c r="AZ52" s="1041"/>
      <c r="BA52" s="1041"/>
      <c r="BB52" s="1041"/>
      <c r="BC52" s="1042"/>
      <c r="BD52" s="1043"/>
      <c r="BE52" s="1043"/>
      <c r="BF52" s="1044"/>
      <c r="BG52" s="1001"/>
      <c r="BH52" s="971"/>
      <c r="BI52" s="971"/>
      <c r="BJ52" s="1041"/>
      <c r="BK52" s="1045"/>
      <c r="BL52" s="1003"/>
      <c r="BM52" s="1000"/>
      <c r="BN52" s="1042"/>
      <c r="BO52" s="1042"/>
      <c r="BP52" s="1042"/>
      <c r="BQ52" s="1042"/>
      <c r="BR52" s="1042"/>
      <c r="BS52" s="1042"/>
      <c r="BT52" s="1042"/>
      <c r="BU52" s="1042"/>
      <c r="BV52" s="1042"/>
      <c r="BW52" s="1042"/>
      <c r="BX52" s="1042"/>
      <c r="BY52" s="1042"/>
      <c r="BZ52" s="1042"/>
      <c r="CA52" s="1042"/>
      <c r="CB52" s="1042"/>
      <c r="CC52" s="949"/>
    </row>
    <row r="53" spans="1:81" ht="12.75" customHeight="1" x14ac:dyDescent="0.2">
      <c r="A53" s="947" t="s">
        <v>591</v>
      </c>
      <c r="B53" s="946"/>
      <c r="C53" s="951"/>
      <c r="D53" s="953"/>
      <c r="E53" s="909"/>
      <c r="F53" s="2945"/>
      <c r="G53" s="1926"/>
      <c r="H53" s="952"/>
      <c r="I53" s="946"/>
      <c r="J53" s="1059"/>
      <c r="K53" s="1927"/>
      <c r="L53" s="952"/>
      <c r="M53" s="946"/>
      <c r="N53" s="946"/>
      <c r="O53" s="1977"/>
      <c r="P53" s="952"/>
      <c r="Q53" s="946"/>
      <c r="R53" s="1059"/>
      <c r="S53" s="1977"/>
      <c r="T53" s="952"/>
      <c r="U53" s="946"/>
      <c r="V53" s="1059"/>
      <c r="W53" s="1004"/>
      <c r="X53" s="1004"/>
      <c r="Y53" s="946"/>
      <c r="Z53" s="1059"/>
      <c r="AA53" s="1004"/>
      <c r="AB53" s="1004"/>
      <c r="AC53" s="946"/>
      <c r="AD53" s="1059"/>
      <c r="AE53" s="952"/>
      <c r="AF53" s="952"/>
      <c r="AG53" s="946"/>
      <c r="AH53" s="1059"/>
      <c r="AI53" s="952"/>
      <c r="AJ53" s="952"/>
      <c r="AK53" s="946"/>
      <c r="AL53" s="1059"/>
      <c r="AM53" s="952"/>
      <c r="AN53" s="952"/>
      <c r="AO53" s="946"/>
      <c r="AP53" s="1059"/>
      <c r="AQ53" s="952"/>
      <c r="AR53" s="952"/>
      <c r="AS53" s="946"/>
      <c r="AT53" s="1059"/>
      <c r="AU53" s="952"/>
      <c r="AV53" s="952"/>
      <c r="AW53" s="946"/>
      <c r="AX53" s="1059"/>
      <c r="AY53" s="1060"/>
      <c r="AZ53" s="1061"/>
      <c r="BA53" s="1061"/>
      <c r="BB53" s="1061"/>
      <c r="BC53" s="1062"/>
      <c r="BD53" s="1063"/>
      <c r="BE53" s="1063"/>
      <c r="BF53" s="1064"/>
      <c r="BG53" s="1034"/>
      <c r="BH53" s="946"/>
      <c r="BI53" s="971"/>
      <c r="BJ53" s="1041"/>
      <c r="BK53" s="1045"/>
      <c r="BL53" s="1003"/>
      <c r="BM53" s="1000"/>
      <c r="BN53" s="1042"/>
      <c r="BO53" s="1042"/>
      <c r="BP53" s="1042"/>
      <c r="BQ53" s="1042"/>
      <c r="BR53" s="1042"/>
      <c r="BS53" s="1042"/>
      <c r="BT53" s="1042"/>
      <c r="BU53" s="1042"/>
      <c r="BV53" s="1042"/>
      <c r="BW53" s="1042"/>
      <c r="BX53" s="1042"/>
      <c r="BY53" s="1042"/>
      <c r="BZ53" s="1042" t="s">
        <v>43</v>
      </c>
      <c r="CA53" s="1042"/>
      <c r="CB53" s="1042"/>
      <c r="CC53" s="949"/>
    </row>
    <row r="54" spans="1:81" ht="13.5" customHeight="1" x14ac:dyDescent="0.2">
      <c r="A54" s="958"/>
      <c r="B54" s="946" t="s">
        <v>233</v>
      </c>
      <c r="C54" s="955">
        <v>0.04</v>
      </c>
      <c r="D54" s="952" t="s">
        <v>41</v>
      </c>
      <c r="E54" s="909"/>
      <c r="F54" s="2946">
        <v>0.05</v>
      </c>
      <c r="G54" s="1925">
        <v>0.17</v>
      </c>
      <c r="H54" s="2820">
        <v>0.01</v>
      </c>
      <c r="I54" s="2820">
        <v>0.01</v>
      </c>
      <c r="J54" s="1066">
        <v>0.01</v>
      </c>
      <c r="K54" s="1079">
        <v>0.12</v>
      </c>
      <c r="L54" s="2820">
        <v>0.01</v>
      </c>
      <c r="M54" s="2820">
        <v>0.01</v>
      </c>
      <c r="N54" s="1065">
        <v>0.01</v>
      </c>
      <c r="O54" s="2821">
        <v>0.1</v>
      </c>
      <c r="P54" s="2820">
        <v>0</v>
      </c>
      <c r="Q54" s="2820">
        <v>0</v>
      </c>
      <c r="R54" s="1066">
        <v>0</v>
      </c>
      <c r="S54" s="2822">
        <v>0</v>
      </c>
      <c r="T54" s="1069">
        <v>0</v>
      </c>
      <c r="U54" s="1065">
        <v>0.05</v>
      </c>
      <c r="V54" s="1066">
        <v>0.05</v>
      </c>
      <c r="W54" s="1067">
        <v>0.05</v>
      </c>
      <c r="X54" s="1068">
        <v>0.05</v>
      </c>
      <c r="Y54" s="1065">
        <v>0.1</v>
      </c>
      <c r="Z54" s="1066">
        <v>0.05</v>
      </c>
      <c r="AA54" s="1067">
        <v>0.05</v>
      </c>
      <c r="AB54" s="1068">
        <v>0.05</v>
      </c>
      <c r="AC54" s="1065">
        <v>0.05</v>
      </c>
      <c r="AD54" s="1066">
        <v>0.05</v>
      </c>
      <c r="AE54" s="1067">
        <v>0.05</v>
      </c>
      <c r="AF54" s="1069">
        <v>0.05</v>
      </c>
      <c r="AG54" s="1065">
        <v>0.05</v>
      </c>
      <c r="AH54" s="1066">
        <v>0.05</v>
      </c>
      <c r="AI54" s="1067">
        <v>0.1</v>
      </c>
      <c r="AJ54" s="1069">
        <v>0.1</v>
      </c>
      <c r="AK54" s="1065">
        <v>0.1</v>
      </c>
      <c r="AL54" s="1066">
        <v>0.1</v>
      </c>
      <c r="AM54" s="1067">
        <v>0.1</v>
      </c>
      <c r="AN54" s="1070">
        <v>7.4999999999999997E-2</v>
      </c>
      <c r="AO54" s="1065">
        <v>0.05</v>
      </c>
      <c r="AP54" s="1066">
        <v>0.05</v>
      </c>
      <c r="AQ54" s="1067">
        <v>0.05</v>
      </c>
      <c r="AR54" s="1067">
        <v>0.05</v>
      </c>
      <c r="AS54" s="1067">
        <v>0.05</v>
      </c>
      <c r="AT54" s="1035">
        <v>0</v>
      </c>
      <c r="AU54" s="1067">
        <v>0</v>
      </c>
      <c r="AV54" s="1067">
        <v>0</v>
      </c>
      <c r="AW54" s="1067">
        <v>0</v>
      </c>
      <c r="AX54" s="1071">
        <v>0.125</v>
      </c>
      <c r="AY54" s="1072">
        <v>0.125</v>
      </c>
      <c r="AZ54" s="1072">
        <v>0.125</v>
      </c>
      <c r="BA54" s="1073">
        <v>0.125</v>
      </c>
      <c r="BB54" s="1073">
        <v>0.125</v>
      </c>
      <c r="BC54" s="1074">
        <v>0.1</v>
      </c>
      <c r="BD54" s="1075">
        <v>0.1</v>
      </c>
      <c r="BE54" s="1075">
        <v>0.08</v>
      </c>
      <c r="BF54" s="1076">
        <v>0.08</v>
      </c>
      <c r="BG54" s="1034"/>
      <c r="BH54" s="1077">
        <v>0.20000000000000004</v>
      </c>
      <c r="BI54" s="1065">
        <v>0.15000000000000002</v>
      </c>
      <c r="BJ54" s="1019">
        <v>5.0000000000000017E-2</v>
      </c>
      <c r="BK54" s="953">
        <v>0.33333333333333337</v>
      </c>
      <c r="BL54" s="1003"/>
      <c r="BM54" s="1022">
        <v>0.20000000000000004</v>
      </c>
      <c r="BN54" s="1263">
        <v>0.15000000000000002</v>
      </c>
      <c r="BO54" s="1263">
        <v>0.1</v>
      </c>
      <c r="BP54" s="1078">
        <v>0.1</v>
      </c>
      <c r="BQ54" s="1078">
        <v>0.25</v>
      </c>
      <c r="BR54" s="1078">
        <v>0.2</v>
      </c>
      <c r="BS54" s="1078">
        <v>0.2</v>
      </c>
      <c r="BT54" s="1078">
        <v>0.4</v>
      </c>
      <c r="BU54" s="2923">
        <v>0.27500000000000002</v>
      </c>
      <c r="BV54" s="2924">
        <v>0.15</v>
      </c>
      <c r="BW54" s="2925">
        <v>0.125</v>
      </c>
      <c r="BX54" s="1017">
        <v>0.5</v>
      </c>
      <c r="BY54" s="1017">
        <v>0.36</v>
      </c>
      <c r="BZ54" s="1017">
        <v>0.28000000000000003</v>
      </c>
      <c r="CA54" s="1017">
        <v>0.26</v>
      </c>
      <c r="CB54" s="1017">
        <v>0</v>
      </c>
      <c r="CC54" s="949"/>
    </row>
    <row r="55" spans="1:81" ht="13.5" customHeight="1" x14ac:dyDescent="0.2">
      <c r="A55" s="958"/>
      <c r="B55" s="959" t="s">
        <v>234</v>
      </c>
      <c r="C55" s="960">
        <v>2.2038567493112948</v>
      </c>
      <c r="D55" s="1049"/>
      <c r="E55" s="909"/>
      <c r="F55" s="2999">
        <v>2.7548209366391185E-2</v>
      </c>
      <c r="G55" s="3052">
        <v>2.9109589041095892E-2</v>
      </c>
      <c r="H55" s="2425">
        <v>6.9324090121317163E-3</v>
      </c>
      <c r="I55" s="2425">
        <v>5.7971014492753624E-3</v>
      </c>
      <c r="J55" s="2569">
        <v>5.5096418732782371E-3</v>
      </c>
      <c r="K55" s="2425">
        <v>1.7316017316017316E-2</v>
      </c>
      <c r="L55" s="2425">
        <v>6.8965517241379318E-3</v>
      </c>
      <c r="M55" s="2425">
        <v>9.324009324009324E-3</v>
      </c>
      <c r="N55" s="2425">
        <v>7.5046904315196998E-3</v>
      </c>
      <c r="O55" s="1977">
        <v>1.964636542239686E-2</v>
      </c>
      <c r="P55" s="2820">
        <v>0</v>
      </c>
      <c r="Q55" s="2820">
        <v>0</v>
      </c>
      <c r="R55" s="1066">
        <v>0</v>
      </c>
      <c r="S55" s="2822">
        <v>0</v>
      </c>
      <c r="T55" s="1069">
        <v>0</v>
      </c>
      <c r="U55" s="1036">
        <v>3.8240917782026769E-2</v>
      </c>
      <c r="V55" s="1035">
        <v>2.570694087403599E-2</v>
      </c>
      <c r="W55" s="1080">
        <v>3.0674846625766874E-2</v>
      </c>
      <c r="X55" s="1081">
        <v>2.5608194622279132E-2</v>
      </c>
      <c r="Y55" s="1036">
        <v>3.5746201966041113E-2</v>
      </c>
      <c r="Z55" s="1035">
        <v>1.627339300244101E-2</v>
      </c>
      <c r="AA55" s="1080">
        <v>2.4390243902439029E-2</v>
      </c>
      <c r="AB55" s="1081">
        <v>2.8776978417266189E-2</v>
      </c>
      <c r="AC55" s="1036">
        <v>3.0165912518853699E-2</v>
      </c>
      <c r="AD55" s="1035">
        <v>3.5026269702276708E-2</v>
      </c>
      <c r="AE55" s="1080">
        <v>2.932551319648094E-2</v>
      </c>
      <c r="AF55" s="1082">
        <v>2.9850746268656716E-2</v>
      </c>
      <c r="AG55" s="1036">
        <v>3.5211267605633804E-2</v>
      </c>
      <c r="AH55" s="1035">
        <v>3.6363636363636369E-2</v>
      </c>
      <c r="AI55" s="1080">
        <v>4.8192771084337345E-2</v>
      </c>
      <c r="AJ55" s="1082">
        <v>5.1282051282051287E-2</v>
      </c>
      <c r="AK55" s="1036">
        <v>4.2000000000000003E-2</v>
      </c>
      <c r="AL55" s="1035">
        <v>3.236245954692557E-2</v>
      </c>
      <c r="AM55" s="1080">
        <v>2.8571428571428574E-2</v>
      </c>
      <c r="AN55" s="1082">
        <v>2.1186440677966101E-2</v>
      </c>
      <c r="AO55" s="1036">
        <v>1.9286403085824497E-2</v>
      </c>
      <c r="AP55" s="1035">
        <v>2.1299254526091587E-2</v>
      </c>
      <c r="AQ55" s="952">
        <v>1.7999999999999999E-2</v>
      </c>
      <c r="AR55" s="952">
        <v>1.9E-2</v>
      </c>
      <c r="AS55" s="1036">
        <v>0.02</v>
      </c>
      <c r="AT55" s="1035">
        <v>0</v>
      </c>
      <c r="AU55" s="1067">
        <v>0</v>
      </c>
      <c r="AV55" s="1067">
        <v>0</v>
      </c>
      <c r="AW55" s="1067">
        <v>0</v>
      </c>
      <c r="AX55" s="1035">
        <v>6.2899999999999998E-2</v>
      </c>
      <c r="AY55" s="952">
        <v>5.0999999999999997E-2</v>
      </c>
      <c r="AZ55" s="1036">
        <v>3.3000000000000002E-2</v>
      </c>
      <c r="BA55" s="1036">
        <v>2.63E-2</v>
      </c>
      <c r="BB55" s="1083">
        <v>2.4E-2</v>
      </c>
      <c r="BC55" s="1084">
        <v>1.7999999999999999E-2</v>
      </c>
      <c r="BD55" s="1085">
        <v>2.1999999999999999E-2</v>
      </c>
      <c r="BE55" s="1085">
        <v>1.9E-2</v>
      </c>
      <c r="BF55" s="1064">
        <v>1.7999999999999999E-2</v>
      </c>
      <c r="BG55" s="1034"/>
      <c r="BH55" s="1083">
        <v>3.4246575342465758E-2</v>
      </c>
      <c r="BI55" s="959">
        <v>2.1645021645021644E-2</v>
      </c>
      <c r="BJ55" s="2939"/>
      <c r="BK55" s="953"/>
      <c r="BL55" s="1003"/>
      <c r="BM55" s="3000">
        <v>3.4000000000000002E-2</v>
      </c>
      <c r="BN55" s="1088">
        <v>2.1645021645021644E-2</v>
      </c>
      <c r="BO55" s="1088">
        <v>1.964636542239686E-2</v>
      </c>
      <c r="BP55" s="1088">
        <v>2.4937655860349128E-2</v>
      </c>
      <c r="BQ55" s="1088">
        <v>3.834355828220859E-2</v>
      </c>
      <c r="BR55" s="1088">
        <v>2.4390243902439029E-2</v>
      </c>
      <c r="BS55" s="1088">
        <v>2.932551319648094E-2</v>
      </c>
      <c r="BT55" s="1088">
        <v>4.8192771084337345E-2</v>
      </c>
      <c r="BU55" s="1088">
        <v>1.9642857142857146E-2</v>
      </c>
      <c r="BV55" s="1089">
        <v>3.0000000000000001E-3</v>
      </c>
      <c r="BW55" s="1089">
        <v>2.3E-2</v>
      </c>
      <c r="BX55" s="1089">
        <v>5.0999999999999997E-2</v>
      </c>
      <c r="BY55" s="1089">
        <v>1.6E-2</v>
      </c>
      <c r="BZ55" s="1089">
        <v>1.2999999999999999E-2</v>
      </c>
      <c r="CA55" s="1040">
        <v>2.4799999999999999E-2</v>
      </c>
      <c r="CB55" s="1017">
        <v>0</v>
      </c>
      <c r="CC55" s="949"/>
    </row>
    <row r="56" spans="1:81" ht="9.75" customHeight="1" x14ac:dyDescent="0.2">
      <c r="A56" s="941"/>
      <c r="B56" s="941"/>
      <c r="C56" s="962"/>
      <c r="D56" s="963"/>
      <c r="E56" s="910"/>
      <c r="F56" s="2947"/>
      <c r="G56" s="1928"/>
      <c r="H56" s="1096"/>
      <c r="I56" s="1096"/>
      <c r="J56" s="963"/>
      <c r="K56" s="1978"/>
      <c r="L56" s="1096"/>
      <c r="M56" s="1096"/>
      <c r="N56" s="1096"/>
      <c r="O56" s="2823"/>
      <c r="P56" s="1096"/>
      <c r="Q56" s="1096"/>
      <c r="R56" s="963"/>
      <c r="S56" s="1978"/>
      <c r="T56" s="1096"/>
      <c r="U56" s="1096"/>
      <c r="V56" s="963"/>
      <c r="W56" s="1096"/>
      <c r="X56" s="1096"/>
      <c r="Y56" s="1096"/>
      <c r="Z56" s="963"/>
      <c r="AA56" s="1096"/>
      <c r="AB56" s="1096"/>
      <c r="AC56" s="1096"/>
      <c r="AD56" s="963"/>
      <c r="AE56" s="1096"/>
      <c r="AF56" s="1096"/>
      <c r="AG56" s="1096"/>
      <c r="AH56" s="963"/>
      <c r="AI56" s="1096"/>
      <c r="AJ56" s="1096"/>
      <c r="AK56" s="1096"/>
      <c r="AL56" s="963"/>
      <c r="AM56" s="1096"/>
      <c r="AN56" s="1096"/>
      <c r="AO56" s="1096"/>
      <c r="AP56" s="963"/>
      <c r="AQ56" s="1096"/>
      <c r="AR56" s="1096"/>
      <c r="AS56" s="1096"/>
      <c r="AT56" s="963"/>
      <c r="AU56" s="1096"/>
      <c r="AV56" s="1096"/>
      <c r="AW56" s="1096"/>
      <c r="AX56" s="963"/>
      <c r="AY56" s="1096"/>
      <c r="AZ56" s="1096"/>
      <c r="BA56" s="1096"/>
      <c r="BB56" s="963"/>
      <c r="BC56" s="1097"/>
      <c r="BD56" s="963"/>
      <c r="BE56" s="963"/>
      <c r="BF56" s="963"/>
      <c r="BG56" s="1001"/>
      <c r="BH56" s="962"/>
      <c r="BI56" s="1096"/>
      <c r="BJ56" s="1098"/>
      <c r="BK56" s="1099"/>
      <c r="BL56" s="964"/>
      <c r="BM56" s="2881">
        <v>0</v>
      </c>
      <c r="BN56" s="962"/>
      <c r="BO56" s="962"/>
      <c r="BP56" s="962"/>
      <c r="BQ56" s="962"/>
      <c r="BR56" s="962"/>
      <c r="BS56" s="962"/>
      <c r="BT56" s="962"/>
      <c r="BU56" s="962"/>
      <c r="BV56" s="962"/>
      <c r="BW56" s="962"/>
      <c r="BX56" s="1097"/>
      <c r="BY56" s="1097"/>
      <c r="BZ56" s="1097"/>
      <c r="CA56" s="1097"/>
      <c r="CB56" s="1097"/>
      <c r="CC56" s="949"/>
    </row>
    <row r="57" spans="1:81" ht="9.75" customHeight="1" x14ac:dyDescent="0.2">
      <c r="A57" s="941"/>
      <c r="B57" s="941"/>
      <c r="C57" s="964"/>
      <c r="D57" s="964"/>
      <c r="E57" s="913"/>
      <c r="F57" s="913"/>
      <c r="G57" s="913"/>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c r="AM57" s="971"/>
      <c r="AN57" s="971"/>
      <c r="AO57" s="971"/>
      <c r="AP57" s="971"/>
      <c r="AQ57" s="971"/>
      <c r="AR57" s="971"/>
      <c r="AS57" s="971"/>
      <c r="AT57" s="1100"/>
      <c r="AU57" s="971"/>
      <c r="AV57" s="971"/>
      <c r="AW57" s="971"/>
      <c r="AX57" s="971"/>
      <c r="AY57" s="971"/>
      <c r="AZ57" s="971"/>
      <c r="BA57" s="964"/>
      <c r="BB57" s="964"/>
      <c r="BC57" s="964"/>
      <c r="BD57" s="964"/>
      <c r="BE57" s="964"/>
      <c r="BF57" s="964"/>
      <c r="BG57" s="964"/>
      <c r="BH57" s="964"/>
      <c r="BI57" s="964"/>
      <c r="BJ57" s="964"/>
      <c r="BK57" s="964"/>
      <c r="BL57" s="964"/>
      <c r="BM57" s="964"/>
      <c r="BN57" s="964"/>
      <c r="BO57" s="964"/>
      <c r="BP57" s="964"/>
      <c r="BQ57" s="964"/>
      <c r="BR57" s="964"/>
      <c r="BS57" s="964"/>
      <c r="BT57" s="964"/>
      <c r="BU57" s="964"/>
      <c r="BV57" s="964"/>
      <c r="BW57" s="964"/>
      <c r="BX57" s="964"/>
      <c r="BY57" s="964"/>
      <c r="BZ57" s="964"/>
      <c r="CA57" s="964"/>
      <c r="CB57" s="964"/>
    </row>
    <row r="58" spans="1:81" ht="18" customHeight="1" x14ac:dyDescent="0.2">
      <c r="A58" s="965" t="s">
        <v>619</v>
      </c>
      <c r="B58" s="941"/>
      <c r="C58" s="964"/>
      <c r="D58" s="964"/>
      <c r="E58" s="913"/>
      <c r="F58" s="913"/>
      <c r="G58" s="913"/>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c r="AM58" s="971"/>
      <c r="AN58" s="971"/>
      <c r="AO58" s="971"/>
      <c r="AP58" s="971"/>
      <c r="AQ58" s="971"/>
      <c r="AR58" s="971"/>
      <c r="AS58" s="1101"/>
      <c r="AT58" s="971"/>
      <c r="AU58" s="971"/>
      <c r="AV58" s="971"/>
      <c r="AW58" s="971"/>
      <c r="AX58" s="971"/>
      <c r="AY58" s="971"/>
      <c r="AZ58" s="971"/>
      <c r="BA58" s="964"/>
      <c r="BB58" s="964"/>
      <c r="BC58" s="964"/>
      <c r="BD58" s="964"/>
      <c r="BE58" s="964"/>
      <c r="BF58" s="964"/>
      <c r="BG58" s="964"/>
      <c r="BH58" s="964"/>
      <c r="BI58" s="964"/>
      <c r="BJ58" s="964"/>
      <c r="BK58" s="964"/>
      <c r="BL58" s="964"/>
      <c r="BM58" s="964"/>
      <c r="BN58" s="964"/>
      <c r="BO58" s="964"/>
      <c r="BP58" s="964"/>
      <c r="BQ58" s="964"/>
      <c r="BR58" s="964"/>
      <c r="BS58" s="964"/>
      <c r="BT58" s="964"/>
      <c r="BU58" s="964"/>
      <c r="BV58" s="964"/>
      <c r="BW58" s="964"/>
      <c r="BX58" s="964"/>
      <c r="BY58" s="964"/>
      <c r="BZ58" s="964"/>
      <c r="CA58" s="964"/>
      <c r="CB58" s="964"/>
    </row>
    <row r="59" spans="1:81" ht="9.75" customHeight="1" x14ac:dyDescent="0.2">
      <c r="A59" s="965"/>
      <c r="B59" s="941"/>
      <c r="C59" s="964"/>
      <c r="D59" s="964"/>
      <c r="E59" s="913"/>
      <c r="F59" s="936"/>
      <c r="G59" s="936"/>
      <c r="H59" s="971"/>
      <c r="I59" s="1096"/>
      <c r="J59" s="971"/>
      <c r="K59" s="1096"/>
      <c r="L59" s="971"/>
      <c r="M59" s="1096"/>
      <c r="N59" s="971"/>
      <c r="O59" s="1096"/>
      <c r="P59" s="971"/>
      <c r="Q59" s="1096"/>
      <c r="R59" s="971"/>
      <c r="S59" s="1096"/>
      <c r="T59" s="971"/>
      <c r="U59" s="1096"/>
      <c r="V59" s="971"/>
      <c r="W59" s="1096"/>
      <c r="X59" s="971"/>
      <c r="Y59" s="1096"/>
      <c r="Z59" s="971"/>
      <c r="AA59" s="1096"/>
      <c r="AB59" s="971"/>
      <c r="AC59" s="1096"/>
      <c r="AD59" s="971"/>
      <c r="AE59" s="1096"/>
      <c r="AF59" s="971"/>
      <c r="AG59" s="1096"/>
      <c r="AH59" s="971"/>
      <c r="AI59" s="1096"/>
      <c r="AJ59" s="971"/>
      <c r="AK59" s="1096"/>
      <c r="AL59" s="971"/>
      <c r="AM59" s="1096"/>
      <c r="AN59" s="971"/>
      <c r="AO59" s="1096"/>
      <c r="AP59" s="971"/>
      <c r="AQ59" s="1096"/>
      <c r="AR59" s="1096"/>
      <c r="AS59" s="1096"/>
      <c r="AT59" s="971"/>
      <c r="AU59" s="1096"/>
      <c r="AV59" s="1096"/>
      <c r="AW59" s="971"/>
      <c r="AX59" s="971"/>
      <c r="AY59" s="971"/>
      <c r="AZ59" s="971"/>
      <c r="BA59" s="964"/>
      <c r="BB59" s="964"/>
      <c r="BC59" s="964"/>
      <c r="BD59" s="964"/>
      <c r="BE59" s="964"/>
      <c r="BF59" s="964"/>
      <c r="BG59" s="964"/>
      <c r="BH59" s="964"/>
      <c r="BI59" s="964"/>
      <c r="BJ59" s="964"/>
      <c r="BK59" s="964"/>
      <c r="BL59" s="964"/>
      <c r="BM59" s="964"/>
      <c r="BN59" s="964"/>
      <c r="BO59" s="964"/>
      <c r="BP59" s="964"/>
      <c r="BQ59" s="964"/>
      <c r="BR59" s="964"/>
      <c r="BS59" s="964"/>
      <c r="BT59" s="964"/>
      <c r="BU59" s="964"/>
      <c r="BV59" s="964"/>
      <c r="BW59" s="964"/>
      <c r="BX59" s="964"/>
      <c r="BY59" s="964"/>
      <c r="BZ59" s="964"/>
      <c r="CA59" s="964"/>
      <c r="CB59" s="964"/>
    </row>
    <row r="60" spans="1:81" x14ac:dyDescent="0.2">
      <c r="A60" s="945" t="s">
        <v>1</v>
      </c>
      <c r="B60" s="941"/>
      <c r="C60" s="3073" t="s">
        <v>671</v>
      </c>
      <c r="D60" s="3074"/>
      <c r="E60" s="937"/>
      <c r="F60" s="2950"/>
      <c r="G60" s="2948"/>
      <c r="H60" s="982"/>
      <c r="I60" s="1102"/>
      <c r="J60" s="967"/>
      <c r="K60" s="1103"/>
      <c r="L60" s="982"/>
      <c r="M60" s="1102"/>
      <c r="N60" s="967"/>
      <c r="O60" s="1103"/>
      <c r="P60" s="982"/>
      <c r="Q60" s="1102"/>
      <c r="R60" s="967"/>
      <c r="S60" s="1103"/>
      <c r="T60" s="982"/>
      <c r="U60" s="1102"/>
      <c r="V60" s="967"/>
      <c r="W60" s="1103"/>
      <c r="X60" s="982"/>
      <c r="Y60" s="1102"/>
      <c r="Z60" s="967"/>
      <c r="AA60" s="1103"/>
      <c r="AB60" s="982"/>
      <c r="AC60" s="1102"/>
      <c r="AD60" s="967"/>
      <c r="AE60" s="1103"/>
      <c r="AF60" s="982"/>
      <c r="AG60" s="1102"/>
      <c r="AH60" s="967"/>
      <c r="AI60" s="1103"/>
      <c r="AJ60" s="982"/>
      <c r="AK60" s="1102"/>
      <c r="AL60" s="967"/>
      <c r="AM60" s="1103"/>
      <c r="AN60" s="982"/>
      <c r="AO60" s="1102"/>
      <c r="AP60" s="967"/>
      <c r="AQ60" s="1103"/>
      <c r="AR60" s="1102"/>
      <c r="AT60" s="967"/>
      <c r="AU60" s="1102"/>
      <c r="AV60" s="1104"/>
      <c r="AW60" s="982"/>
      <c r="AX60" s="967"/>
      <c r="AY60" s="1105"/>
      <c r="AZ60" s="1105"/>
      <c r="BA60" s="1105"/>
      <c r="BB60" s="1105"/>
      <c r="BC60" s="1106"/>
      <c r="BD60" s="967"/>
      <c r="BE60" s="967"/>
      <c r="BF60" s="967"/>
      <c r="BG60" s="1001"/>
      <c r="BH60" s="987" t="s">
        <v>660</v>
      </c>
      <c r="BI60" s="988"/>
      <c r="BJ60" s="988" t="s">
        <v>563</v>
      </c>
      <c r="BK60" s="989"/>
      <c r="BL60" s="1104"/>
      <c r="BM60" s="966"/>
      <c r="BN60" s="966"/>
      <c r="BO60" s="966"/>
      <c r="BP60" s="966"/>
      <c r="BQ60" s="966"/>
      <c r="BR60" s="966"/>
      <c r="BS60" s="966"/>
      <c r="BT60" s="966"/>
      <c r="BU60" s="966"/>
      <c r="BV60" s="966"/>
      <c r="BW60" s="966"/>
      <c r="BX60" s="1106"/>
      <c r="BY60" s="1106"/>
      <c r="BZ60" s="2926"/>
      <c r="CA60" s="2926"/>
      <c r="CB60" s="2926"/>
      <c r="CC60" s="949"/>
    </row>
    <row r="61" spans="1:81" ht="13.5" x14ac:dyDescent="0.2">
      <c r="A61" s="945" t="s">
        <v>2</v>
      </c>
      <c r="B61" s="941"/>
      <c r="C61" s="3075" t="s">
        <v>38</v>
      </c>
      <c r="D61" s="3077"/>
      <c r="E61" s="928"/>
      <c r="F61" s="1993" t="s">
        <v>670</v>
      </c>
      <c r="G61" s="907" t="s">
        <v>558</v>
      </c>
      <c r="H61" s="992" t="s">
        <v>559</v>
      </c>
      <c r="I61" s="992" t="s">
        <v>560</v>
      </c>
      <c r="J61" s="993" t="s">
        <v>561</v>
      </c>
      <c r="K61" s="992" t="s">
        <v>508</v>
      </c>
      <c r="L61" s="992" t="s">
        <v>507</v>
      </c>
      <c r="M61" s="992" t="s">
        <v>506</v>
      </c>
      <c r="N61" s="993" t="s">
        <v>505</v>
      </c>
      <c r="O61" s="992" t="s">
        <v>382</v>
      </c>
      <c r="P61" s="992" t="s">
        <v>383</v>
      </c>
      <c r="Q61" s="992" t="s">
        <v>384</v>
      </c>
      <c r="R61" s="993" t="s">
        <v>385</v>
      </c>
      <c r="S61" s="992" t="s">
        <v>368</v>
      </c>
      <c r="T61" s="992" t="s">
        <v>367</v>
      </c>
      <c r="U61" s="992" t="s">
        <v>366</v>
      </c>
      <c r="V61" s="993" t="s">
        <v>364</v>
      </c>
      <c r="W61" s="992" t="s">
        <v>348</v>
      </c>
      <c r="X61" s="992" t="s">
        <v>349</v>
      </c>
      <c r="Y61" s="992" t="s">
        <v>350</v>
      </c>
      <c r="Z61" s="993" t="s">
        <v>351</v>
      </c>
      <c r="AA61" s="992" t="s">
        <v>315</v>
      </c>
      <c r="AB61" s="992" t="s">
        <v>314</v>
      </c>
      <c r="AC61" s="992" t="s">
        <v>313</v>
      </c>
      <c r="AD61" s="993" t="s">
        <v>311</v>
      </c>
      <c r="AE61" s="994" t="s">
        <v>270</v>
      </c>
      <c r="AF61" s="992" t="s">
        <v>271</v>
      </c>
      <c r="AG61" s="992" t="s">
        <v>272</v>
      </c>
      <c r="AH61" s="993" t="s">
        <v>273</v>
      </c>
      <c r="AI61" s="994" t="s">
        <v>223</v>
      </c>
      <c r="AJ61" s="992" t="s">
        <v>224</v>
      </c>
      <c r="AK61" s="992" t="s">
        <v>225</v>
      </c>
      <c r="AL61" s="1107" t="s">
        <v>222</v>
      </c>
      <c r="AM61" s="994" t="s">
        <v>189</v>
      </c>
      <c r="AN61" s="992" t="s">
        <v>190</v>
      </c>
      <c r="AO61" s="992" t="s">
        <v>191</v>
      </c>
      <c r="AP61" s="1107" t="s">
        <v>192</v>
      </c>
      <c r="AQ61" s="994" t="s">
        <v>121</v>
      </c>
      <c r="AR61" s="992" t="s">
        <v>120</v>
      </c>
      <c r="AS61" s="992" t="s">
        <v>119</v>
      </c>
      <c r="AT61" s="1107" t="s">
        <v>118</v>
      </c>
      <c r="AU61" s="992" t="s">
        <v>81</v>
      </c>
      <c r="AV61" s="992" t="s">
        <v>82</v>
      </c>
      <c r="AW61" s="992" t="s">
        <v>83</v>
      </c>
      <c r="AX61" s="1107" t="s">
        <v>29</v>
      </c>
      <c r="AY61" s="1108" t="s">
        <v>30</v>
      </c>
      <c r="AZ61" s="1108" t="s">
        <v>31</v>
      </c>
      <c r="BA61" s="1108" t="s">
        <v>32</v>
      </c>
      <c r="BB61" s="1108" t="s">
        <v>33</v>
      </c>
      <c r="BC61" s="1109" t="s">
        <v>34</v>
      </c>
      <c r="BD61" s="1107" t="s">
        <v>35</v>
      </c>
      <c r="BE61" s="1107" t="s">
        <v>36</v>
      </c>
      <c r="BF61" s="1107" t="s">
        <v>37</v>
      </c>
      <c r="BG61" s="1110"/>
      <c r="BH61" s="992" t="s">
        <v>558</v>
      </c>
      <c r="BI61" s="992" t="s">
        <v>508</v>
      </c>
      <c r="BJ61" s="3071" t="s">
        <v>38</v>
      </c>
      <c r="BK61" s="3072"/>
      <c r="BL61" s="1051"/>
      <c r="BM61" s="994" t="s">
        <v>562</v>
      </c>
      <c r="BN61" s="994" t="s">
        <v>509</v>
      </c>
      <c r="BO61" s="994" t="s">
        <v>502</v>
      </c>
      <c r="BP61" s="994" t="s">
        <v>379</v>
      </c>
      <c r="BQ61" s="994" t="s">
        <v>360</v>
      </c>
      <c r="BR61" s="994" t="s">
        <v>317</v>
      </c>
      <c r="BS61" s="994" t="s">
        <v>275</v>
      </c>
      <c r="BT61" s="994" t="s">
        <v>227</v>
      </c>
      <c r="BU61" s="994" t="s">
        <v>123</v>
      </c>
      <c r="BV61" s="2927" t="s">
        <v>122</v>
      </c>
      <c r="BW61" s="2927" t="s">
        <v>42</v>
      </c>
      <c r="BX61" s="1109" t="s">
        <v>39</v>
      </c>
      <c r="BY61" s="1109" t="s">
        <v>40</v>
      </c>
      <c r="BZ61" s="1109" t="s">
        <v>142</v>
      </c>
      <c r="CA61" s="1109" t="s">
        <v>143</v>
      </c>
      <c r="CB61" s="1109" t="s">
        <v>144</v>
      </c>
      <c r="CC61" s="949"/>
    </row>
    <row r="62" spans="1:81" ht="12.75" customHeight="1" x14ac:dyDescent="0.2">
      <c r="A62" s="947" t="s">
        <v>3</v>
      </c>
      <c r="B62" s="948"/>
      <c r="C62" s="966"/>
      <c r="D62" s="967"/>
      <c r="E62" s="910"/>
      <c r="F62" s="910"/>
      <c r="G62" s="913"/>
      <c r="H62" s="971"/>
      <c r="I62" s="971"/>
      <c r="J62" s="1012"/>
      <c r="K62" s="1111"/>
      <c r="L62" s="971"/>
      <c r="M62" s="971"/>
      <c r="N62" s="1012"/>
      <c r="O62" s="1111"/>
      <c r="P62" s="971"/>
      <c r="Q62" s="971"/>
      <c r="R62" s="1012"/>
      <c r="S62" s="1111"/>
      <c r="T62" s="971"/>
      <c r="U62" s="971"/>
      <c r="V62" s="1012"/>
      <c r="W62" s="1111"/>
      <c r="X62" s="971"/>
      <c r="Y62" s="971"/>
      <c r="Z62" s="1012"/>
      <c r="AA62" s="1111"/>
      <c r="AB62" s="971"/>
      <c r="AC62" s="971"/>
      <c r="AD62" s="1012"/>
      <c r="AE62" s="1111"/>
      <c r="AF62" s="971"/>
      <c r="AG62" s="971"/>
      <c r="AH62" s="1012"/>
      <c r="AI62" s="1111"/>
      <c r="AJ62" s="971"/>
      <c r="AK62" s="971"/>
      <c r="AL62" s="1012"/>
      <c r="AM62" s="1111"/>
      <c r="AN62" s="971"/>
      <c r="AO62" s="971"/>
      <c r="AP62" s="1012"/>
      <c r="AQ62" s="1111"/>
      <c r="AR62" s="971"/>
      <c r="AS62" s="971"/>
      <c r="AT62" s="1012"/>
      <c r="AU62" s="971"/>
      <c r="AV62" s="971"/>
      <c r="AW62" s="971"/>
      <c r="AX62" s="1012"/>
      <c r="AY62" s="966"/>
      <c r="AZ62" s="1105"/>
      <c r="BA62" s="1105"/>
      <c r="BB62" s="967"/>
      <c r="BC62" s="1106"/>
      <c r="BD62" s="967"/>
      <c r="BE62" s="967"/>
      <c r="BF62" s="967"/>
      <c r="BG62" s="1001"/>
      <c r="BH62" s="971"/>
      <c r="BI62" s="971"/>
      <c r="BJ62" s="1105"/>
      <c r="BK62" s="967"/>
      <c r="BL62" s="964"/>
      <c r="BM62" s="1106"/>
      <c r="BN62" s="1106"/>
      <c r="BO62" s="1106"/>
      <c r="BP62" s="1106"/>
      <c r="BQ62" s="1106"/>
      <c r="BR62" s="1106"/>
      <c r="BS62" s="1106"/>
      <c r="BT62" s="1106"/>
      <c r="BU62" s="1106"/>
      <c r="BV62" s="1106"/>
      <c r="BW62" s="1106"/>
      <c r="BX62" s="1106"/>
      <c r="BY62" s="1106"/>
      <c r="BZ62" s="1106"/>
      <c r="CA62" s="1106"/>
      <c r="CB62" s="1106"/>
      <c r="CC62" s="949"/>
    </row>
    <row r="63" spans="1:81" ht="12.75" customHeight="1" x14ac:dyDescent="0.2">
      <c r="A63" s="946"/>
      <c r="B63" s="946" t="s">
        <v>4</v>
      </c>
      <c r="C63" s="951">
        <v>51385</v>
      </c>
      <c r="D63" s="952">
        <v>0.18745234803354699</v>
      </c>
      <c r="E63" s="933"/>
      <c r="F63" s="2951">
        <v>325508</v>
      </c>
      <c r="G63" s="1954">
        <v>284808</v>
      </c>
      <c r="H63" s="1116">
        <v>331600</v>
      </c>
      <c r="I63" s="974">
        <v>300036</v>
      </c>
      <c r="J63" s="1113">
        <v>274123</v>
      </c>
      <c r="K63" s="1116">
        <v>322080</v>
      </c>
      <c r="L63" s="1116">
        <v>309442</v>
      </c>
      <c r="M63" s="974">
        <v>191547</v>
      </c>
      <c r="N63" s="1113">
        <v>199808</v>
      </c>
      <c r="O63" s="1116">
        <v>271656</v>
      </c>
      <c r="P63" s="1112">
        <v>208108</v>
      </c>
      <c r="Q63" s="1112">
        <v>193602</v>
      </c>
      <c r="R63" s="1113">
        <v>204987</v>
      </c>
      <c r="S63" s="1112">
        <v>200912</v>
      </c>
      <c r="T63" s="1112">
        <v>181837</v>
      </c>
      <c r="U63" s="1112">
        <v>190602</v>
      </c>
      <c r="V63" s="1113">
        <v>214454</v>
      </c>
      <c r="W63" s="1112">
        <v>232465</v>
      </c>
      <c r="X63" s="1112">
        <v>166471</v>
      </c>
      <c r="Y63" s="1112">
        <v>236271</v>
      </c>
      <c r="Z63" s="1113">
        <v>245556</v>
      </c>
      <c r="AA63" s="1112">
        <v>253748</v>
      </c>
      <c r="AB63" s="1112">
        <v>230959</v>
      </c>
      <c r="AC63" s="1112">
        <v>183306</v>
      </c>
      <c r="AD63" s="1113">
        <v>187231</v>
      </c>
      <c r="AE63" s="1114">
        <v>217971</v>
      </c>
      <c r="AF63" s="1112">
        <v>230003</v>
      </c>
      <c r="AG63" s="1112">
        <v>186599</v>
      </c>
      <c r="AH63" s="1113">
        <v>162549</v>
      </c>
      <c r="AI63" s="1114">
        <v>177692</v>
      </c>
      <c r="AJ63" s="1112">
        <v>147889</v>
      </c>
      <c r="AK63" s="1112">
        <v>119500</v>
      </c>
      <c r="AL63" s="1113">
        <v>159783</v>
      </c>
      <c r="AM63" s="1114">
        <v>247595</v>
      </c>
      <c r="AN63" s="1112">
        <v>254834</v>
      </c>
      <c r="AO63" s="1112">
        <v>149285</v>
      </c>
      <c r="AP63" s="1113">
        <v>151917</v>
      </c>
      <c r="AQ63" s="1114">
        <v>143133</v>
      </c>
      <c r="AR63" s="1112">
        <v>173197</v>
      </c>
      <c r="AS63" s="1112">
        <v>123744</v>
      </c>
      <c r="AT63" s="1113">
        <v>137463</v>
      </c>
      <c r="AU63" s="1112">
        <v>106996</v>
      </c>
      <c r="AV63" s="1112">
        <v>87188</v>
      </c>
      <c r="AW63" s="1112">
        <v>110829</v>
      </c>
      <c r="AX63" s="1113">
        <v>172708</v>
      </c>
      <c r="AY63" s="951">
        <v>143446</v>
      </c>
      <c r="AZ63" s="974">
        <v>183354</v>
      </c>
      <c r="BA63" s="974">
        <v>158869</v>
      </c>
      <c r="BB63" s="999">
        <v>245870</v>
      </c>
      <c r="BC63" s="1000">
        <v>216443</v>
      </c>
      <c r="BD63" s="999">
        <v>178313</v>
      </c>
      <c r="BE63" s="999">
        <v>156031</v>
      </c>
      <c r="BF63" s="999">
        <v>206127</v>
      </c>
      <c r="BG63" s="1001"/>
      <c r="BH63" s="1002">
        <v>1190567</v>
      </c>
      <c r="BI63" s="1112">
        <v>1022877</v>
      </c>
      <c r="BJ63" s="974">
        <v>167690</v>
      </c>
      <c r="BK63" s="953">
        <v>0.16393955480473213</v>
      </c>
      <c r="BL63" s="964"/>
      <c r="BM63" s="1000">
        <v>1190567</v>
      </c>
      <c r="BN63" s="1000">
        <v>1022877</v>
      </c>
      <c r="BO63" s="1000">
        <v>878353</v>
      </c>
      <c r="BP63" s="1000">
        <v>787805</v>
      </c>
      <c r="BQ63" s="1000">
        <v>880763</v>
      </c>
      <c r="BR63" s="1000">
        <v>855244</v>
      </c>
      <c r="BS63" s="1115">
        <v>797122</v>
      </c>
      <c r="BT63" s="1115">
        <v>604864</v>
      </c>
      <c r="BU63" s="1115">
        <v>803631</v>
      </c>
      <c r="BV63" s="1115">
        <v>577537</v>
      </c>
      <c r="BW63" s="1115">
        <v>477721</v>
      </c>
      <c r="BX63" s="1115">
        <v>731539</v>
      </c>
      <c r="BY63" s="1000">
        <v>756914</v>
      </c>
      <c r="BZ63" s="1000">
        <v>583415</v>
      </c>
      <c r="CA63" s="1000">
        <v>432778</v>
      </c>
      <c r="CB63" s="1000">
        <v>402157</v>
      </c>
      <c r="CC63" s="949"/>
    </row>
    <row r="64" spans="1:81" ht="12.75" customHeight="1" x14ac:dyDescent="0.2">
      <c r="A64" s="946"/>
      <c r="B64" s="946" t="s">
        <v>5</v>
      </c>
      <c r="C64" s="951">
        <v>42204</v>
      </c>
      <c r="D64" s="952">
        <v>0.17242027339505012</v>
      </c>
      <c r="E64" s="933"/>
      <c r="F64" s="2951">
        <v>286978</v>
      </c>
      <c r="G64" s="1954">
        <v>262587</v>
      </c>
      <c r="H64" s="1116">
        <v>285702</v>
      </c>
      <c r="I64" s="974">
        <v>261918</v>
      </c>
      <c r="J64" s="1113">
        <v>244774</v>
      </c>
      <c r="K64" s="1116">
        <v>269914</v>
      </c>
      <c r="L64" s="1116">
        <v>259160</v>
      </c>
      <c r="M64" s="974">
        <v>186152</v>
      </c>
      <c r="N64" s="1113">
        <v>197044</v>
      </c>
      <c r="O64" s="1116">
        <v>232161</v>
      </c>
      <c r="P64" s="1112">
        <v>200294</v>
      </c>
      <c r="Q64" s="1112">
        <v>190695</v>
      </c>
      <c r="R64" s="1113">
        <v>193946</v>
      </c>
      <c r="S64" s="1112">
        <v>204257</v>
      </c>
      <c r="T64" s="1112">
        <v>204249</v>
      </c>
      <c r="U64" s="1112">
        <v>186226</v>
      </c>
      <c r="V64" s="1113">
        <v>199130</v>
      </c>
      <c r="W64" s="1112">
        <v>220047</v>
      </c>
      <c r="X64" s="1112">
        <v>184112</v>
      </c>
      <c r="Y64" s="1112">
        <v>207395</v>
      </c>
      <c r="Z64" s="1113">
        <v>215904</v>
      </c>
      <c r="AA64" s="1112">
        <v>217779</v>
      </c>
      <c r="AB64" s="1112">
        <v>202914</v>
      </c>
      <c r="AC64" s="1112">
        <v>175367</v>
      </c>
      <c r="AD64" s="1113">
        <v>174527</v>
      </c>
      <c r="AE64" s="1114">
        <v>200481</v>
      </c>
      <c r="AF64" s="1112">
        <v>205025</v>
      </c>
      <c r="AG64" s="1112">
        <v>179710</v>
      </c>
      <c r="AH64" s="1113">
        <v>181677</v>
      </c>
      <c r="AI64" s="1114">
        <v>166505</v>
      </c>
      <c r="AJ64" s="1112">
        <v>132063</v>
      </c>
      <c r="AK64" s="1112">
        <v>122510</v>
      </c>
      <c r="AL64" s="1113">
        <v>143104</v>
      </c>
      <c r="AM64" s="1114">
        <v>188349</v>
      </c>
      <c r="AN64" s="1112">
        <v>190238</v>
      </c>
      <c r="AO64" s="1112">
        <v>132849</v>
      </c>
      <c r="AP64" s="1113">
        <v>131857</v>
      </c>
      <c r="AQ64" s="1114">
        <v>132658</v>
      </c>
      <c r="AR64" s="1112">
        <v>150887</v>
      </c>
      <c r="AS64" s="1112">
        <v>115883</v>
      </c>
      <c r="AT64" s="1113">
        <v>121468</v>
      </c>
      <c r="AU64" s="1112">
        <v>100169</v>
      </c>
      <c r="AV64" s="1112">
        <v>108534</v>
      </c>
      <c r="AW64" s="1112">
        <v>115805</v>
      </c>
      <c r="AX64" s="1113">
        <v>149179</v>
      </c>
      <c r="AY64" s="951">
        <v>131632</v>
      </c>
      <c r="AZ64" s="974">
        <v>154817</v>
      </c>
      <c r="BA64" s="974">
        <v>135342</v>
      </c>
      <c r="BB64" s="999">
        <v>187220</v>
      </c>
      <c r="BC64" s="1000">
        <v>176307</v>
      </c>
      <c r="BD64" s="999">
        <v>144677</v>
      </c>
      <c r="BE64" s="999">
        <v>130781</v>
      </c>
      <c r="BF64" s="999">
        <v>166952</v>
      </c>
      <c r="BG64" s="1001"/>
      <c r="BH64" s="1002">
        <v>1054981</v>
      </c>
      <c r="BI64" s="1112">
        <v>912270</v>
      </c>
      <c r="BJ64" s="974">
        <v>142711</v>
      </c>
      <c r="BK64" s="953">
        <v>0.15643504664189331</v>
      </c>
      <c r="BL64" s="964"/>
      <c r="BM64" s="1000">
        <v>1054981</v>
      </c>
      <c r="BN64" s="1000">
        <v>912270</v>
      </c>
      <c r="BO64" s="1000">
        <v>817096</v>
      </c>
      <c r="BP64" s="1000">
        <v>793862</v>
      </c>
      <c r="BQ64" s="1000">
        <v>827458</v>
      </c>
      <c r="BR64" s="1000">
        <v>770587</v>
      </c>
      <c r="BS64" s="1115">
        <v>766893</v>
      </c>
      <c r="BT64" s="1115">
        <v>564182</v>
      </c>
      <c r="BU64" s="1115">
        <v>643293</v>
      </c>
      <c r="BV64" s="1115">
        <v>520896</v>
      </c>
      <c r="BW64" s="1115">
        <v>473687</v>
      </c>
      <c r="BX64" s="1115">
        <v>609011</v>
      </c>
      <c r="BY64" s="1000">
        <v>618717</v>
      </c>
      <c r="BZ64" s="1000">
        <v>464385</v>
      </c>
      <c r="CA64" s="1000">
        <v>360022</v>
      </c>
      <c r="CB64" s="1000">
        <v>339600</v>
      </c>
      <c r="CC64" s="949"/>
    </row>
    <row r="65" spans="1:81" ht="12.75" customHeight="1" x14ac:dyDescent="0.2">
      <c r="A65" s="946"/>
      <c r="B65" s="946" t="s">
        <v>6</v>
      </c>
      <c r="C65" s="951">
        <v>3562</v>
      </c>
      <c r="D65" s="952">
        <v>0.82568382012053776</v>
      </c>
      <c r="E65" s="933"/>
      <c r="F65" s="2951">
        <v>7876</v>
      </c>
      <c r="G65" s="1954">
        <v>5611</v>
      </c>
      <c r="H65" s="1116">
        <v>9055</v>
      </c>
      <c r="I65" s="974">
        <v>9251</v>
      </c>
      <c r="J65" s="1113">
        <v>4314</v>
      </c>
      <c r="K65" s="1116">
        <v>14854</v>
      </c>
      <c r="L65" s="1116">
        <v>11100</v>
      </c>
      <c r="M65" s="974">
        <v>1847</v>
      </c>
      <c r="N65" s="1113">
        <v>1149</v>
      </c>
      <c r="O65" s="1116">
        <v>6755</v>
      </c>
      <c r="P65" s="1116">
        <v>1505</v>
      </c>
      <c r="Q65" s="1112">
        <v>899</v>
      </c>
      <c r="R65" s="1113">
        <v>2902</v>
      </c>
      <c r="S65" s="1116">
        <v>-1232</v>
      </c>
      <c r="T65" s="1116">
        <v>-3268</v>
      </c>
      <c r="U65" s="1112">
        <v>2433</v>
      </c>
      <c r="V65" s="1113">
        <v>2005</v>
      </c>
      <c r="W65" s="1112">
        <v>3598</v>
      </c>
      <c r="X65" s="1116">
        <v>-3388</v>
      </c>
      <c r="Y65" s="1112">
        <v>8130</v>
      </c>
      <c r="Z65" s="1113">
        <v>5635</v>
      </c>
      <c r="AA65" s="1112">
        <v>6894</v>
      </c>
      <c r="AB65" s="1112">
        <v>6818</v>
      </c>
      <c r="AC65" s="1112">
        <v>1205</v>
      </c>
      <c r="AD65" s="1113">
        <v>894</v>
      </c>
      <c r="AE65" s="1114">
        <v>1911</v>
      </c>
      <c r="AF65" s="1112">
        <v>4525</v>
      </c>
      <c r="AG65" s="1112">
        <v>982</v>
      </c>
      <c r="AH65" s="1117">
        <v>-2833</v>
      </c>
      <c r="AI65" s="1114">
        <v>9098</v>
      </c>
      <c r="AJ65" s="1112">
        <v>5182</v>
      </c>
      <c r="AK65" s="1112">
        <v>-1345</v>
      </c>
      <c r="AL65" s="1113">
        <v>2554</v>
      </c>
      <c r="AM65" s="1114">
        <v>16993</v>
      </c>
      <c r="AN65" s="1112">
        <v>18992</v>
      </c>
      <c r="AO65" s="1112">
        <v>4358</v>
      </c>
      <c r="AP65" s="1113">
        <v>5868.5496999999996</v>
      </c>
      <c r="AQ65" s="1114">
        <v>-597</v>
      </c>
      <c r="AR65" s="1112">
        <v>7197</v>
      </c>
      <c r="AS65" s="1112">
        <v>1115</v>
      </c>
      <c r="AT65" s="1113">
        <v>6883</v>
      </c>
      <c r="AU65" s="1112">
        <v>3063</v>
      </c>
      <c r="AV65" s="1112">
        <v>-5104</v>
      </c>
      <c r="AW65" s="1112">
        <v>422</v>
      </c>
      <c r="AX65" s="1113">
        <v>7070</v>
      </c>
      <c r="AY65" s="951">
        <v>4639.4799999999996</v>
      </c>
      <c r="AZ65" s="974">
        <v>10704.065999999999</v>
      </c>
      <c r="BA65" s="974">
        <v>8217.0590000000011</v>
      </c>
      <c r="BB65" s="999">
        <v>19621</v>
      </c>
      <c r="BC65" s="1000">
        <v>14120</v>
      </c>
      <c r="BD65" s="999">
        <v>9944</v>
      </c>
      <c r="BE65" s="999">
        <v>7444</v>
      </c>
      <c r="BF65" s="999">
        <v>13233</v>
      </c>
      <c r="BG65" s="1001"/>
      <c r="BH65" s="1002">
        <v>28231</v>
      </c>
      <c r="BI65" s="1112">
        <v>28950</v>
      </c>
      <c r="BJ65" s="974">
        <v>-719</v>
      </c>
      <c r="BK65" s="953">
        <v>-2.4835924006908462E-2</v>
      </c>
      <c r="BL65" s="964"/>
      <c r="BM65" s="1000">
        <v>28231</v>
      </c>
      <c r="BN65" s="1000">
        <v>28950</v>
      </c>
      <c r="BO65" s="1000">
        <v>12061</v>
      </c>
      <c r="BP65" s="1000">
        <v>-62</v>
      </c>
      <c r="BQ65" s="1000">
        <v>13975</v>
      </c>
      <c r="BR65" s="1000">
        <v>15811</v>
      </c>
      <c r="BS65" s="1115">
        <v>4585</v>
      </c>
      <c r="BT65" s="1115">
        <v>15489</v>
      </c>
      <c r="BU65" s="1115">
        <v>46211.549700000003</v>
      </c>
      <c r="BV65" s="1115">
        <v>14598</v>
      </c>
      <c r="BW65" s="1115">
        <v>5451</v>
      </c>
      <c r="BX65" s="1115">
        <v>43181.604999999996</v>
      </c>
      <c r="BY65" s="1000">
        <v>44741</v>
      </c>
      <c r="BZ65" s="1000">
        <v>37880</v>
      </c>
      <c r="CA65" s="1000">
        <v>24177</v>
      </c>
      <c r="CB65" s="1000">
        <v>22128</v>
      </c>
      <c r="CC65" s="949"/>
    </row>
    <row r="66" spans="1:81" ht="12.75" customHeight="1" x14ac:dyDescent="0.2">
      <c r="A66" s="946"/>
      <c r="B66" s="946" t="s">
        <v>7</v>
      </c>
      <c r="C66" s="951">
        <v>5619</v>
      </c>
      <c r="D66" s="952">
        <v>0.22444577591372078</v>
      </c>
      <c r="E66" s="933"/>
      <c r="F66" s="2951">
        <v>30654</v>
      </c>
      <c r="G66" s="1954">
        <v>16610</v>
      </c>
      <c r="H66" s="1116">
        <v>36843</v>
      </c>
      <c r="I66" s="974">
        <v>28867</v>
      </c>
      <c r="J66" s="1117">
        <v>25035</v>
      </c>
      <c r="K66" s="1116">
        <v>37312</v>
      </c>
      <c r="L66" s="1116">
        <v>39182</v>
      </c>
      <c r="M66" s="974">
        <v>3548</v>
      </c>
      <c r="N66" s="1117">
        <v>1615</v>
      </c>
      <c r="O66" s="1116">
        <v>32740</v>
      </c>
      <c r="P66" s="1116">
        <v>6309</v>
      </c>
      <c r="Q66" s="1112">
        <v>2008</v>
      </c>
      <c r="R66" s="1113">
        <v>8139</v>
      </c>
      <c r="S66" s="1116">
        <v>-2113</v>
      </c>
      <c r="T66" s="1116">
        <v>-19144</v>
      </c>
      <c r="U66" s="1112">
        <v>1943</v>
      </c>
      <c r="V66" s="1113">
        <v>13319</v>
      </c>
      <c r="W66" s="1112">
        <v>8820</v>
      </c>
      <c r="X66" s="1116">
        <v>-14253</v>
      </c>
      <c r="Y66" s="1112">
        <v>20746</v>
      </c>
      <c r="Z66" s="1113">
        <v>24017</v>
      </c>
      <c r="AA66" s="1112">
        <v>29075</v>
      </c>
      <c r="AB66" s="1112">
        <v>21227</v>
      </c>
      <c r="AC66" s="1112">
        <v>6734</v>
      </c>
      <c r="AD66" s="1113">
        <v>11810</v>
      </c>
      <c r="AE66" s="1114">
        <v>15579</v>
      </c>
      <c r="AF66" s="1112">
        <v>20453</v>
      </c>
      <c r="AG66" s="1112">
        <v>5907</v>
      </c>
      <c r="AH66" s="1117">
        <v>-16295</v>
      </c>
      <c r="AI66" s="1114">
        <v>2089</v>
      </c>
      <c r="AJ66" s="1112">
        <v>10644</v>
      </c>
      <c r="AK66" s="1112">
        <v>-1665</v>
      </c>
      <c r="AL66" s="1113">
        <v>14125</v>
      </c>
      <c r="AM66" s="1114">
        <v>42253</v>
      </c>
      <c r="AN66" s="1112">
        <v>45604</v>
      </c>
      <c r="AO66" s="1112">
        <v>12078</v>
      </c>
      <c r="AP66" s="1113">
        <v>14191.4503</v>
      </c>
      <c r="AQ66" s="1114">
        <v>11072</v>
      </c>
      <c r="AR66" s="1112">
        <v>15113</v>
      </c>
      <c r="AS66" s="1112">
        <v>6746</v>
      </c>
      <c r="AT66" s="1113">
        <v>9112</v>
      </c>
      <c r="AU66" s="1112">
        <v>3764</v>
      </c>
      <c r="AV66" s="1112">
        <v>-16242</v>
      </c>
      <c r="AW66" s="1112">
        <v>-5398</v>
      </c>
      <c r="AX66" s="1113">
        <v>16459</v>
      </c>
      <c r="AY66" s="951">
        <v>7174.52</v>
      </c>
      <c r="AZ66" s="974">
        <v>17832.934000000001</v>
      </c>
      <c r="BA66" s="974">
        <v>15309.940999999999</v>
      </c>
      <c r="BB66" s="999">
        <v>39029</v>
      </c>
      <c r="BC66" s="1000">
        <v>26016</v>
      </c>
      <c r="BD66" s="999">
        <v>23692</v>
      </c>
      <c r="BE66" s="999">
        <v>17806</v>
      </c>
      <c r="BF66" s="999">
        <v>25942</v>
      </c>
      <c r="BG66" s="1001"/>
      <c r="BH66" s="1002">
        <v>107355</v>
      </c>
      <c r="BI66" s="1112">
        <v>81657</v>
      </c>
      <c r="BJ66" s="1116">
        <v>25698</v>
      </c>
      <c r="BK66" s="953">
        <v>0.31470663874499433</v>
      </c>
      <c r="BL66" s="964"/>
      <c r="BM66" s="1000">
        <v>107355</v>
      </c>
      <c r="BN66" s="1000">
        <v>81657</v>
      </c>
      <c r="BO66" s="1000">
        <v>49196</v>
      </c>
      <c r="BP66" s="1000">
        <v>-5995</v>
      </c>
      <c r="BQ66" s="1000">
        <v>39330</v>
      </c>
      <c r="BR66" s="1000">
        <v>68846</v>
      </c>
      <c r="BS66" s="1115">
        <v>25644</v>
      </c>
      <c r="BT66" s="1115">
        <v>25193</v>
      </c>
      <c r="BU66" s="1115">
        <v>114126.4503</v>
      </c>
      <c r="BV66" s="1115">
        <v>42043</v>
      </c>
      <c r="BW66" s="1115">
        <v>-1417</v>
      </c>
      <c r="BX66" s="1115">
        <v>79346.395000000004</v>
      </c>
      <c r="BY66" s="1000">
        <v>93456</v>
      </c>
      <c r="BZ66" s="1000">
        <v>81150</v>
      </c>
      <c r="CA66" s="1000">
        <v>48579</v>
      </c>
      <c r="CB66" s="1000">
        <v>40429</v>
      </c>
      <c r="CC66" s="949"/>
    </row>
    <row r="67" spans="1:81" ht="12.75" customHeight="1" x14ac:dyDescent="0.2">
      <c r="A67" s="946"/>
      <c r="B67" s="946" t="s">
        <v>343</v>
      </c>
      <c r="C67" s="951">
        <v>6567</v>
      </c>
      <c r="D67" s="952">
        <v>0.27360219981668193</v>
      </c>
      <c r="E67" s="909"/>
      <c r="F67" s="2951">
        <v>30569</v>
      </c>
      <c r="G67" s="1954">
        <v>16817</v>
      </c>
      <c r="H67" s="1116">
        <v>36842</v>
      </c>
      <c r="I67" s="974">
        <v>28642</v>
      </c>
      <c r="J67" s="1117">
        <v>24002</v>
      </c>
      <c r="K67" s="1116">
        <v>35354</v>
      </c>
      <c r="L67" s="1116">
        <v>37016</v>
      </c>
      <c r="M67" s="974">
        <v>3321</v>
      </c>
      <c r="N67" s="1117">
        <v>1913</v>
      </c>
      <c r="O67" s="1116">
        <v>30639</v>
      </c>
      <c r="P67" s="1116">
        <v>5446.5</v>
      </c>
      <c r="Q67" s="974">
        <v>518.28</v>
      </c>
      <c r="R67" s="999">
        <v>7299.08</v>
      </c>
      <c r="S67" s="1116">
        <v>-2106.92</v>
      </c>
      <c r="T67" s="1116">
        <v>-19229.559999999998</v>
      </c>
      <c r="U67" s="974">
        <v>2187</v>
      </c>
      <c r="V67" s="999">
        <v>12529</v>
      </c>
      <c r="W67" s="1112">
        <v>7899.85</v>
      </c>
      <c r="X67" s="974">
        <v>-14400.4</v>
      </c>
      <c r="Y67" s="974">
        <v>19986.2</v>
      </c>
      <c r="Z67" s="999">
        <v>22962.3</v>
      </c>
      <c r="AA67" s="1112">
        <v>28636.65</v>
      </c>
      <c r="AB67" s="1112">
        <v>19967.95</v>
      </c>
      <c r="AC67" s="974">
        <v>6192.3</v>
      </c>
      <c r="AD67" s="999">
        <v>12413.9</v>
      </c>
      <c r="AE67" s="1114">
        <v>15657.05</v>
      </c>
      <c r="AF67" s="974">
        <v>20745.599999999999</v>
      </c>
      <c r="AG67" s="974">
        <v>5864</v>
      </c>
      <c r="AH67" s="1117">
        <v>-16059.3</v>
      </c>
      <c r="AI67" s="1114">
        <v>2306.1</v>
      </c>
      <c r="AJ67" s="974">
        <v>10825.125</v>
      </c>
      <c r="AK67" s="974">
        <v>-1665</v>
      </c>
      <c r="AL67" s="999">
        <v>14125</v>
      </c>
      <c r="AM67" s="974">
        <v>42253</v>
      </c>
      <c r="AN67" s="974">
        <v>45604</v>
      </c>
      <c r="AO67" s="974">
        <v>12078</v>
      </c>
      <c r="AP67" s="999">
        <v>14191.4503</v>
      </c>
      <c r="AQ67" s="974">
        <v>11072</v>
      </c>
      <c r="AR67" s="974">
        <v>15113</v>
      </c>
      <c r="AS67" s="974"/>
      <c r="AT67" s="999"/>
      <c r="AU67" s="974"/>
      <c r="AV67" s="974"/>
      <c r="AW67" s="974"/>
      <c r="AX67" s="999"/>
      <c r="AY67" s="974"/>
      <c r="AZ67" s="974"/>
      <c r="BA67" s="974"/>
      <c r="BB67" s="974"/>
      <c r="BC67" s="1000"/>
      <c r="BD67" s="999"/>
      <c r="BE67" s="999"/>
      <c r="BF67" s="999"/>
      <c r="BG67" s="1001"/>
      <c r="BH67" s="1002">
        <v>106303</v>
      </c>
      <c r="BI67" s="1112">
        <v>77604</v>
      </c>
      <c r="BJ67" s="1116">
        <v>28699</v>
      </c>
      <c r="BK67" s="953">
        <v>0.3698134116798103</v>
      </c>
      <c r="BL67" s="1003"/>
      <c r="BM67" s="1000">
        <v>106303</v>
      </c>
      <c r="BN67" s="1000">
        <v>77604</v>
      </c>
      <c r="BO67" s="1000">
        <v>43902.86</v>
      </c>
      <c r="BP67" s="1000">
        <v>-6620.4799999999959</v>
      </c>
      <c r="BQ67" s="1000">
        <v>36447.949999999997</v>
      </c>
      <c r="BR67" s="1000">
        <v>67210.8</v>
      </c>
      <c r="BS67" s="1115">
        <v>26207.349999999995</v>
      </c>
      <c r="BT67" s="1115">
        <v>25591.224999999999</v>
      </c>
      <c r="BU67" s="1000">
        <v>114126.4503</v>
      </c>
      <c r="BV67" s="1000">
        <v>42043</v>
      </c>
      <c r="BW67" s="1000">
        <v>-1417</v>
      </c>
      <c r="BX67" s="1000">
        <v>79346.395000000004</v>
      </c>
      <c r="BY67" s="1000">
        <v>93256</v>
      </c>
      <c r="BZ67" s="1000"/>
      <c r="CA67" s="1000"/>
      <c r="CB67" s="1000"/>
      <c r="CC67" s="949"/>
    </row>
    <row r="68" spans="1:81" ht="12.75" customHeight="1" x14ac:dyDescent="0.2">
      <c r="A68" s="946"/>
      <c r="B68" s="946" t="s">
        <v>347</v>
      </c>
      <c r="C68" s="951">
        <v>6567</v>
      </c>
      <c r="D68" s="952">
        <v>0.30331162532908412</v>
      </c>
      <c r="E68" s="933"/>
      <c r="F68" s="2951">
        <v>28218</v>
      </c>
      <c r="G68" s="1954">
        <v>14466</v>
      </c>
      <c r="H68" s="1116">
        <v>34491</v>
      </c>
      <c r="I68" s="974">
        <v>26291</v>
      </c>
      <c r="J68" s="1117">
        <v>21651</v>
      </c>
      <c r="K68" s="1116">
        <v>33003</v>
      </c>
      <c r="L68" s="1116">
        <v>34665</v>
      </c>
      <c r="M68" s="974">
        <v>970</v>
      </c>
      <c r="N68" s="1117">
        <v>-627</v>
      </c>
      <c r="O68" s="1116">
        <v>28099</v>
      </c>
      <c r="P68" s="1116">
        <v>2906.5</v>
      </c>
      <c r="Q68" s="974">
        <v>-2480.7200000000003</v>
      </c>
      <c r="R68" s="999">
        <v>4300.08</v>
      </c>
      <c r="S68" s="1116">
        <v>-5104.92</v>
      </c>
      <c r="T68" s="1116">
        <v>-22227.559999999998</v>
      </c>
      <c r="U68" s="974">
        <v>-811</v>
      </c>
      <c r="V68" s="999">
        <v>9531</v>
      </c>
      <c r="W68" s="1112">
        <v>4901.8500000000004</v>
      </c>
      <c r="X68" s="974">
        <v>-17360.400000000001</v>
      </c>
      <c r="Y68" s="974">
        <v>17065.2</v>
      </c>
      <c r="Z68" s="999">
        <v>19964.3</v>
      </c>
      <c r="AA68" s="1112">
        <v>25676.65</v>
      </c>
      <c r="AB68" s="1112">
        <v>17046.95</v>
      </c>
      <c r="AC68" s="974">
        <v>3271.3</v>
      </c>
      <c r="AD68" s="999">
        <v>9453.9</v>
      </c>
      <c r="AE68" s="1114">
        <v>12770.05</v>
      </c>
      <c r="AF68" s="974">
        <v>17747.599999999999</v>
      </c>
      <c r="AG68" s="974">
        <v>2866</v>
      </c>
      <c r="AH68" s="1117">
        <v>-18896.3</v>
      </c>
      <c r="AI68" s="1114">
        <v>1199.0999999999999</v>
      </c>
      <c r="AJ68" s="1112">
        <v>9007.125</v>
      </c>
      <c r="AK68" s="1112">
        <v>-3465</v>
      </c>
      <c r="AL68" s="1113">
        <v>14035</v>
      </c>
      <c r="AM68" s="1114">
        <v>42253</v>
      </c>
      <c r="AN68" s="1112">
        <v>45604</v>
      </c>
      <c r="AO68" s="1112">
        <v>12078</v>
      </c>
      <c r="AP68" s="1113">
        <v>14191.4503</v>
      </c>
      <c r="AQ68" s="1114">
        <v>11072</v>
      </c>
      <c r="AR68" s="1112">
        <v>15113</v>
      </c>
      <c r="AS68" s="1112">
        <v>6746</v>
      </c>
      <c r="AT68" s="1113"/>
      <c r="AU68" s="1112"/>
      <c r="AV68" s="1112"/>
      <c r="AW68" s="1112"/>
      <c r="AX68" s="1113"/>
      <c r="AY68" s="951"/>
      <c r="AZ68" s="974"/>
      <c r="BA68" s="974"/>
      <c r="BB68" s="999"/>
      <c r="BC68" s="1000"/>
      <c r="BD68" s="999"/>
      <c r="BE68" s="999"/>
      <c r="BF68" s="999"/>
      <c r="BG68" s="1001"/>
      <c r="BH68" s="1002">
        <v>96899</v>
      </c>
      <c r="BI68" s="1112">
        <v>68011</v>
      </c>
      <c r="BJ68" s="974">
        <v>28888</v>
      </c>
      <c r="BK68" s="953">
        <v>0.42475481907338519</v>
      </c>
      <c r="BL68" s="964"/>
      <c r="BM68" s="1000">
        <v>96899</v>
      </c>
      <c r="BN68" s="1000">
        <v>68011</v>
      </c>
      <c r="BO68" s="1000">
        <v>32824.86</v>
      </c>
      <c r="BP68" s="1000">
        <v>-18612.479999999996</v>
      </c>
      <c r="BQ68" s="1000">
        <v>24570.949999999997</v>
      </c>
      <c r="BR68" s="1000">
        <v>55448.80000000001</v>
      </c>
      <c r="BS68" s="1115">
        <v>14487.349999999995</v>
      </c>
      <c r="BT68" s="1115">
        <v>20776.224999999999</v>
      </c>
      <c r="BU68" s="1115">
        <v>114126.4503</v>
      </c>
      <c r="BV68" s="1115">
        <v>42043</v>
      </c>
      <c r="BW68" s="1115">
        <v>-1417</v>
      </c>
      <c r="BX68" s="1115">
        <v>79346.395000000004</v>
      </c>
      <c r="BY68" s="1115">
        <v>93256</v>
      </c>
      <c r="BZ68" s="1000"/>
      <c r="CA68" s="1000"/>
      <c r="CB68" s="1000"/>
      <c r="CC68" s="949"/>
    </row>
    <row r="69" spans="1:81" ht="9.75" customHeight="1" x14ac:dyDescent="0.2">
      <c r="A69" s="965"/>
      <c r="B69" s="941"/>
      <c r="C69" s="968"/>
      <c r="D69" s="969"/>
      <c r="E69" s="933"/>
      <c r="F69" s="933"/>
      <c r="G69" s="932"/>
      <c r="H69" s="1116"/>
      <c r="I69" s="1086"/>
      <c r="J69" s="1012"/>
      <c r="K69" s="1118"/>
      <c r="L69" s="1116"/>
      <c r="M69" s="1086"/>
      <c r="N69" s="1012"/>
      <c r="O69" s="1118"/>
      <c r="P69" s="1116"/>
      <c r="Q69" s="1086"/>
      <c r="R69" s="1012"/>
      <c r="S69" s="1118"/>
      <c r="T69" s="1116"/>
      <c r="U69" s="1086"/>
      <c r="V69" s="1012"/>
      <c r="W69" s="1118"/>
      <c r="X69" s="1086"/>
      <c r="Y69" s="1086"/>
      <c r="Z69" s="1012"/>
      <c r="AA69" s="1118"/>
      <c r="AB69" s="1086"/>
      <c r="AC69" s="1086"/>
      <c r="AD69" s="1012"/>
      <c r="AE69" s="1118"/>
      <c r="AF69" s="1086"/>
      <c r="AG69" s="1086"/>
      <c r="AH69" s="1012"/>
      <c r="AI69" s="1118"/>
      <c r="AJ69" s="1086"/>
      <c r="AK69" s="1086"/>
      <c r="AL69" s="1012"/>
      <c r="AM69" s="1118"/>
      <c r="AN69" s="1086"/>
      <c r="AO69" s="1086"/>
      <c r="AP69" s="1012"/>
      <c r="AQ69" s="1118"/>
      <c r="AR69" s="971"/>
      <c r="AS69" s="971"/>
      <c r="AT69" s="1012"/>
      <c r="AU69" s="1086"/>
      <c r="AV69" s="971"/>
      <c r="AW69" s="971"/>
      <c r="AX69" s="1012"/>
      <c r="AY69" s="1111"/>
      <c r="AZ69" s="971"/>
      <c r="BA69" s="971"/>
      <c r="BB69" s="1012"/>
      <c r="BC69" s="1001"/>
      <c r="BD69" s="1012"/>
      <c r="BE69" s="1012"/>
      <c r="BF69" s="1012"/>
      <c r="BG69" s="1001"/>
      <c r="BH69" s="971"/>
      <c r="BI69" s="1116"/>
      <c r="BJ69" s="1013"/>
      <c r="BK69" s="1045"/>
      <c r="BL69" s="964"/>
      <c r="BM69" s="1001"/>
      <c r="BN69" s="1001"/>
      <c r="BO69" s="1001"/>
      <c r="BP69" s="1001"/>
      <c r="BQ69" s="1001"/>
      <c r="BR69" s="1001"/>
      <c r="BS69" s="1001"/>
      <c r="BT69" s="1001"/>
      <c r="BU69" s="1001"/>
      <c r="BV69" s="1001"/>
      <c r="BW69" s="1001"/>
      <c r="BX69" s="1001"/>
      <c r="BY69" s="1001"/>
      <c r="BZ69" s="1001"/>
      <c r="CA69" s="1001"/>
      <c r="CB69" s="1001"/>
      <c r="CC69" s="949"/>
    </row>
    <row r="70" spans="1:81" ht="12.75" customHeight="1" x14ac:dyDescent="0.2">
      <c r="A70" s="947" t="s">
        <v>12</v>
      </c>
      <c r="B70" s="946"/>
      <c r="C70" s="968"/>
      <c r="D70" s="969"/>
      <c r="E70" s="933"/>
      <c r="F70" s="933"/>
      <c r="G70" s="932"/>
      <c r="H70" s="1086"/>
      <c r="I70" s="1086"/>
      <c r="J70" s="1113"/>
      <c r="K70" s="1118"/>
      <c r="L70" s="1086"/>
      <c r="M70" s="1086"/>
      <c r="N70" s="1113"/>
      <c r="O70" s="1118"/>
      <c r="P70" s="1086"/>
      <c r="Q70" s="1086"/>
      <c r="R70" s="1113"/>
      <c r="S70" s="1118"/>
      <c r="T70" s="1086"/>
      <c r="U70" s="1086"/>
      <c r="V70" s="1113"/>
      <c r="W70" s="1118"/>
      <c r="X70" s="1086"/>
      <c r="Y70" s="1086"/>
      <c r="Z70" s="1113"/>
      <c r="AA70" s="1118"/>
      <c r="AB70" s="1086"/>
      <c r="AC70" s="1086"/>
      <c r="AD70" s="1113"/>
      <c r="AE70" s="1118"/>
      <c r="AF70" s="1086"/>
      <c r="AG70" s="1086"/>
      <c r="AH70" s="1113"/>
      <c r="AI70" s="1118"/>
      <c r="AJ70" s="1086"/>
      <c r="AK70" s="1086"/>
      <c r="AL70" s="1113"/>
      <c r="AM70" s="1118"/>
      <c r="AN70" s="1086"/>
      <c r="AO70" s="1086"/>
      <c r="AP70" s="1113"/>
      <c r="AQ70" s="1118"/>
      <c r="AR70" s="971"/>
      <c r="AS70" s="971"/>
      <c r="AT70" s="1012"/>
      <c r="AU70" s="1086"/>
      <c r="AV70" s="971"/>
      <c r="AW70" s="971"/>
      <c r="AX70" s="1012"/>
      <c r="AY70" s="1111"/>
      <c r="AZ70" s="971"/>
      <c r="BA70" s="971"/>
      <c r="BB70" s="1012"/>
      <c r="BC70" s="1001"/>
      <c r="BD70" s="1012"/>
      <c r="BE70" s="1012"/>
      <c r="BF70" s="1012"/>
      <c r="BG70" s="1001"/>
      <c r="BH70" s="946"/>
      <c r="BI70" s="971"/>
      <c r="BJ70" s="1013"/>
      <c r="BK70" s="1045"/>
      <c r="BL70" s="964"/>
      <c r="BM70" s="1001"/>
      <c r="BN70" s="1001"/>
      <c r="BO70" s="1001"/>
      <c r="BP70" s="1001"/>
      <c r="BQ70" s="1001"/>
      <c r="BR70" s="1001"/>
      <c r="BS70" s="1001"/>
      <c r="BT70" s="1001"/>
      <c r="BU70" s="1001"/>
      <c r="BV70" s="1001"/>
      <c r="BW70" s="1001"/>
      <c r="BX70" s="1001"/>
      <c r="BY70" s="1001"/>
      <c r="BZ70" s="1001"/>
      <c r="CA70" s="1001"/>
      <c r="CB70" s="1001"/>
    </row>
    <row r="71" spans="1:81" ht="12.75" customHeight="1" x14ac:dyDescent="0.2">
      <c r="A71" s="946" t="s">
        <v>13</v>
      </c>
      <c r="B71" s="946"/>
      <c r="C71" s="968"/>
      <c r="D71" s="969"/>
      <c r="E71" s="933"/>
      <c r="F71" s="2952"/>
      <c r="G71" s="2729"/>
      <c r="H71" s="1086"/>
      <c r="I71" s="1086"/>
      <c r="J71" s="1012"/>
      <c r="K71" s="955"/>
      <c r="L71" s="1086"/>
      <c r="M71" s="1086"/>
      <c r="N71" s="1012"/>
      <c r="O71" s="955"/>
      <c r="P71" s="1086"/>
      <c r="Q71" s="1086"/>
      <c r="R71" s="1012"/>
      <c r="S71" s="955"/>
      <c r="T71" s="1086"/>
      <c r="U71" s="1086"/>
      <c r="V71" s="1012"/>
      <c r="W71" s="1118"/>
      <c r="X71" s="1086"/>
      <c r="Y71" s="1086"/>
      <c r="Z71" s="1012"/>
      <c r="AA71" s="1118"/>
      <c r="AB71" s="1086"/>
      <c r="AC71" s="1086"/>
      <c r="AD71" s="1012"/>
      <c r="AE71" s="1118"/>
      <c r="AF71" s="1086"/>
      <c r="AG71" s="1086"/>
      <c r="AH71" s="1012"/>
      <c r="AI71" s="1118"/>
      <c r="AJ71" s="1086"/>
      <c r="AK71" s="1086"/>
      <c r="AL71" s="1012"/>
      <c r="AM71" s="1118"/>
      <c r="AN71" s="1086"/>
      <c r="AO71" s="1086"/>
      <c r="AP71" s="1012"/>
      <c r="AQ71" s="1118"/>
      <c r="AR71" s="971"/>
      <c r="AS71" s="971"/>
      <c r="AT71" s="1012"/>
      <c r="AU71" s="1086"/>
      <c r="AV71" s="971"/>
      <c r="AW71" s="971"/>
      <c r="AX71" s="1012"/>
      <c r="AY71" s="1111"/>
      <c r="AZ71" s="971"/>
      <c r="BA71" s="971"/>
      <c r="BB71" s="1012"/>
      <c r="BC71" s="1001"/>
      <c r="BD71" s="1012"/>
      <c r="BE71" s="1012"/>
      <c r="BF71" s="1012"/>
      <c r="BG71" s="1001"/>
      <c r="BH71" s="946"/>
      <c r="BI71" s="946"/>
      <c r="BJ71" s="1013"/>
      <c r="BK71" s="1045"/>
      <c r="BL71" s="964"/>
      <c r="BM71" s="1001"/>
      <c r="BN71" s="1001"/>
      <c r="BO71" s="1001"/>
      <c r="BP71" s="1001"/>
      <c r="BQ71" s="1001"/>
      <c r="BR71" s="1001"/>
      <c r="BS71" s="1001"/>
      <c r="BT71" s="1001"/>
      <c r="BU71" s="1001"/>
      <c r="BV71" s="1001"/>
      <c r="BW71" s="1001"/>
      <c r="BX71" s="1001"/>
      <c r="BY71" s="1001"/>
      <c r="BZ71" s="1001"/>
      <c r="CA71" s="1001"/>
      <c r="CB71" s="1001"/>
    </row>
    <row r="72" spans="1:81" ht="12.75" customHeight="1" x14ac:dyDescent="0.2">
      <c r="A72" s="946"/>
      <c r="B72" s="946" t="s">
        <v>617</v>
      </c>
      <c r="C72" s="2818">
        <v>5.0000000000000017E-2</v>
      </c>
      <c r="D72" s="952">
        <v>0.21739130434782614</v>
      </c>
      <c r="E72" s="909"/>
      <c r="F72" s="2952">
        <v>0.28000000000000003</v>
      </c>
      <c r="G72" s="2729">
        <v>0.15</v>
      </c>
      <c r="H72" s="1119">
        <v>0.35</v>
      </c>
      <c r="I72" s="1119">
        <v>0.27</v>
      </c>
      <c r="J72" s="1014">
        <v>0.23</v>
      </c>
      <c r="K72" s="955">
        <v>0.36</v>
      </c>
      <c r="L72" s="1013">
        <v>0.38</v>
      </c>
      <c r="M72" s="1119">
        <v>0.01</v>
      </c>
      <c r="N72" s="1014">
        <v>-0.01</v>
      </c>
      <c r="O72" s="955">
        <v>0.31</v>
      </c>
      <c r="P72" s="1013">
        <v>0.03</v>
      </c>
      <c r="Q72" s="1119">
        <v>-0.03</v>
      </c>
      <c r="R72" s="1014">
        <v>0.05</v>
      </c>
      <c r="S72" s="955">
        <v>-0.06</v>
      </c>
      <c r="T72" s="1013">
        <v>-0.25</v>
      </c>
      <c r="U72" s="1119">
        <v>-0.01</v>
      </c>
      <c r="V72" s="1014">
        <v>0.1</v>
      </c>
      <c r="W72" s="1120">
        <v>0.05</v>
      </c>
      <c r="X72" s="1013">
        <v>-0.19</v>
      </c>
      <c r="Y72" s="1121">
        <v>0.19</v>
      </c>
      <c r="Z72" s="1014">
        <v>0.22</v>
      </c>
      <c r="AA72" s="1120">
        <v>0.28000000000000003</v>
      </c>
      <c r="AB72" s="1121">
        <v>0.18</v>
      </c>
      <c r="AC72" s="1121">
        <v>0.03</v>
      </c>
      <c r="AD72" s="1014">
        <v>0.1</v>
      </c>
      <c r="AE72" s="1120">
        <v>0.14000000000000001</v>
      </c>
      <c r="AF72" s="1121">
        <v>0.19</v>
      </c>
      <c r="AG72" s="1121">
        <v>0.03</v>
      </c>
      <c r="AH72" s="1014">
        <v>-0.2</v>
      </c>
      <c r="AI72" s="1120">
        <v>0.02</v>
      </c>
      <c r="AJ72" s="1121">
        <v>0.12</v>
      </c>
      <c r="AK72" s="1121">
        <v>-0.05</v>
      </c>
      <c r="AL72" s="1016">
        <v>0.19</v>
      </c>
      <c r="AM72" s="1120">
        <v>0.56000000000000005</v>
      </c>
      <c r="AN72" s="1121">
        <v>0.61</v>
      </c>
      <c r="AO72" s="1121">
        <v>0.16</v>
      </c>
      <c r="AP72" s="1016">
        <v>0.21</v>
      </c>
      <c r="AQ72" s="1120">
        <v>0.22</v>
      </c>
      <c r="AR72" s="1121">
        <v>0.31</v>
      </c>
      <c r="AS72" s="1121">
        <v>0.14000000000000001</v>
      </c>
      <c r="AT72" s="1012">
        <v>0.19</v>
      </c>
      <c r="AU72" s="1121">
        <v>0.08</v>
      </c>
      <c r="AV72" s="1121">
        <v>-0.33</v>
      </c>
      <c r="AW72" s="1121">
        <v>-0.11</v>
      </c>
      <c r="AX72" s="1012">
        <v>0.35</v>
      </c>
      <c r="AY72" s="1111">
        <v>0.16</v>
      </c>
      <c r="AZ72" s="1013">
        <v>0.40129999999999999</v>
      </c>
      <c r="BA72" s="1013">
        <v>0.34039999999999998</v>
      </c>
      <c r="BB72" s="1018">
        <v>0.86</v>
      </c>
      <c r="BC72" s="1017">
        <v>0.56999999999999995</v>
      </c>
      <c r="BD72" s="1018">
        <v>0.51</v>
      </c>
      <c r="BE72" s="1018">
        <v>0.39</v>
      </c>
      <c r="BF72" s="1018">
        <v>0.56999999999999995</v>
      </c>
      <c r="BG72" s="1001"/>
      <c r="BH72" s="1021">
        <v>1.01</v>
      </c>
      <c r="BI72" s="1021">
        <v>0.73</v>
      </c>
      <c r="BJ72" s="1019">
        <v>0.28000000000000003</v>
      </c>
      <c r="BK72" s="953">
        <v>0.38356164383561647</v>
      </c>
      <c r="BL72" s="964"/>
      <c r="BM72" s="1022">
        <v>1.01</v>
      </c>
      <c r="BN72" s="1017">
        <v>0.73</v>
      </c>
      <c r="BO72" s="1017">
        <v>0.36</v>
      </c>
      <c r="BP72" s="1017">
        <v>-0.21</v>
      </c>
      <c r="BQ72" s="1017">
        <v>0.27</v>
      </c>
      <c r="BR72" s="1017">
        <v>0.59</v>
      </c>
      <c r="BS72" s="1017">
        <v>0.16</v>
      </c>
      <c r="BT72" s="1017">
        <v>0.28000000000000003</v>
      </c>
      <c r="BU72" s="1017">
        <v>1.56</v>
      </c>
      <c r="BV72" s="1017">
        <v>0.86</v>
      </c>
      <c r="BW72" s="1017">
        <v>-0.03</v>
      </c>
      <c r="BX72" s="1017">
        <v>1.77</v>
      </c>
      <c r="BY72" s="1017">
        <v>2.0299999999999998</v>
      </c>
      <c r="BZ72" s="1017">
        <v>1.82</v>
      </c>
      <c r="CA72" s="1017">
        <v>1.17</v>
      </c>
      <c r="CB72" s="1017">
        <v>1.43</v>
      </c>
    </row>
    <row r="73" spans="1:81" ht="12.75" customHeight="1" x14ac:dyDescent="0.2">
      <c r="A73" s="946"/>
      <c r="B73" s="946" t="s">
        <v>618</v>
      </c>
      <c r="C73" s="2818">
        <v>4.0000000000000008E-2</v>
      </c>
      <c r="D73" s="952">
        <v>0.21052631578947373</v>
      </c>
      <c r="E73" s="909"/>
      <c r="F73" s="2952">
        <v>0.23</v>
      </c>
      <c r="G73" s="2729">
        <v>0.12</v>
      </c>
      <c r="H73" s="1119">
        <v>0.28000000000000003</v>
      </c>
      <c r="I73" s="1119">
        <v>0.23</v>
      </c>
      <c r="J73" s="1014">
        <v>0.19</v>
      </c>
      <c r="K73" s="955">
        <v>0.28000000000000003</v>
      </c>
      <c r="L73" s="1013">
        <v>0.31</v>
      </c>
      <c r="M73" s="1119">
        <v>0.01</v>
      </c>
      <c r="N73" s="1014">
        <v>-0.01</v>
      </c>
      <c r="O73" s="955">
        <v>0.27</v>
      </c>
      <c r="P73" s="1013">
        <v>0.03</v>
      </c>
      <c r="Q73" s="1119">
        <v>-0.03</v>
      </c>
      <c r="R73" s="1014">
        <v>0.05</v>
      </c>
      <c r="S73" s="955">
        <v>-0.06</v>
      </c>
      <c r="T73" s="1013">
        <v>-0.25</v>
      </c>
      <c r="U73" s="1119">
        <v>-0.01</v>
      </c>
      <c r="V73" s="1014">
        <v>0.1</v>
      </c>
      <c r="W73" s="1120">
        <v>0.05</v>
      </c>
      <c r="X73" s="1013">
        <v>-0.19</v>
      </c>
      <c r="Y73" s="1121">
        <v>0.17</v>
      </c>
      <c r="Z73" s="1014">
        <v>0.2</v>
      </c>
      <c r="AA73" s="1120">
        <v>0.25</v>
      </c>
      <c r="AB73" s="1121">
        <v>0.17</v>
      </c>
      <c r="AC73" s="1121">
        <v>0.03</v>
      </c>
      <c r="AD73" s="1014">
        <v>0.09</v>
      </c>
      <c r="AE73" s="1120">
        <v>0.12</v>
      </c>
      <c r="AF73" s="1121">
        <v>0.17</v>
      </c>
      <c r="AG73" s="1121">
        <v>0.03</v>
      </c>
      <c r="AH73" s="1014">
        <v>-0.2</v>
      </c>
      <c r="AI73" s="1120">
        <v>0.02</v>
      </c>
      <c r="AJ73" s="1121">
        <v>0.11</v>
      </c>
      <c r="AK73" s="1121">
        <v>-0.05</v>
      </c>
      <c r="AL73" s="1016">
        <v>0.17</v>
      </c>
      <c r="AM73" s="1120">
        <v>0.5</v>
      </c>
      <c r="AN73" s="1121">
        <v>0.55000000000000004</v>
      </c>
      <c r="AO73" s="1121">
        <v>0.15</v>
      </c>
      <c r="AP73" s="1016">
        <v>0.19</v>
      </c>
      <c r="AQ73" s="1120">
        <v>0.21</v>
      </c>
      <c r="AR73" s="1121">
        <v>0.27</v>
      </c>
      <c r="AS73" s="1121">
        <v>0.12</v>
      </c>
      <c r="AT73" s="1012">
        <v>0.16</v>
      </c>
      <c r="AU73" s="1121">
        <v>7.0000000000000007E-2</v>
      </c>
      <c r="AV73" s="1121">
        <v>-0.33</v>
      </c>
      <c r="AW73" s="1121">
        <v>-0.11</v>
      </c>
      <c r="AX73" s="1012">
        <v>0.31</v>
      </c>
      <c r="AY73" s="1111">
        <v>0.15</v>
      </c>
      <c r="AZ73" s="1013">
        <v>0.35899999999999999</v>
      </c>
      <c r="BA73" s="1013">
        <v>0.3135</v>
      </c>
      <c r="BB73" s="1018">
        <v>0.8</v>
      </c>
      <c r="BC73" s="1017">
        <v>0.54</v>
      </c>
      <c r="BD73" s="1018">
        <v>0.49</v>
      </c>
      <c r="BE73" s="1018">
        <v>0.37</v>
      </c>
      <c r="BF73" s="1018">
        <v>0.54</v>
      </c>
      <c r="BG73" s="1001"/>
      <c r="BH73" s="1021">
        <v>0.8</v>
      </c>
      <c r="BI73" s="1021">
        <v>0.59</v>
      </c>
      <c r="BJ73" s="1019">
        <v>0.21000000000000008</v>
      </c>
      <c r="BK73" s="953">
        <v>0.35593220338983067</v>
      </c>
      <c r="BL73" s="964"/>
      <c r="BM73" s="1022">
        <v>0.8</v>
      </c>
      <c r="BN73" s="1017">
        <v>0.59</v>
      </c>
      <c r="BO73" s="1017">
        <v>0.32</v>
      </c>
      <c r="BP73" s="1017">
        <v>-0.21</v>
      </c>
      <c r="BQ73" s="1017">
        <v>0.25</v>
      </c>
      <c r="BR73" s="1017">
        <v>0.54</v>
      </c>
      <c r="BS73" s="1017">
        <v>0.14000000000000001</v>
      </c>
      <c r="BT73" s="1017">
        <v>0.25</v>
      </c>
      <c r="BU73" s="1017">
        <v>1.4</v>
      </c>
      <c r="BV73" s="1017">
        <v>0.76</v>
      </c>
      <c r="BW73" s="1017">
        <v>-0.03</v>
      </c>
      <c r="BX73" s="1017">
        <v>1.63</v>
      </c>
      <c r="BY73" s="1017">
        <v>1.94</v>
      </c>
      <c r="BZ73" s="1017">
        <v>1.74</v>
      </c>
      <c r="CA73" s="1017">
        <v>1.1100000000000001</v>
      </c>
      <c r="CB73" s="1017">
        <v>1.1200000000000001</v>
      </c>
    </row>
    <row r="74" spans="1:81" ht="12.75" customHeight="1" x14ac:dyDescent="0.2">
      <c r="A74" s="946"/>
      <c r="B74" s="946"/>
      <c r="C74" s="955"/>
      <c r="D74" s="952"/>
      <c r="E74" s="909"/>
      <c r="F74" s="2952"/>
      <c r="G74" s="2729"/>
      <c r="H74" s="1013"/>
      <c r="I74" s="1119"/>
      <c r="J74" s="1014"/>
      <c r="K74" s="955"/>
      <c r="L74" s="1013"/>
      <c r="M74" s="1119"/>
      <c r="N74" s="1014"/>
      <c r="O74" s="955"/>
      <c r="P74" s="1013"/>
      <c r="Q74" s="1119"/>
      <c r="R74" s="1014"/>
      <c r="S74" s="955"/>
      <c r="T74" s="1013"/>
      <c r="U74" s="1119"/>
      <c r="V74" s="1014"/>
      <c r="W74" s="1120"/>
      <c r="X74" s="1013"/>
      <c r="Y74" s="1121"/>
      <c r="Z74" s="1014"/>
      <c r="AA74" s="1120"/>
      <c r="AB74" s="1121"/>
      <c r="AC74" s="1121"/>
      <c r="AD74" s="1014"/>
      <c r="AE74" s="1120"/>
      <c r="AF74" s="1121"/>
      <c r="AG74" s="1121"/>
      <c r="AH74" s="1014"/>
      <c r="AI74" s="1120"/>
      <c r="AJ74" s="1121"/>
      <c r="AK74" s="1121"/>
      <c r="AL74" s="1016"/>
      <c r="AM74" s="1120"/>
      <c r="AN74" s="1121"/>
      <c r="AO74" s="1121"/>
      <c r="AP74" s="1016"/>
      <c r="AQ74" s="1120"/>
      <c r="AR74" s="1121"/>
      <c r="AS74" s="1121"/>
      <c r="AT74" s="1012"/>
      <c r="AU74" s="1121"/>
      <c r="AV74" s="1121"/>
      <c r="AW74" s="1121"/>
      <c r="AX74" s="1012"/>
      <c r="AY74" s="1111"/>
      <c r="AZ74" s="1013"/>
      <c r="BA74" s="1013"/>
      <c r="BB74" s="1018"/>
      <c r="BC74" s="1017"/>
      <c r="BD74" s="1018"/>
      <c r="BE74" s="1018"/>
      <c r="BF74" s="1018"/>
      <c r="BG74" s="1001"/>
      <c r="BH74" s="1021"/>
      <c r="BI74" s="1020"/>
      <c r="BJ74" s="1019"/>
      <c r="BK74" s="953"/>
      <c r="BL74" s="964"/>
      <c r="BM74" s="1017"/>
      <c r="BN74" s="1017"/>
      <c r="BO74" s="1017"/>
      <c r="BP74" s="1017"/>
      <c r="BQ74" s="1017"/>
      <c r="BR74" s="1017"/>
      <c r="BS74" s="1017"/>
      <c r="BT74" s="1017"/>
      <c r="BU74" s="1017"/>
      <c r="BV74" s="1017"/>
      <c r="BW74" s="1017"/>
      <c r="BX74" s="1017"/>
      <c r="BY74" s="1017"/>
      <c r="BZ74" s="1017"/>
      <c r="CA74" s="1017"/>
      <c r="CB74" s="1017"/>
    </row>
    <row r="75" spans="1:81" ht="12.75" customHeight="1" x14ac:dyDescent="0.2">
      <c r="A75" s="946"/>
      <c r="B75" s="946" t="s">
        <v>544</v>
      </c>
      <c r="C75" s="951">
        <v>5722</v>
      </c>
      <c r="D75" s="952">
        <v>6.0638173860517362E-2</v>
      </c>
      <c r="E75" s="909"/>
      <c r="F75" s="2951">
        <v>100085</v>
      </c>
      <c r="G75" s="1954">
        <v>96696</v>
      </c>
      <c r="H75" s="1116">
        <v>97163</v>
      </c>
      <c r="I75" s="1116">
        <v>96583</v>
      </c>
      <c r="J75" s="1117">
        <v>94363</v>
      </c>
      <c r="K75" s="2552">
        <v>92730</v>
      </c>
      <c r="L75" s="1116">
        <v>92030</v>
      </c>
      <c r="M75" s="1116">
        <v>92529</v>
      </c>
      <c r="N75" s="1117">
        <v>93069</v>
      </c>
      <c r="O75" s="2552">
        <v>91985</v>
      </c>
      <c r="P75" s="1116">
        <v>91229</v>
      </c>
      <c r="Q75" s="1116">
        <v>92249</v>
      </c>
      <c r="R75" s="1117">
        <v>89786</v>
      </c>
      <c r="S75" s="1198">
        <v>88948</v>
      </c>
      <c r="T75" s="1013"/>
      <c r="U75" s="1119"/>
      <c r="V75" s="1014"/>
      <c r="W75" s="1120"/>
      <c r="X75" s="1013"/>
      <c r="Y75" s="1121"/>
      <c r="Z75" s="1014"/>
      <c r="AA75" s="1120"/>
      <c r="AB75" s="1121"/>
      <c r="AC75" s="1121"/>
      <c r="AD75" s="1014"/>
      <c r="AE75" s="1120"/>
      <c r="AF75" s="1121"/>
      <c r="AG75" s="1121"/>
      <c r="AH75" s="1014"/>
      <c r="AI75" s="1120"/>
      <c r="AJ75" s="1121"/>
      <c r="AK75" s="1121"/>
      <c r="AL75" s="1016"/>
      <c r="AM75" s="1120"/>
      <c r="AN75" s="1121"/>
      <c r="AO75" s="1121"/>
      <c r="AP75" s="1016"/>
      <c r="AQ75" s="1120"/>
      <c r="AR75" s="1121"/>
      <c r="AS75" s="1121"/>
      <c r="AT75" s="1012"/>
      <c r="AU75" s="1121"/>
      <c r="AV75" s="1121"/>
      <c r="AW75" s="1121"/>
      <c r="AX75" s="1012"/>
      <c r="AY75" s="1111"/>
      <c r="AZ75" s="1013"/>
      <c r="BA75" s="1013"/>
      <c r="BB75" s="1018"/>
      <c r="BC75" s="1017"/>
      <c r="BD75" s="1018"/>
      <c r="BE75" s="1018"/>
      <c r="BF75" s="1018"/>
      <c r="BG75" s="1001"/>
      <c r="BH75" s="1006">
        <v>96259</v>
      </c>
      <c r="BI75" s="1006">
        <v>92587</v>
      </c>
      <c r="BJ75" s="1116">
        <v>3672</v>
      </c>
      <c r="BK75" s="1035">
        <v>3.9659995463726012E-2</v>
      </c>
      <c r="BL75" s="964"/>
      <c r="BM75" s="1000">
        <v>96260</v>
      </c>
      <c r="BN75" s="2554">
        <v>92587</v>
      </c>
      <c r="BO75" s="2554">
        <v>91657</v>
      </c>
      <c r="BP75" s="2554">
        <v>90553</v>
      </c>
      <c r="BQ75" s="2554">
        <v>91693</v>
      </c>
      <c r="BR75" s="2554">
        <v>94124.672000000006</v>
      </c>
      <c r="BS75" s="1017"/>
      <c r="BT75" s="1017"/>
      <c r="BU75" s="1017"/>
      <c r="BV75" s="1017"/>
      <c r="BW75" s="1017"/>
      <c r="BX75" s="1017"/>
      <c r="BY75" s="1017"/>
      <c r="BZ75" s="1017"/>
      <c r="CA75" s="1017"/>
      <c r="CB75" s="1017"/>
    </row>
    <row r="76" spans="1:81" ht="12.75" customHeight="1" x14ac:dyDescent="0.2">
      <c r="A76" s="946"/>
      <c r="B76" s="946" t="s">
        <v>545</v>
      </c>
      <c r="C76" s="951">
        <v>12369</v>
      </c>
      <c r="D76" s="952">
        <v>0.10523136607651798</v>
      </c>
      <c r="E76" s="909"/>
      <c r="F76" s="2951">
        <v>129910</v>
      </c>
      <c r="G76" s="1954">
        <v>131510</v>
      </c>
      <c r="H76" s="1116">
        <v>129169</v>
      </c>
      <c r="I76" s="1116">
        <v>129133</v>
      </c>
      <c r="J76" s="2553">
        <v>117541</v>
      </c>
      <c r="K76" s="2552">
        <v>121418</v>
      </c>
      <c r="L76" s="1116">
        <v>113613</v>
      </c>
      <c r="M76" s="1116">
        <v>104741</v>
      </c>
      <c r="N76" s="2553" t="s">
        <v>181</v>
      </c>
      <c r="O76" s="2552">
        <v>102296</v>
      </c>
      <c r="P76" s="1116">
        <v>98647</v>
      </c>
      <c r="Q76" s="2824" t="s">
        <v>181</v>
      </c>
      <c r="R76" s="1117">
        <v>92849</v>
      </c>
      <c r="S76" s="1396" t="s">
        <v>181</v>
      </c>
      <c r="T76" s="1013"/>
      <c r="U76" s="1119"/>
      <c r="V76" s="1014"/>
      <c r="W76" s="1120"/>
      <c r="X76" s="1013"/>
      <c r="Y76" s="1121"/>
      <c r="Z76" s="1014"/>
      <c r="AA76" s="1120"/>
      <c r="AB76" s="1121"/>
      <c r="AC76" s="1121"/>
      <c r="AD76" s="1014"/>
      <c r="AE76" s="1120"/>
      <c r="AF76" s="1121"/>
      <c r="AG76" s="1121"/>
      <c r="AH76" s="1014"/>
      <c r="AI76" s="1120"/>
      <c r="AJ76" s="1121"/>
      <c r="AK76" s="1121"/>
      <c r="AL76" s="1016"/>
      <c r="AM76" s="1120"/>
      <c r="AN76" s="1121"/>
      <c r="AO76" s="1121"/>
      <c r="AP76" s="1016"/>
      <c r="AQ76" s="1120"/>
      <c r="AR76" s="1121"/>
      <c r="AS76" s="1121"/>
      <c r="AT76" s="1012"/>
      <c r="AU76" s="1121"/>
      <c r="AV76" s="1121"/>
      <c r="AW76" s="1121"/>
      <c r="AX76" s="1012"/>
      <c r="AY76" s="1111"/>
      <c r="AZ76" s="1013"/>
      <c r="BA76" s="1013"/>
      <c r="BB76" s="1018"/>
      <c r="BC76" s="1017"/>
      <c r="BD76" s="1018"/>
      <c r="BE76" s="1018"/>
      <c r="BF76" s="1018"/>
      <c r="BG76" s="1001"/>
      <c r="BH76" s="1009">
        <v>130944</v>
      </c>
      <c r="BI76" s="1006">
        <v>120093</v>
      </c>
      <c r="BJ76" s="1116">
        <v>10851</v>
      </c>
      <c r="BK76" s="1035">
        <v>9.0354974894456791E-2</v>
      </c>
      <c r="BL76" s="964"/>
      <c r="BM76" s="1000">
        <v>130944</v>
      </c>
      <c r="BN76" s="2554">
        <v>120093</v>
      </c>
      <c r="BO76" s="2554">
        <v>101149</v>
      </c>
      <c r="BP76" s="2555" t="s">
        <v>181</v>
      </c>
      <c r="BQ76" s="2555" t="s">
        <v>181</v>
      </c>
      <c r="BR76" s="2554">
        <v>101992.679</v>
      </c>
      <c r="BS76" s="1017"/>
      <c r="BT76" s="1017"/>
      <c r="BU76" s="1017"/>
      <c r="BV76" s="1017"/>
      <c r="BW76" s="1017"/>
      <c r="BX76" s="1017"/>
      <c r="BY76" s="1017"/>
      <c r="BZ76" s="1017"/>
      <c r="CA76" s="1017"/>
      <c r="CB76" s="1017"/>
    </row>
    <row r="77" spans="1:81" ht="12.75" customHeight="1" x14ac:dyDescent="0.2">
      <c r="A77" s="946"/>
      <c r="B77" s="946"/>
      <c r="C77" s="955"/>
      <c r="D77" s="952"/>
      <c r="E77" s="909"/>
      <c r="F77" s="2952"/>
      <c r="G77" s="2729"/>
      <c r="H77" s="1013"/>
      <c r="I77" s="1119"/>
      <c r="J77" s="1014"/>
      <c r="K77" s="955"/>
      <c r="L77" s="1013"/>
      <c r="M77" s="1119"/>
      <c r="N77" s="1014"/>
      <c r="O77" s="2552"/>
      <c r="P77" s="1116"/>
      <c r="Q77" s="1116"/>
      <c r="R77" s="1117"/>
      <c r="S77" s="2552"/>
      <c r="T77" s="1013"/>
      <c r="U77" s="1119"/>
      <c r="V77" s="1014"/>
      <c r="W77" s="1120"/>
      <c r="X77" s="1013"/>
      <c r="Y77" s="1121"/>
      <c r="Z77" s="1014"/>
      <c r="AA77" s="1120"/>
      <c r="AB77" s="1121"/>
      <c r="AC77" s="1121"/>
      <c r="AD77" s="1014"/>
      <c r="AE77" s="1120"/>
      <c r="AF77" s="1121"/>
      <c r="AG77" s="1121"/>
      <c r="AH77" s="1014"/>
      <c r="AI77" s="1120"/>
      <c r="AJ77" s="1121"/>
      <c r="AK77" s="1121"/>
      <c r="AL77" s="1016"/>
      <c r="AM77" s="1120"/>
      <c r="AN77" s="1121"/>
      <c r="AO77" s="1121"/>
      <c r="AP77" s="1016"/>
      <c r="AQ77" s="1120"/>
      <c r="AR77" s="1121"/>
      <c r="AS77" s="1121"/>
      <c r="AT77" s="1012"/>
      <c r="AU77" s="1121"/>
      <c r="AV77" s="1121"/>
      <c r="AW77" s="1121"/>
      <c r="AX77" s="1012"/>
      <c r="AY77" s="1111"/>
      <c r="AZ77" s="1013"/>
      <c r="BA77" s="1013"/>
      <c r="BB77" s="1018"/>
      <c r="BC77" s="1017"/>
      <c r="BD77" s="1018"/>
      <c r="BE77" s="1018"/>
      <c r="BF77" s="1018"/>
      <c r="BG77" s="1001"/>
      <c r="BH77" s="1021"/>
      <c r="BI77" s="1020"/>
      <c r="BJ77" s="1019"/>
      <c r="BK77" s="953"/>
      <c r="BL77" s="964"/>
      <c r="BM77" s="1017"/>
      <c r="BN77" s="1017"/>
      <c r="BO77" s="1017"/>
      <c r="BP77" s="1017"/>
      <c r="BQ77" s="1017"/>
      <c r="BR77" s="1017"/>
      <c r="BS77" s="1017"/>
      <c r="BT77" s="1017"/>
      <c r="BU77" s="1017"/>
      <c r="BV77" s="1017"/>
      <c r="BW77" s="1017"/>
      <c r="BX77" s="1017"/>
      <c r="BY77" s="1017"/>
      <c r="BZ77" s="1017"/>
      <c r="CA77" s="1017"/>
      <c r="CB77" s="1017"/>
    </row>
    <row r="78" spans="1:81" ht="9.75" hidden="1" customHeight="1" x14ac:dyDescent="0.2">
      <c r="A78" s="965"/>
      <c r="B78" s="941"/>
      <c r="C78" s="968"/>
      <c r="D78" s="969"/>
      <c r="E78" s="933"/>
      <c r="F78" s="933"/>
      <c r="G78" s="932"/>
      <c r="H78" s="1013"/>
      <c r="I78" s="1086"/>
      <c r="J78" s="1012"/>
      <c r="K78" s="1118"/>
      <c r="L78" s="1013"/>
      <c r="M78" s="1086"/>
      <c r="N78" s="1012"/>
      <c r="O78" s="1118"/>
      <c r="P78" s="1013"/>
      <c r="Q78" s="1086"/>
      <c r="R78" s="1012"/>
      <c r="S78" s="1118"/>
      <c r="T78" s="1013"/>
      <c r="U78" s="1086"/>
      <c r="V78" s="1012"/>
      <c r="W78" s="1118"/>
      <c r="X78" s="1013"/>
      <c r="Y78" s="1086"/>
      <c r="Z78" s="1012"/>
      <c r="AA78" s="1118"/>
      <c r="AB78" s="1086"/>
      <c r="AC78" s="1086"/>
      <c r="AD78" s="1012"/>
      <c r="AE78" s="1118"/>
      <c r="AF78" s="1086"/>
      <c r="AG78" s="1086"/>
      <c r="AH78" s="1012"/>
      <c r="AI78" s="1118"/>
      <c r="AJ78" s="1086"/>
      <c r="AK78" s="1086"/>
      <c r="AL78" s="1012"/>
      <c r="AM78" s="1118"/>
      <c r="AN78" s="1086"/>
      <c r="AO78" s="1086"/>
      <c r="AP78" s="1012"/>
      <c r="AQ78" s="1118"/>
      <c r="AR78" s="971"/>
      <c r="AS78" s="971"/>
      <c r="AT78" s="1012"/>
      <c r="AU78" s="1086"/>
      <c r="AV78" s="971"/>
      <c r="AW78" s="971"/>
      <c r="AX78" s="1012"/>
      <c r="AY78" s="1111"/>
      <c r="AZ78" s="971"/>
      <c r="BA78" s="971"/>
      <c r="BB78" s="1012"/>
      <c r="BC78" s="1001"/>
      <c r="BD78" s="1012"/>
      <c r="BE78" s="1012"/>
      <c r="BF78" s="1012"/>
      <c r="BG78" s="1001"/>
      <c r="BH78" s="1989"/>
      <c r="BI78" s="946"/>
      <c r="BJ78" s="1013"/>
      <c r="BK78" s="1018"/>
      <c r="BL78" s="964"/>
      <c r="BM78" s="1001"/>
      <c r="BN78" s="1001"/>
      <c r="BO78" s="1001"/>
      <c r="BP78" s="1001"/>
      <c r="BQ78" s="1001"/>
      <c r="BR78" s="1001"/>
      <c r="BS78" s="1001"/>
      <c r="BT78" s="1001"/>
      <c r="BU78" s="1001"/>
      <c r="BV78" s="1001"/>
      <c r="BW78" s="1001"/>
      <c r="BX78" s="1001"/>
      <c r="BY78" s="1001"/>
      <c r="BZ78" s="1001"/>
      <c r="CA78" s="1001"/>
      <c r="CB78" s="1001"/>
    </row>
    <row r="79" spans="1:81" ht="12.75" hidden="1" customHeight="1" x14ac:dyDescent="0.2">
      <c r="A79" s="947" t="s">
        <v>23</v>
      </c>
      <c r="B79" s="946"/>
      <c r="C79" s="968"/>
      <c r="D79" s="969"/>
      <c r="E79" s="933"/>
      <c r="F79" s="933"/>
      <c r="G79" s="932"/>
      <c r="H79" s="959"/>
      <c r="I79" s="1086"/>
      <c r="J79" s="1012"/>
      <c r="K79" s="1118"/>
      <c r="L79" s="959"/>
      <c r="M79" s="1086"/>
      <c r="N79" s="1012"/>
      <c r="O79" s="1118"/>
      <c r="P79" s="959"/>
      <c r="Q79" s="1086"/>
      <c r="R79" s="1012"/>
      <c r="S79" s="1118"/>
      <c r="T79" s="959"/>
      <c r="U79" s="1086"/>
      <c r="V79" s="1012"/>
      <c r="W79" s="1118"/>
      <c r="X79" s="1086"/>
      <c r="Y79" s="1086"/>
      <c r="Z79" s="1012"/>
      <c r="AA79" s="1118"/>
      <c r="AB79" s="1086"/>
      <c r="AC79" s="1086"/>
      <c r="AD79" s="1012"/>
      <c r="AE79" s="1118"/>
      <c r="AF79" s="1086"/>
      <c r="AG79" s="1086"/>
      <c r="AH79" s="1012"/>
      <c r="AI79" s="1118"/>
      <c r="AJ79" s="1086"/>
      <c r="AK79" s="1086"/>
      <c r="AL79" s="1012"/>
      <c r="AM79" s="1118"/>
      <c r="AN79" s="1086"/>
      <c r="AO79" s="1086"/>
      <c r="AP79" s="1012"/>
      <c r="AQ79" s="1118"/>
      <c r="AR79" s="971"/>
      <c r="AS79" s="971"/>
      <c r="AT79" s="1012"/>
      <c r="AU79" s="1086"/>
      <c r="AV79" s="971"/>
      <c r="AW79" s="971"/>
      <c r="AX79" s="1012"/>
      <c r="AY79" s="1111"/>
      <c r="AZ79" s="971"/>
      <c r="BA79" s="971"/>
      <c r="BB79" s="1012"/>
      <c r="BC79" s="1001"/>
      <c r="BD79" s="1012"/>
      <c r="BE79" s="1012"/>
      <c r="BF79" s="1012"/>
      <c r="BG79" s="1001"/>
      <c r="BH79" s="1989"/>
      <c r="BI79" s="946"/>
      <c r="BJ79" s="1013"/>
      <c r="BK79" s="1018"/>
      <c r="BL79" s="964"/>
      <c r="BM79" s="1001"/>
      <c r="BN79" s="1001"/>
      <c r="BO79" s="1001"/>
      <c r="BP79" s="1001"/>
      <c r="BQ79" s="1001"/>
      <c r="BR79" s="1001"/>
      <c r="BS79" s="1001"/>
      <c r="BT79" s="1001"/>
      <c r="BU79" s="1001"/>
      <c r="BV79" s="1001"/>
      <c r="BW79" s="1001"/>
      <c r="BX79" s="1001"/>
      <c r="BY79" s="1001"/>
      <c r="BZ79" s="1001"/>
      <c r="CA79" s="1001"/>
      <c r="CB79" s="1001"/>
    </row>
    <row r="80" spans="1:81" ht="12.75" hidden="1" customHeight="1" x14ac:dyDescent="0.2">
      <c r="A80" s="958"/>
      <c r="B80" s="946" t="s">
        <v>24</v>
      </c>
      <c r="C80" s="956">
        <v>0</v>
      </c>
      <c r="D80" s="953" t="s">
        <v>301</v>
      </c>
      <c r="E80" s="909"/>
      <c r="F80" s="2953"/>
      <c r="G80" s="2949"/>
      <c r="H80" s="1143"/>
      <c r="I80" s="1004"/>
      <c r="J80" s="953"/>
      <c r="K80" s="1120"/>
      <c r="L80" s="1143"/>
      <c r="M80" s="1004"/>
      <c r="N80" s="953"/>
      <c r="O80" s="1120"/>
      <c r="P80" s="1143"/>
      <c r="Q80" s="1004"/>
      <c r="R80" s="953"/>
      <c r="S80" s="1120"/>
      <c r="T80" s="1143"/>
      <c r="U80" s="1004"/>
      <c r="V80" s="953"/>
      <c r="W80" s="1120"/>
      <c r="X80" s="1121"/>
      <c r="Y80" s="1004"/>
      <c r="Z80" s="953"/>
      <c r="AA80" s="1120"/>
      <c r="AB80" s="1121"/>
      <c r="AC80" s="1004"/>
      <c r="AD80" s="953"/>
      <c r="AE80" s="1120"/>
      <c r="AF80" s="1121"/>
      <c r="AG80" s="1004"/>
      <c r="AH80" s="953"/>
      <c r="AI80" s="1120"/>
      <c r="AJ80" s="1121"/>
      <c r="AK80" s="1004"/>
      <c r="AL80" s="953"/>
      <c r="AM80" s="1120"/>
      <c r="AN80" s="1121"/>
      <c r="AO80" s="1004"/>
      <c r="AP80" s="953">
        <v>0.05</v>
      </c>
      <c r="AQ80" s="1120">
        <v>0.05</v>
      </c>
      <c r="AR80" s="1121">
        <v>0.05</v>
      </c>
      <c r="AS80" s="1121">
        <v>0.05</v>
      </c>
      <c r="AT80" s="953">
        <v>0</v>
      </c>
      <c r="AU80" s="1004">
        <v>0</v>
      </c>
      <c r="AV80" s="1004">
        <v>0</v>
      </c>
      <c r="AW80" s="1004">
        <v>0</v>
      </c>
      <c r="AX80" s="1122">
        <v>0.125</v>
      </c>
      <c r="AY80" s="1111">
        <v>0.125</v>
      </c>
      <c r="AZ80" s="1123">
        <v>0.125</v>
      </c>
      <c r="BA80" s="1124">
        <v>0.125</v>
      </c>
      <c r="BB80" s="1125">
        <v>0.125</v>
      </c>
      <c r="BC80" s="1017">
        <v>0.1</v>
      </c>
      <c r="BD80" s="1018">
        <v>0.1</v>
      </c>
      <c r="BE80" s="1018">
        <v>0.08</v>
      </c>
      <c r="BF80" s="1126">
        <v>0.08</v>
      </c>
      <c r="BG80" s="1001"/>
      <c r="BH80" s="1989"/>
      <c r="BI80" s="946"/>
      <c r="BJ80" s="1013">
        <v>0</v>
      </c>
      <c r="BK80" s="1045">
        <v>-0.04</v>
      </c>
      <c r="BL80" s="964"/>
      <c r="BM80" s="1127"/>
      <c r="BN80" s="1127"/>
      <c r="BO80" s="1127"/>
      <c r="BP80" s="1127"/>
      <c r="BQ80" s="1127"/>
      <c r="BR80" s="1127"/>
      <c r="BS80" s="1127"/>
      <c r="BT80" s="1127"/>
      <c r="BU80" s="1127">
        <v>0.15000000000000002</v>
      </c>
      <c r="BV80" s="1127">
        <v>0.15</v>
      </c>
      <c r="BW80" s="2928">
        <v>0.125</v>
      </c>
      <c r="BX80" s="1017">
        <v>0.5</v>
      </c>
      <c r="BY80" s="1017">
        <v>0.36</v>
      </c>
      <c r="BZ80" s="1017">
        <v>0.28000000000000003</v>
      </c>
      <c r="CA80" s="1017">
        <v>0.26</v>
      </c>
      <c r="CB80" s="1017">
        <v>0</v>
      </c>
    </row>
    <row r="81" spans="1:80" ht="12.75" hidden="1" customHeight="1" x14ac:dyDescent="0.2">
      <c r="A81" s="946"/>
      <c r="B81" s="946" t="s">
        <v>25</v>
      </c>
      <c r="C81" s="970">
        <v>0</v>
      </c>
      <c r="D81" s="953" t="e">
        <v>#DIV/0!</v>
      </c>
      <c r="E81" s="909"/>
      <c r="F81" s="909"/>
      <c r="G81" s="912"/>
      <c r="H81" s="952"/>
      <c r="I81" s="1004"/>
      <c r="J81" s="953"/>
      <c r="K81" s="1128"/>
      <c r="L81" s="952"/>
      <c r="M81" s="1004"/>
      <c r="N81" s="953"/>
      <c r="O81" s="1128"/>
      <c r="P81" s="952"/>
      <c r="Q81" s="1004"/>
      <c r="R81" s="953"/>
      <c r="S81" s="1128"/>
      <c r="T81" s="952"/>
      <c r="U81" s="1004"/>
      <c r="V81" s="953"/>
      <c r="W81" s="1128"/>
      <c r="X81" s="1004"/>
      <c r="Y81" s="1004"/>
      <c r="Z81" s="953"/>
      <c r="AA81" s="1128"/>
      <c r="AB81" s="1004"/>
      <c r="AC81" s="1004"/>
      <c r="AD81" s="953"/>
      <c r="AE81" s="1128"/>
      <c r="AF81" s="1004"/>
      <c r="AG81" s="1004"/>
      <c r="AH81" s="953"/>
      <c r="AI81" s="1128"/>
      <c r="AJ81" s="1004"/>
      <c r="AK81" s="1004"/>
      <c r="AL81" s="953"/>
      <c r="AM81" s="1128"/>
      <c r="AN81" s="1004"/>
      <c r="AO81" s="1004"/>
      <c r="AP81" s="953">
        <v>0</v>
      </c>
      <c r="AQ81" s="1128">
        <v>0</v>
      </c>
      <c r="AR81" s="1004">
        <v>0</v>
      </c>
      <c r="AS81" s="1004">
        <v>0</v>
      </c>
      <c r="AT81" s="953">
        <v>0</v>
      </c>
      <c r="AU81" s="1004">
        <v>0</v>
      </c>
      <c r="AV81" s="1004">
        <v>0</v>
      </c>
      <c r="AW81" s="1004">
        <v>0</v>
      </c>
      <c r="AX81" s="953">
        <v>0</v>
      </c>
      <c r="AY81" s="1129">
        <v>0</v>
      </c>
      <c r="AZ81" s="1013">
        <v>0</v>
      </c>
      <c r="BA81" s="1013">
        <v>0</v>
      </c>
      <c r="BB81" s="1130">
        <v>0</v>
      </c>
      <c r="BC81" s="1017">
        <v>0</v>
      </c>
      <c r="BD81" s="1018">
        <v>0</v>
      </c>
      <c r="BE81" s="1018">
        <v>0</v>
      </c>
      <c r="BF81" s="1018">
        <v>0</v>
      </c>
      <c r="BG81" s="1001"/>
      <c r="BH81" s="1989"/>
      <c r="BI81" s="946"/>
      <c r="BJ81" s="1131">
        <v>0</v>
      </c>
      <c r="BK81" s="1130">
        <v>0</v>
      </c>
      <c r="BL81" s="964"/>
      <c r="BM81" s="1017"/>
      <c r="BN81" s="1017"/>
      <c r="BO81" s="1017"/>
      <c r="BP81" s="1017"/>
      <c r="BQ81" s="1017"/>
      <c r="BR81" s="1017"/>
      <c r="BS81" s="1017"/>
      <c r="BT81" s="1017"/>
      <c r="BU81" s="1017">
        <v>0</v>
      </c>
      <c r="BV81" s="1017"/>
      <c r="BW81" s="1017">
        <v>0</v>
      </c>
      <c r="BX81" s="1017">
        <v>0</v>
      </c>
      <c r="BY81" s="1017">
        <v>0</v>
      </c>
      <c r="BZ81" s="1017">
        <v>0</v>
      </c>
      <c r="CA81" s="1017">
        <v>0.15</v>
      </c>
      <c r="CB81" s="1017">
        <v>0</v>
      </c>
    </row>
    <row r="82" spans="1:80" ht="12.75" hidden="1" customHeight="1" x14ac:dyDescent="0.2">
      <c r="A82" s="958"/>
      <c r="B82" s="959" t="s">
        <v>26</v>
      </c>
      <c r="C82" s="960">
        <v>0</v>
      </c>
      <c r="D82" s="953"/>
      <c r="E82" s="909"/>
      <c r="F82" s="909"/>
      <c r="G82" s="912"/>
      <c r="H82" s="952"/>
      <c r="I82" s="1004"/>
      <c r="J82" s="953"/>
      <c r="K82" s="1128"/>
      <c r="L82" s="952"/>
      <c r="M82" s="1004"/>
      <c r="N82" s="953"/>
      <c r="O82" s="1128"/>
      <c r="P82" s="952"/>
      <c r="Q82" s="1004"/>
      <c r="R82" s="953"/>
      <c r="S82" s="1128"/>
      <c r="T82" s="952"/>
      <c r="U82" s="1004"/>
      <c r="V82" s="953"/>
      <c r="W82" s="1128"/>
      <c r="X82" s="1004"/>
      <c r="Y82" s="1004"/>
      <c r="Z82" s="953"/>
      <c r="AA82" s="1128"/>
      <c r="AB82" s="1004"/>
      <c r="AC82" s="1004"/>
      <c r="AD82" s="953"/>
      <c r="AE82" s="1128"/>
      <c r="AF82" s="1004"/>
      <c r="AG82" s="1004"/>
      <c r="AH82" s="953"/>
      <c r="AI82" s="1128"/>
      <c r="AJ82" s="1004"/>
      <c r="AK82" s="1004"/>
      <c r="AL82" s="953"/>
      <c r="AM82" s="1128"/>
      <c r="AN82" s="1004"/>
      <c r="AO82" s="1004"/>
      <c r="AP82" s="953">
        <v>2.1299254526091587E-2</v>
      </c>
      <c r="AQ82" s="1128">
        <v>1.7999999999999999E-2</v>
      </c>
      <c r="AR82" s="1004">
        <v>1.9E-2</v>
      </c>
      <c r="AS82" s="1004">
        <v>0.02</v>
      </c>
      <c r="AT82" s="953">
        <v>0</v>
      </c>
      <c r="AU82" s="1004">
        <v>0</v>
      </c>
      <c r="AV82" s="1004">
        <v>0</v>
      </c>
      <c r="AW82" s="1004">
        <v>0</v>
      </c>
      <c r="AX82" s="953">
        <v>6.2899999999999998E-2</v>
      </c>
      <c r="AY82" s="1128">
        <v>5.0999999999999997E-2</v>
      </c>
      <c r="AZ82" s="1003">
        <v>3.3000000000000002E-2</v>
      </c>
      <c r="BA82" s="1003">
        <v>2.63E-2</v>
      </c>
      <c r="BB82" s="1044">
        <v>2.4E-2</v>
      </c>
      <c r="BC82" s="1040">
        <v>1.7999999999999999E-2</v>
      </c>
      <c r="BD82" s="1045">
        <v>2.1999999999999999E-2</v>
      </c>
      <c r="BE82" s="1045">
        <v>1.9E-2</v>
      </c>
      <c r="BF82" s="1044">
        <v>1.7999999999999999E-2</v>
      </c>
      <c r="BG82" s="1001"/>
      <c r="BH82" s="1989"/>
      <c r="BI82" s="946"/>
      <c r="BJ82" s="1087">
        <v>1.6642857142857146</v>
      </c>
      <c r="BK82" s="953" t="s">
        <v>41</v>
      </c>
      <c r="BL82" s="964"/>
      <c r="BM82" s="1089"/>
      <c r="BN82" s="1089"/>
      <c r="BO82" s="1089"/>
      <c r="BP82" s="1089"/>
      <c r="BQ82" s="1089"/>
      <c r="BR82" s="1089"/>
      <c r="BS82" s="1089"/>
      <c r="BT82" s="1089"/>
      <c r="BU82" s="1089">
        <v>1.9642857142857146E-2</v>
      </c>
      <c r="BV82" s="1089">
        <v>3.0000000000000001E-3</v>
      </c>
      <c r="BW82" s="1089">
        <v>2.3E-2</v>
      </c>
      <c r="BX82" s="1089">
        <v>5.0999999999999997E-2</v>
      </c>
      <c r="BY82" s="1089">
        <v>1.6E-2</v>
      </c>
      <c r="BZ82" s="1089">
        <v>1.2999999999999999E-2</v>
      </c>
      <c r="CA82" s="1040">
        <v>2.4799999999999999E-2</v>
      </c>
      <c r="CB82" s="1017">
        <v>0</v>
      </c>
    </row>
    <row r="83" spans="1:80" ht="13.5" hidden="1" customHeight="1" x14ac:dyDescent="0.2">
      <c r="A83" s="958"/>
      <c r="B83" s="959" t="s">
        <v>235</v>
      </c>
      <c r="C83" s="2288" t="e">
        <v>#NAME?</v>
      </c>
      <c r="D83" s="1049" t="s">
        <v>198</v>
      </c>
      <c r="E83" s="2289"/>
      <c r="F83" s="2954"/>
      <c r="G83" s="1964"/>
      <c r="H83" s="1049"/>
      <c r="I83" s="1049"/>
      <c r="J83" s="1346"/>
      <c r="K83" s="1049"/>
      <c r="L83" s="1049"/>
      <c r="M83" s="1049"/>
      <c r="N83" s="1346"/>
      <c r="O83" s="1049"/>
      <c r="P83" s="1049">
        <v>0</v>
      </c>
      <c r="Q83" s="1049">
        <v>0</v>
      </c>
      <c r="R83" s="1346">
        <v>0</v>
      </c>
      <c r="S83" s="1049">
        <v>0</v>
      </c>
      <c r="T83" s="1049">
        <v>0</v>
      </c>
      <c r="U83" s="952">
        <v>-5.5850179516660878</v>
      </c>
      <c r="V83" s="1035">
        <v>0.54172240320203113</v>
      </c>
      <c r="W83" s="1132">
        <v>1.0466222446627294</v>
      </c>
      <c r="X83" s="1004">
        <v>-0.29343575608856942</v>
      </c>
      <c r="Y83" s="952">
        <v>0.59866277570728732</v>
      </c>
      <c r="Z83" s="1035">
        <v>0.25541325766493195</v>
      </c>
      <c r="AA83" s="1132">
        <v>0.19759481084954622</v>
      </c>
      <c r="AB83" s="1004">
        <v>0.2986426926810955</v>
      </c>
      <c r="AC83" s="952">
        <v>1.5669572035582187</v>
      </c>
      <c r="AD83" s="1035">
        <v>0.54776438295306695</v>
      </c>
      <c r="AE83" s="1132">
        <v>0.40288085011413427</v>
      </c>
      <c r="AF83" s="952">
        <v>0.28880754862629315</v>
      </c>
      <c r="AG83" s="952">
        <v>1.7861383112351712</v>
      </c>
      <c r="AH83" s="1035">
        <v>-0.26997507713150198</v>
      </c>
      <c r="AI83" s="1132">
        <v>8.4804203986323081</v>
      </c>
      <c r="AJ83" s="952">
        <v>0.92607192639160674</v>
      </c>
      <c r="AK83" s="952">
        <v>-2.4049999999999998</v>
      </c>
      <c r="AL83" s="1035">
        <v>0.59207296758104744</v>
      </c>
      <c r="AM83" s="1132">
        <v>0.19598608382836721</v>
      </c>
      <c r="AN83" s="952">
        <v>0.13588610648188756</v>
      </c>
      <c r="AO83" s="952">
        <v>0.34174946183142907</v>
      </c>
      <c r="AP83" s="1035">
        <v>0.28999125621431376</v>
      </c>
      <c r="AQ83" s="1132">
        <v>0.38400000000000001</v>
      </c>
      <c r="AR83" s="952">
        <v>0.189</v>
      </c>
      <c r="AS83" s="952">
        <v>0.42399999999999999</v>
      </c>
      <c r="AT83" s="1035">
        <v>0</v>
      </c>
      <c r="AU83" s="952">
        <v>0</v>
      </c>
      <c r="AV83" s="952">
        <v>0</v>
      </c>
      <c r="AW83" s="952">
        <v>0</v>
      </c>
      <c r="AX83" s="1035">
        <v>0.436</v>
      </c>
      <c r="AY83" s="1132">
        <v>0.86299999999999999</v>
      </c>
      <c r="AZ83" s="1036">
        <v>0.40799999999999997</v>
      </c>
      <c r="BA83" s="1036">
        <v>0.49199999999999999</v>
      </c>
      <c r="BB83" s="1085">
        <v>0.157</v>
      </c>
      <c r="BC83" s="1084">
        <v>0.185</v>
      </c>
      <c r="BD83" s="1085">
        <v>0.20300000000000001</v>
      </c>
      <c r="BE83" s="1085">
        <v>0.216</v>
      </c>
      <c r="BF83" s="1085">
        <v>0.14799999999999999</v>
      </c>
      <c r="BG83" s="1034"/>
      <c r="BH83" s="1077">
        <v>0</v>
      </c>
      <c r="BI83" s="1036">
        <v>-0.75700000000000001</v>
      </c>
      <c r="BJ83" s="1087">
        <v>75.7</v>
      </c>
      <c r="BK83" s="2290" t="s">
        <v>41</v>
      </c>
      <c r="BL83" s="964"/>
      <c r="BM83" s="1133"/>
      <c r="BN83" s="1133"/>
      <c r="BO83" s="1133"/>
      <c r="BP83" s="1133">
        <v>-0.55405511517003658</v>
      </c>
      <c r="BQ83" s="1133">
        <v>1.0394386155195465</v>
      </c>
      <c r="BR83" s="1133">
        <v>0.36915166153280149</v>
      </c>
      <c r="BS83" s="1133">
        <v>1.4144099438475644</v>
      </c>
      <c r="BT83" s="1133">
        <v>1.6919354406298548</v>
      </c>
      <c r="BU83" s="1133">
        <v>0.19908615785625641</v>
      </c>
      <c r="BV83" s="1134">
        <v>0.224</v>
      </c>
      <c r="BW83" s="1134" t="s">
        <v>41</v>
      </c>
      <c r="BX83" s="1089">
        <v>0.309</v>
      </c>
      <c r="BY83" s="1040">
        <v>0.185</v>
      </c>
      <c r="BZ83" s="1040">
        <v>0.16200000000000001</v>
      </c>
      <c r="CA83" s="1040">
        <v>0.247</v>
      </c>
      <c r="CB83" s="1017">
        <v>0</v>
      </c>
    </row>
    <row r="84" spans="1:80" ht="12.75" hidden="1" customHeight="1" x14ac:dyDescent="0.2">
      <c r="A84" s="958"/>
      <c r="B84" s="959" t="s">
        <v>140</v>
      </c>
      <c r="C84" s="960">
        <v>0</v>
      </c>
      <c r="D84" s="953"/>
      <c r="E84" s="909"/>
      <c r="F84" s="2955"/>
      <c r="G84" s="1974"/>
      <c r="H84" s="952"/>
      <c r="I84" s="952"/>
      <c r="J84" s="1035"/>
      <c r="K84" s="1922"/>
      <c r="L84" s="952"/>
      <c r="M84" s="952"/>
      <c r="N84" s="1035"/>
      <c r="O84" s="1922"/>
      <c r="P84" s="952"/>
      <c r="Q84" s="952"/>
      <c r="R84" s="1035"/>
      <c r="S84" s="1922"/>
      <c r="T84" s="952"/>
      <c r="U84" s="952"/>
      <c r="V84" s="1035"/>
      <c r="W84" s="1128"/>
      <c r="X84" s="1004"/>
      <c r="Y84" s="952"/>
      <c r="Z84" s="1035"/>
      <c r="AA84" s="1128"/>
      <c r="AB84" s="1004"/>
      <c r="AC84" s="952"/>
      <c r="AD84" s="1035"/>
      <c r="AE84" s="1132"/>
      <c r="AF84" s="952"/>
      <c r="AG84" s="952"/>
      <c r="AH84" s="1035"/>
      <c r="AI84" s="1132"/>
      <c r="AJ84" s="952"/>
      <c r="AK84" s="952"/>
      <c r="AL84" s="1035"/>
      <c r="AM84" s="1132"/>
      <c r="AN84" s="952"/>
      <c r="AO84" s="952"/>
      <c r="AP84" s="1035">
        <v>0.10249610679890299</v>
      </c>
      <c r="AQ84" s="1132">
        <v>0.11192033795883191</v>
      </c>
      <c r="AR84" s="952">
        <v>0.15200860138677713</v>
      </c>
      <c r="AS84" s="952">
        <v>6.9191559534010669E-2</v>
      </c>
      <c r="AT84" s="1035">
        <v>9.73921180399141E-2</v>
      </c>
      <c r="AU84" s="952">
        <v>4.177146702872294E-2</v>
      </c>
      <c r="AV84" s="952">
        <v>-0.16696019195523099</v>
      </c>
      <c r="AW84" s="952">
        <v>-0.05</v>
      </c>
      <c r="AX84" s="952">
        <v>0.157</v>
      </c>
      <c r="AY84" s="1132"/>
      <c r="AZ84" s="1036"/>
      <c r="BA84" s="1036"/>
      <c r="BB84" s="1085"/>
      <c r="BC84" s="1084"/>
      <c r="BD84" s="1085"/>
      <c r="BE84" s="1085"/>
      <c r="BF84" s="1085"/>
      <c r="BG84" s="1034"/>
      <c r="BH84" s="1077"/>
      <c r="BI84" s="1092"/>
      <c r="BJ84" s="1087"/>
      <c r="BK84" s="2290" t="e">
        <v>#DIV/0!</v>
      </c>
      <c r="BL84" s="964"/>
      <c r="BM84" s="1134"/>
      <c r="BN84" s="1134"/>
      <c r="BO84" s="1134"/>
      <c r="BP84" s="1134"/>
      <c r="BQ84" s="1134"/>
      <c r="BR84" s="1134"/>
      <c r="BS84" s="1134"/>
      <c r="BT84" s="1134"/>
      <c r="BU84" s="1134"/>
      <c r="BV84" s="1134">
        <v>0.10808038612073342</v>
      </c>
      <c r="BW84" s="1134">
        <v>-3.8814048658628113E-3</v>
      </c>
      <c r="BX84" s="1134">
        <v>0.21749504889431018</v>
      </c>
      <c r="BY84" s="1134">
        <v>0.28319098937761072</v>
      </c>
      <c r="BZ84" s="1040">
        <v>0.33600000000000002</v>
      </c>
      <c r="CA84" s="1040"/>
      <c r="CB84" s="1017"/>
    </row>
    <row r="85" spans="1:80" ht="13.5" hidden="1" customHeight="1" x14ac:dyDescent="0.2">
      <c r="A85" s="961"/>
      <c r="B85" s="946" t="s">
        <v>209</v>
      </c>
      <c r="C85" s="2305" t="s">
        <v>41</v>
      </c>
      <c r="D85" s="1049" t="s">
        <v>41</v>
      </c>
      <c r="E85" s="2289"/>
      <c r="F85" s="2956"/>
      <c r="G85" s="2306"/>
      <c r="H85" s="2308"/>
      <c r="I85" s="1090"/>
      <c r="J85" s="1091"/>
      <c r="K85" s="2308"/>
      <c r="L85" s="2308"/>
      <c r="M85" s="1090"/>
      <c r="N85" s="1091"/>
      <c r="O85" s="2308"/>
      <c r="P85" s="2308">
        <v>-477.00000000000017</v>
      </c>
      <c r="Q85" s="1090">
        <v>-16.241379310344826</v>
      </c>
      <c r="R85" s="1091">
        <v>-18.222222222222221</v>
      </c>
      <c r="S85" s="1090">
        <v>-18.22727272727273</v>
      </c>
      <c r="T85" s="1090">
        <v>-46.45454545454546</v>
      </c>
      <c r="U85" s="1090">
        <v>-104.6</v>
      </c>
      <c r="V85" s="1091">
        <v>59.846153846153847</v>
      </c>
      <c r="W85" s="1135">
        <v>28.347826086956523</v>
      </c>
      <c r="X85" s="1092">
        <v>18.162790697674417</v>
      </c>
      <c r="Y85" s="1090">
        <v>14.164556962025314</v>
      </c>
      <c r="Z85" s="1091">
        <v>18.907692307692304</v>
      </c>
      <c r="AA85" s="1135">
        <v>15.185185185185183</v>
      </c>
      <c r="AB85" s="1092">
        <v>16.95121951219512</v>
      </c>
      <c r="AC85" s="1090">
        <v>16.170731707317071</v>
      </c>
      <c r="AD85" s="1091">
        <v>13.926829268292682</v>
      </c>
      <c r="AE85" s="1136">
        <v>56.833333333333336</v>
      </c>
      <c r="AF85" s="1092">
        <v>335.00000000000017</v>
      </c>
      <c r="AG85" s="1137">
        <v>-141.99999999999997</v>
      </c>
      <c r="AH85" s="1091">
        <v>-45.833333333333329</v>
      </c>
      <c r="AI85" s="1136">
        <v>33.200000000000003</v>
      </c>
      <c r="AJ85" s="1092">
        <v>10.684931506849315</v>
      </c>
      <c r="AK85" s="1092">
        <v>8.1623931623931636</v>
      </c>
      <c r="AL85" s="1091">
        <v>9.0218978102189773</v>
      </c>
      <c r="AM85" s="1136">
        <v>10.071942446043165</v>
      </c>
      <c r="AN85" s="1092">
        <v>13.74757281553398</v>
      </c>
      <c r="AO85" s="1092">
        <v>13.826666666666664</v>
      </c>
      <c r="AP85" s="1091">
        <v>13.041666666666668</v>
      </c>
      <c r="AQ85" s="1136">
        <v>14.6</v>
      </c>
      <c r="AR85" s="1092">
        <v>16.7</v>
      </c>
      <c r="AS85" s="1090">
        <v>-13.6</v>
      </c>
      <c r="AT85" s="1091">
        <v>-6</v>
      </c>
      <c r="AU85" s="1092">
        <v>1.1000000000000001</v>
      </c>
      <c r="AV85" s="1092">
        <v>7.1</v>
      </c>
      <c r="AW85" s="1092">
        <v>8.1</v>
      </c>
      <c r="AX85" s="1093">
        <v>7.3</v>
      </c>
      <c r="AY85" s="1138">
        <v>7.3</v>
      </c>
      <c r="AZ85" s="1090">
        <v>7.6119000000000003</v>
      </c>
      <c r="BA85" s="1090">
        <v>8.8691999999999993</v>
      </c>
      <c r="BB85" s="1091">
        <v>9.5</v>
      </c>
      <c r="BC85" s="1094">
        <v>11.4</v>
      </c>
      <c r="BD85" s="1091">
        <v>9.1999999999999993</v>
      </c>
      <c r="BE85" s="1091">
        <v>8.3000000000000007</v>
      </c>
      <c r="BF85" s="1091">
        <v>8.6999999999999993</v>
      </c>
      <c r="BG85" s="1034"/>
      <c r="BH85" s="2307">
        <v>-477.00000000000017</v>
      </c>
      <c r="BI85" s="1090">
        <v>-46.5</v>
      </c>
      <c r="BJ85" s="2308" t="s">
        <v>41</v>
      </c>
      <c r="BK85" s="1346" t="s">
        <v>41</v>
      </c>
      <c r="BL85" s="964"/>
      <c r="BM85" s="1095"/>
      <c r="BN85" s="1095"/>
      <c r="BO85" s="1095"/>
      <c r="BP85" s="1095">
        <v>-18.22727272727273</v>
      </c>
      <c r="BQ85" s="1095">
        <v>28.347826086956523</v>
      </c>
      <c r="BR85" s="1095">
        <v>15.185185185185183</v>
      </c>
      <c r="BS85" s="1095">
        <v>56.833333333333336</v>
      </c>
      <c r="BT85" s="1095">
        <v>33.200000000000003</v>
      </c>
      <c r="BU85" s="1095">
        <v>10.071942446043165</v>
      </c>
      <c r="BV85" s="1095">
        <v>14.6</v>
      </c>
      <c r="BW85" s="1095">
        <v>1.1000000000000001</v>
      </c>
      <c r="BX85" s="1095">
        <v>7.3</v>
      </c>
      <c r="BY85" s="1095">
        <v>11.4</v>
      </c>
      <c r="BZ85" s="1095">
        <v>12</v>
      </c>
      <c r="CA85" s="1095">
        <v>9.5273000000000003</v>
      </c>
      <c r="CB85" s="1095">
        <v>0</v>
      </c>
    </row>
    <row r="86" spans="1:80" ht="12.75" customHeight="1" x14ac:dyDescent="0.2">
      <c r="A86" s="965"/>
      <c r="B86" s="941"/>
      <c r="C86" s="962"/>
      <c r="D86" s="963"/>
      <c r="E86" s="910"/>
      <c r="F86" s="2957"/>
      <c r="G86" s="936"/>
      <c r="H86" s="1096"/>
      <c r="I86" s="1096"/>
      <c r="J86" s="963"/>
      <c r="K86" s="962"/>
      <c r="L86" s="1096"/>
      <c r="M86" s="1096"/>
      <c r="N86" s="963"/>
      <c r="O86" s="962"/>
      <c r="P86" s="1096"/>
      <c r="Q86" s="1096"/>
      <c r="R86" s="963"/>
      <c r="S86" s="962"/>
      <c r="T86" s="1096"/>
      <c r="U86" s="1096"/>
      <c r="V86" s="963"/>
      <c r="W86" s="962"/>
      <c r="X86" s="1096"/>
      <c r="Y86" s="1096"/>
      <c r="Z86" s="963"/>
      <c r="AA86" s="962"/>
      <c r="AB86" s="1096"/>
      <c r="AC86" s="1096"/>
      <c r="AD86" s="963"/>
      <c r="AE86" s="962"/>
      <c r="AF86" s="1096"/>
      <c r="AG86" s="1096"/>
      <c r="AH86" s="963"/>
      <c r="AI86" s="962"/>
      <c r="AJ86" s="1096"/>
      <c r="AK86" s="1096"/>
      <c r="AL86" s="963"/>
      <c r="AM86" s="962"/>
      <c r="AN86" s="1096"/>
      <c r="AO86" s="1096"/>
      <c r="AP86" s="963"/>
      <c r="AQ86" s="962"/>
      <c r="AR86" s="1096"/>
      <c r="AS86" s="1096"/>
      <c r="AT86" s="963"/>
      <c r="AU86" s="1096"/>
      <c r="AV86" s="1096"/>
      <c r="AW86" s="1096"/>
      <c r="AX86" s="963"/>
      <c r="AY86" s="962"/>
      <c r="AZ86" s="1096"/>
      <c r="BA86" s="1096"/>
      <c r="BB86" s="963"/>
      <c r="BC86" s="1097"/>
      <c r="BD86" s="963"/>
      <c r="BE86" s="963"/>
      <c r="BF86" s="963"/>
      <c r="BG86" s="1001"/>
      <c r="BH86" s="2195"/>
      <c r="BI86" s="1290"/>
      <c r="BJ86" s="1139"/>
      <c r="BK86" s="1140"/>
      <c r="BL86" s="964"/>
      <c r="BM86" s="1097"/>
      <c r="BN86" s="1097"/>
      <c r="BO86" s="1097"/>
      <c r="BP86" s="1097"/>
      <c r="BQ86" s="1097"/>
      <c r="BR86" s="1097"/>
      <c r="BS86" s="1097"/>
      <c r="BT86" s="1097"/>
      <c r="BU86" s="1097"/>
      <c r="BV86" s="1097"/>
      <c r="BW86" s="1097"/>
      <c r="BX86" s="1097"/>
      <c r="BY86" s="1097"/>
      <c r="BZ86" s="1097"/>
      <c r="CA86" s="1097"/>
      <c r="CB86" s="1097"/>
    </row>
    <row r="87" spans="1:80" x14ac:dyDescent="0.2">
      <c r="A87" s="946" t="s">
        <v>357</v>
      </c>
      <c r="B87" s="941"/>
      <c r="C87" s="971"/>
      <c r="D87" s="971"/>
      <c r="E87" s="913"/>
      <c r="F87" s="913"/>
      <c r="G87" s="913"/>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c r="AL87" s="971"/>
      <c r="AM87" s="971"/>
      <c r="AN87" s="971"/>
      <c r="AO87" s="971"/>
      <c r="AP87" s="971"/>
      <c r="AQ87" s="971"/>
      <c r="AR87" s="971"/>
      <c r="AS87" s="971"/>
      <c r="AT87" s="971"/>
      <c r="AU87" s="971"/>
      <c r="AV87" s="971"/>
      <c r="AW87" s="971"/>
      <c r="AX87" s="971"/>
      <c r="AY87" s="971"/>
      <c r="AZ87" s="971"/>
      <c r="BA87" s="964"/>
      <c r="BB87" s="964"/>
      <c r="BC87" s="964"/>
      <c r="BD87" s="964"/>
      <c r="BE87" s="964"/>
      <c r="BF87" s="964"/>
      <c r="BG87" s="964"/>
      <c r="BH87" s="964"/>
      <c r="BI87" s="964"/>
      <c r="BJ87" s="964"/>
      <c r="BK87" s="964"/>
      <c r="BL87" s="964"/>
      <c r="BM87" s="964"/>
      <c r="BN87" s="964"/>
      <c r="BO87" s="964"/>
      <c r="BP87" s="964"/>
      <c r="BQ87" s="964"/>
      <c r="BR87" s="964"/>
      <c r="BS87" s="964"/>
      <c r="BT87" s="964"/>
      <c r="BU87" s="964"/>
      <c r="BV87" s="964"/>
      <c r="BW87" s="964"/>
      <c r="BX87" s="964"/>
      <c r="BY87" s="964"/>
      <c r="BZ87" s="964"/>
      <c r="CA87" s="964"/>
      <c r="CB87" s="964"/>
    </row>
    <row r="88" spans="1:80" x14ac:dyDescent="0.2">
      <c r="A88" s="971" t="s">
        <v>28</v>
      </c>
      <c r="B88" s="941"/>
      <c r="C88" s="971"/>
      <c r="D88" s="971"/>
      <c r="E88" s="913"/>
      <c r="F88" s="913"/>
      <c r="G88" s="913"/>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c r="AL88" s="971"/>
      <c r="AM88" s="971"/>
      <c r="AN88" s="971"/>
      <c r="AO88" s="971"/>
      <c r="AP88" s="971"/>
      <c r="AQ88" s="971"/>
      <c r="AR88" s="971"/>
      <c r="AS88" s="971"/>
      <c r="AT88" s="971"/>
      <c r="AU88" s="971"/>
      <c r="AV88" s="971"/>
      <c r="AW88" s="971"/>
      <c r="AX88" s="971"/>
      <c r="AY88" s="941"/>
      <c r="AZ88" s="941"/>
      <c r="BX88" s="990"/>
      <c r="BY88" s="990"/>
    </row>
    <row r="89" spans="1:80" ht="9.75" customHeight="1" x14ac:dyDescent="0.2">
      <c r="A89" s="941"/>
      <c r="B89" s="941"/>
      <c r="C89" s="971"/>
      <c r="D89" s="971"/>
      <c r="E89" s="913"/>
      <c r="F89" s="913"/>
      <c r="G89" s="913"/>
      <c r="H89" s="971"/>
      <c r="I89" s="971"/>
      <c r="J89" s="971"/>
      <c r="K89" s="971"/>
      <c r="L89" s="971"/>
      <c r="M89" s="971"/>
      <c r="N89" s="971"/>
      <c r="O89" s="971"/>
      <c r="P89" s="971"/>
      <c r="Q89" s="971"/>
      <c r="R89" s="971"/>
      <c r="S89" s="971"/>
      <c r="T89" s="971"/>
      <c r="V89" s="971"/>
      <c r="W89" s="971"/>
      <c r="X89" s="971"/>
      <c r="Z89" s="971"/>
      <c r="AA89" s="971"/>
      <c r="AB89" s="971"/>
      <c r="AC89" s="971"/>
      <c r="AD89" s="971"/>
      <c r="AE89" s="971"/>
      <c r="AF89" s="971"/>
      <c r="AG89" s="971"/>
      <c r="AH89" s="971"/>
      <c r="AI89" s="971"/>
      <c r="AJ89" s="971"/>
      <c r="AK89" s="971"/>
      <c r="AL89" s="971"/>
      <c r="AM89" s="971"/>
      <c r="AN89" s="971"/>
      <c r="AO89" s="971"/>
      <c r="AP89" s="971"/>
      <c r="AQ89" s="971"/>
      <c r="AR89" s="971"/>
      <c r="AS89" s="971"/>
      <c r="AT89" s="971"/>
      <c r="AU89" s="971"/>
      <c r="AV89" s="971"/>
      <c r="AW89" s="971"/>
      <c r="AX89" s="1104"/>
      <c r="AY89" s="990"/>
      <c r="AZ89" s="990"/>
      <c r="BA89" s="990"/>
      <c r="BB89" s="990"/>
      <c r="BC89" s="990"/>
      <c r="BD89" s="990"/>
      <c r="BE89" s="990"/>
      <c r="BF89" s="990"/>
      <c r="BG89" s="941"/>
      <c r="BH89" s="941"/>
      <c r="BI89" s="941"/>
      <c r="BX89" s="990"/>
      <c r="BY89" s="990"/>
    </row>
    <row r="90" spans="1:80" x14ac:dyDescent="0.2">
      <c r="A90" s="946" t="s">
        <v>709</v>
      </c>
      <c r="B90" s="972"/>
      <c r="C90" s="972"/>
      <c r="D90" s="972"/>
      <c r="E90" s="938"/>
      <c r="F90" s="938"/>
      <c r="G90" s="938"/>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90"/>
      <c r="AY90" s="990"/>
      <c r="AZ90" s="990"/>
      <c r="BA90" s="990"/>
      <c r="BB90" s="990"/>
      <c r="BC90" s="990"/>
      <c r="BD90" s="990"/>
      <c r="BE90" s="990"/>
      <c r="BF90" s="990"/>
      <c r="BG90" s="941"/>
      <c r="BH90" s="941"/>
      <c r="BI90" s="941"/>
      <c r="BX90" s="941"/>
      <c r="BY90" s="941"/>
    </row>
    <row r="91" spans="1:80" x14ac:dyDescent="0.2">
      <c r="A91" s="941"/>
      <c r="B91" s="941"/>
      <c r="C91" s="941"/>
      <c r="D91" s="941"/>
      <c r="U91" s="1046"/>
      <c r="Y91" s="1046"/>
      <c r="AX91" s="941"/>
      <c r="AY91" s="941"/>
      <c r="AZ91" s="941"/>
      <c r="BA91" s="941"/>
      <c r="BB91" s="941"/>
      <c r="BC91" s="941"/>
      <c r="BD91" s="941"/>
      <c r="BE91" s="941"/>
      <c r="BF91" s="941"/>
      <c r="BG91" s="941"/>
      <c r="BH91" s="941"/>
      <c r="BI91" s="941"/>
      <c r="BX91" s="1006"/>
      <c r="BY91" s="1006"/>
    </row>
    <row r="92" spans="1:80" ht="15" x14ac:dyDescent="0.2">
      <c r="A92" s="958"/>
      <c r="B92" s="973"/>
      <c r="U92" s="1116"/>
      <c r="Y92" s="1116"/>
      <c r="AX92" s="1006"/>
      <c r="AY92" s="1006"/>
      <c r="AZ92" s="1006"/>
      <c r="BA92" s="1006"/>
      <c r="BB92" s="1006"/>
      <c r="BC92" s="1006"/>
      <c r="BD92" s="1006"/>
      <c r="BE92" s="1006"/>
      <c r="BF92" s="1006"/>
      <c r="BG92" s="941"/>
      <c r="BH92" s="941"/>
      <c r="BI92" s="941"/>
      <c r="BX92" s="1006"/>
      <c r="BY92" s="1006"/>
    </row>
    <row r="93" spans="1:80" x14ac:dyDescent="0.2">
      <c r="S93" s="1141"/>
      <c r="W93" s="1141"/>
      <c r="AA93" s="1141"/>
      <c r="AE93" s="1141"/>
      <c r="AI93" s="1141"/>
      <c r="AX93" s="1006"/>
      <c r="AY93" s="1006"/>
      <c r="AZ93" s="1006"/>
      <c r="BA93" s="1006"/>
      <c r="BB93" s="1006"/>
      <c r="BC93" s="1006"/>
      <c r="BD93" s="1006"/>
      <c r="BE93" s="1006"/>
      <c r="BF93" s="1006"/>
      <c r="BG93" s="941"/>
      <c r="BH93" s="941"/>
      <c r="BI93" s="941"/>
      <c r="BX93" s="1006"/>
      <c r="BY93" s="1006"/>
    </row>
    <row r="94" spans="1:80" x14ac:dyDescent="0.2">
      <c r="S94" s="1141"/>
      <c r="W94" s="1141"/>
      <c r="AA94" s="1141"/>
      <c r="AE94" s="1141"/>
      <c r="AI94" s="1141"/>
      <c r="AX94" s="1006"/>
      <c r="AY94" s="1006"/>
      <c r="AZ94" s="1006"/>
      <c r="BA94" s="1006"/>
      <c r="BB94" s="1006"/>
      <c r="BC94" s="1006"/>
      <c r="BD94" s="1006"/>
      <c r="BE94" s="1006"/>
      <c r="BF94" s="1006"/>
      <c r="BG94" s="941"/>
      <c r="BH94" s="941"/>
      <c r="BI94" s="941"/>
      <c r="BX94" s="1006"/>
      <c r="BY94" s="1006"/>
    </row>
    <row r="95" spans="1:80" x14ac:dyDescent="0.2">
      <c r="S95" s="1141"/>
      <c r="U95" s="1090"/>
      <c r="W95" s="1141"/>
      <c r="Y95" s="1090"/>
      <c r="AA95" s="1141"/>
      <c r="AC95" s="1090"/>
      <c r="AE95" s="1141"/>
      <c r="AI95" s="1141"/>
      <c r="AX95" s="1006"/>
      <c r="AY95" s="1006"/>
      <c r="AZ95" s="1006"/>
      <c r="BA95" s="1006"/>
      <c r="BB95" s="1006"/>
      <c r="BC95" s="1006"/>
      <c r="BD95" s="1006"/>
      <c r="BE95" s="1006"/>
      <c r="BF95" s="1006"/>
      <c r="BG95" s="941"/>
      <c r="BH95" s="941"/>
      <c r="BI95" s="941"/>
      <c r="BX95" s="941"/>
      <c r="BY95" s="941"/>
    </row>
    <row r="96" spans="1:80" x14ac:dyDescent="0.2">
      <c r="S96" s="1141"/>
      <c r="W96" s="1141"/>
      <c r="AA96" s="1141"/>
      <c r="AE96" s="1141"/>
      <c r="AI96" s="1141"/>
      <c r="AX96" s="941"/>
      <c r="AY96" s="941"/>
      <c r="AZ96" s="941"/>
      <c r="BA96" s="941"/>
      <c r="BB96" s="941"/>
      <c r="BC96" s="941"/>
      <c r="BD96" s="941"/>
      <c r="BE96" s="941"/>
      <c r="BF96" s="941"/>
      <c r="BG96" s="941"/>
      <c r="BH96" s="941"/>
      <c r="BI96" s="941"/>
      <c r="BX96" s="941"/>
      <c r="BY96" s="941"/>
    </row>
    <row r="97" spans="50:77" x14ac:dyDescent="0.2">
      <c r="AX97" s="941"/>
      <c r="AY97" s="941"/>
      <c r="AZ97" s="941"/>
      <c r="BA97" s="941"/>
      <c r="BB97" s="941"/>
      <c r="BC97" s="941"/>
      <c r="BD97" s="941"/>
      <c r="BE97" s="941"/>
      <c r="BF97" s="941"/>
      <c r="BG97" s="941"/>
      <c r="BH97" s="941"/>
      <c r="BI97" s="941"/>
      <c r="BX97" s="941"/>
      <c r="BY97" s="941"/>
    </row>
    <row r="98" spans="50:77" x14ac:dyDescent="0.2">
      <c r="AX98" s="941"/>
      <c r="AY98" s="941"/>
      <c r="AZ98" s="941"/>
      <c r="BA98" s="941"/>
      <c r="BB98" s="941"/>
      <c r="BC98" s="941"/>
      <c r="BD98" s="941"/>
      <c r="BE98" s="941"/>
      <c r="BF98" s="941"/>
      <c r="BG98" s="941"/>
      <c r="BH98" s="941"/>
      <c r="BI98" s="941"/>
      <c r="BX98" s="1020"/>
      <c r="BY98" s="1020"/>
    </row>
    <row r="99" spans="50:77" x14ac:dyDescent="0.2">
      <c r="AX99" s="1020"/>
      <c r="AY99" s="1020"/>
      <c r="AZ99" s="1020"/>
      <c r="BA99" s="1020"/>
      <c r="BB99" s="1020"/>
      <c r="BC99" s="1020"/>
      <c r="BD99" s="1020"/>
      <c r="BE99" s="1020"/>
      <c r="BF99" s="946"/>
      <c r="BG99" s="941"/>
      <c r="BH99" s="941"/>
      <c r="BI99" s="941"/>
      <c r="BX99" s="1020"/>
      <c r="BY99" s="1020"/>
    </row>
    <row r="100" spans="50:77" x14ac:dyDescent="0.2">
      <c r="AX100" s="1020"/>
      <c r="AY100" s="1020"/>
      <c r="AZ100" s="1020"/>
      <c r="BA100" s="1020"/>
      <c r="BB100" s="1020"/>
      <c r="BC100" s="1020"/>
      <c r="BD100" s="1020"/>
      <c r="BE100" s="1020"/>
      <c r="BF100" s="946"/>
      <c r="BG100" s="941"/>
      <c r="BH100" s="941"/>
      <c r="BI100" s="941"/>
      <c r="BX100" s="1020"/>
      <c r="BY100" s="1020"/>
    </row>
    <row r="101" spans="50:77" x14ac:dyDescent="0.2">
      <c r="AX101" s="1142"/>
      <c r="AY101" s="1142"/>
      <c r="AZ101" s="1142"/>
      <c r="BA101" s="1142"/>
      <c r="BB101" s="1142"/>
      <c r="BC101" s="1142"/>
      <c r="BD101" s="1142"/>
      <c r="BE101" s="1142"/>
      <c r="BF101" s="1142"/>
      <c r="BG101" s="941"/>
      <c r="BH101" s="941"/>
      <c r="BI101" s="941"/>
      <c r="BX101" s="941"/>
      <c r="BY101" s="941"/>
    </row>
    <row r="102" spans="50:77" x14ac:dyDescent="0.2">
      <c r="AX102" s="941"/>
      <c r="AY102" s="941"/>
      <c r="AZ102" s="941"/>
      <c r="BA102" s="941"/>
      <c r="BB102" s="941"/>
      <c r="BC102" s="941"/>
      <c r="BD102" s="941"/>
      <c r="BE102" s="941"/>
      <c r="BF102" s="941"/>
      <c r="BG102" s="941"/>
      <c r="BH102" s="941"/>
      <c r="BI102" s="941"/>
      <c r="BX102" s="941"/>
      <c r="BY102" s="941"/>
    </row>
    <row r="103" spans="50:77" x14ac:dyDescent="0.2">
      <c r="AX103" s="941"/>
      <c r="AY103" s="941"/>
      <c r="AZ103" s="941"/>
      <c r="BA103" s="941"/>
      <c r="BB103" s="941"/>
      <c r="BC103" s="941"/>
      <c r="BD103" s="941"/>
      <c r="BE103" s="941"/>
      <c r="BF103" s="941"/>
      <c r="BG103" s="941"/>
      <c r="BH103" s="941"/>
      <c r="BI103" s="941"/>
      <c r="BX103" s="1013"/>
      <c r="BY103" s="1013"/>
    </row>
    <row r="104" spans="50:77" x14ac:dyDescent="0.2">
      <c r="AX104" s="1020"/>
      <c r="AY104" s="1143"/>
      <c r="AZ104" s="1020"/>
      <c r="BA104" s="1020"/>
      <c r="BB104" s="1020"/>
      <c r="BC104" s="1124"/>
      <c r="BD104" s="1124"/>
      <c r="BE104" s="1072"/>
      <c r="BF104" s="971"/>
      <c r="BG104" s="941"/>
      <c r="BH104" s="941"/>
      <c r="BI104" s="941"/>
      <c r="BX104" s="1013"/>
      <c r="BY104" s="1013"/>
    </row>
    <row r="105" spans="50:77" x14ac:dyDescent="0.2">
      <c r="AX105" s="1020"/>
      <c r="AY105" s="1020"/>
      <c r="AZ105" s="1020"/>
      <c r="BA105" s="1020"/>
      <c r="BB105" s="1020"/>
      <c r="BC105" s="1067"/>
      <c r="BD105" s="1020"/>
      <c r="BE105" s="1020"/>
      <c r="BF105" s="1020"/>
      <c r="BG105" s="941"/>
      <c r="BH105" s="941"/>
      <c r="BI105" s="941"/>
      <c r="BX105" s="1086"/>
      <c r="BY105" s="1086"/>
    </row>
    <row r="106" spans="50:77" x14ac:dyDescent="0.2">
      <c r="AX106" s="959"/>
      <c r="AY106" s="1083"/>
      <c r="AZ106" s="1036"/>
      <c r="BA106" s="1036"/>
      <c r="BB106" s="1036"/>
      <c r="BC106" s="1083"/>
      <c r="BD106" s="1036"/>
      <c r="BE106" s="1036"/>
      <c r="BF106" s="1004"/>
      <c r="BG106" s="941"/>
      <c r="BH106" s="941"/>
      <c r="BI106" s="941"/>
      <c r="BX106" s="1003"/>
      <c r="BY106" s="1003"/>
    </row>
    <row r="107" spans="50:77" x14ac:dyDescent="0.2">
      <c r="AX107" s="959"/>
      <c r="AY107" s="1036"/>
      <c r="AZ107" s="1036"/>
      <c r="BA107" s="1036"/>
      <c r="BB107" s="1036"/>
      <c r="BC107" s="1036"/>
      <c r="BD107" s="1036"/>
      <c r="BE107" s="1036"/>
      <c r="BF107" s="1004"/>
      <c r="BG107" s="941"/>
      <c r="BH107" s="941"/>
      <c r="BI107" s="941"/>
      <c r="BX107" s="1036"/>
      <c r="BY107" s="1036"/>
    </row>
    <row r="108" spans="50:77" x14ac:dyDescent="0.2">
      <c r="AX108" s="959"/>
      <c r="AY108" s="1036"/>
      <c r="AZ108" s="1036"/>
      <c r="BA108" s="1036"/>
      <c r="BB108" s="1036"/>
      <c r="BC108" s="1036"/>
      <c r="BD108" s="1036"/>
      <c r="BE108" s="1036"/>
      <c r="BF108" s="952"/>
      <c r="BG108" s="941"/>
      <c r="BH108" s="941"/>
      <c r="BI108" s="941"/>
      <c r="BX108" s="1036"/>
      <c r="BY108" s="1036"/>
    </row>
    <row r="109" spans="50:77" x14ac:dyDescent="0.2">
      <c r="AX109" s="1036"/>
      <c r="AY109" s="1036"/>
      <c r="AZ109" s="1036"/>
      <c r="BA109" s="1036"/>
      <c r="BB109" s="1036"/>
      <c r="BC109" s="1036"/>
      <c r="BD109" s="1036"/>
      <c r="BE109" s="1036"/>
      <c r="BF109" s="1036"/>
      <c r="BG109" s="941"/>
      <c r="BH109" s="941"/>
      <c r="BI109" s="941"/>
      <c r="BX109" s="1090"/>
      <c r="BY109" s="1090"/>
    </row>
    <row r="110" spans="50:77" x14ac:dyDescent="0.2">
      <c r="AX110" s="1090"/>
      <c r="AY110" s="1090"/>
      <c r="AZ110" s="1090"/>
      <c r="BA110" s="1090"/>
      <c r="BB110" s="1090"/>
      <c r="BC110" s="1090"/>
      <c r="BD110" s="1090"/>
      <c r="BE110" s="1090"/>
      <c r="BF110" s="1090"/>
      <c r="BG110" s="941"/>
      <c r="BH110" s="941"/>
      <c r="BI110" s="941"/>
      <c r="BX110" s="1090"/>
      <c r="BY110" s="1090"/>
    </row>
    <row r="111" spans="50:77" x14ac:dyDescent="0.2">
      <c r="AX111" s="1090"/>
      <c r="AY111" s="1090"/>
      <c r="AZ111" s="1090"/>
      <c r="BA111" s="1090"/>
      <c r="BB111" s="1090"/>
      <c r="BC111" s="1090"/>
      <c r="BD111" s="1090"/>
      <c r="BE111" s="1090"/>
      <c r="BF111" s="1090"/>
      <c r="BG111" s="941"/>
      <c r="BH111" s="941"/>
      <c r="BI111" s="941"/>
      <c r="BX111" s="941"/>
      <c r="BY111" s="941"/>
    </row>
    <row r="112" spans="50:77" x14ac:dyDescent="0.2">
      <c r="AX112" s="941"/>
      <c r="AY112" s="941"/>
      <c r="AZ112" s="941"/>
      <c r="BA112" s="941"/>
      <c r="BB112" s="941"/>
      <c r="BC112" s="941"/>
      <c r="BD112" s="941"/>
      <c r="BE112" s="941"/>
      <c r="BF112" s="941"/>
      <c r="BG112" s="941"/>
      <c r="BH112" s="941"/>
      <c r="BI112" s="941"/>
      <c r="BX112" s="941"/>
      <c r="BY112" s="941"/>
    </row>
    <row r="113" spans="50:77" x14ac:dyDescent="0.2">
      <c r="AX113" s="941"/>
      <c r="AY113" s="941"/>
      <c r="AZ113" s="941"/>
      <c r="BA113" s="941"/>
      <c r="BB113" s="941"/>
      <c r="BC113" s="941"/>
      <c r="BD113" s="941"/>
      <c r="BE113" s="941"/>
      <c r="BF113" s="941"/>
      <c r="BG113" s="941"/>
      <c r="BH113" s="941"/>
      <c r="BI113" s="941"/>
      <c r="BX113" s="941"/>
      <c r="BY113" s="941"/>
    </row>
    <row r="114" spans="50:77" x14ac:dyDescent="0.2">
      <c r="AX114" s="941"/>
      <c r="AY114" s="941"/>
      <c r="AZ114" s="941"/>
      <c r="BA114" s="941"/>
      <c r="BB114" s="941"/>
      <c r="BC114" s="941"/>
      <c r="BD114" s="941"/>
      <c r="BE114" s="941"/>
      <c r="BF114" s="941"/>
      <c r="BG114" s="941"/>
      <c r="BH114" s="941"/>
      <c r="BI114" s="941"/>
      <c r="BX114" s="941"/>
      <c r="BY114" s="941"/>
    </row>
    <row r="115" spans="50:77" x14ac:dyDescent="0.2">
      <c r="AX115" s="941"/>
      <c r="AY115" s="941"/>
      <c r="AZ115" s="941"/>
      <c r="BA115" s="941"/>
      <c r="BB115" s="941"/>
      <c r="BC115" s="941"/>
      <c r="BD115" s="941"/>
      <c r="BE115" s="941"/>
      <c r="BF115" s="941"/>
      <c r="BG115" s="941"/>
      <c r="BH115" s="941"/>
      <c r="BI115" s="941"/>
      <c r="BX115" s="941"/>
      <c r="BY115" s="941"/>
    </row>
    <row r="116" spans="50:77" x14ac:dyDescent="0.2">
      <c r="AX116" s="941"/>
      <c r="AY116" s="941"/>
      <c r="AZ116" s="941"/>
      <c r="BA116" s="941"/>
      <c r="BB116" s="941"/>
      <c r="BC116" s="941"/>
      <c r="BD116" s="941"/>
      <c r="BE116" s="941"/>
      <c r="BF116" s="941"/>
      <c r="BG116" s="941"/>
      <c r="BH116" s="941"/>
      <c r="BI116" s="941"/>
    </row>
  </sheetData>
  <mergeCells count="6">
    <mergeCell ref="BJ10:BK10"/>
    <mergeCell ref="BJ61:BK61"/>
    <mergeCell ref="C9:D9"/>
    <mergeCell ref="C10:D10"/>
    <mergeCell ref="C60:D60"/>
    <mergeCell ref="C61:D61"/>
  </mergeCells>
  <phoneticPr fontId="14" type="noConversion"/>
  <conditionalFormatting sqref="A86 A78 A69 A58:A59">
    <cfRule type="cellIs" dxfId="169" priority="1" stopIfTrue="1" operator="equal">
      <formula>0</formula>
    </cfRule>
  </conditionalFormatting>
  <printOptions horizontalCentered="1" verticalCentered="1"/>
  <pageMargins left="0" right="0" top="0" bottom="0" header="0" footer="0"/>
  <pageSetup scale="55" orientation="landscape" r:id="rId1"/>
  <headerFooter alignWithMargins="0">
    <oddFooter>&amp;L&amp;F&amp;CPage 1</oddFooter>
  </headerFooter>
  <colBreaks count="1" manualBreakCount="1">
    <brk id="8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D107"/>
  <sheetViews>
    <sheetView zoomScale="90" zoomScaleNormal="90" workbookViewId="0">
      <selection activeCell="D52" sqref="D52"/>
    </sheetView>
  </sheetViews>
  <sheetFormatPr defaultColWidth="9.140625" defaultRowHeight="12.75" x14ac:dyDescent="0.2"/>
  <cols>
    <col min="1" max="1" width="2.7109375" style="1183" customWidth="1"/>
    <col min="2" max="2" width="52.85546875" style="1183" customWidth="1"/>
    <col min="3" max="3" width="11.140625" style="1920" customWidth="1"/>
    <col min="4" max="4" width="9.7109375" style="1920" customWidth="1"/>
    <col min="5" max="5" width="1.5703125" style="1315" customWidth="1"/>
    <col min="6" max="6" width="12.85546875" style="1315" customWidth="1"/>
    <col min="7" max="7" width="10" style="1315" customWidth="1"/>
    <col min="8" max="8" width="11" style="1357" customWidth="1"/>
    <col min="9" max="9" width="12.28515625" style="1357" customWidth="1"/>
    <col min="10" max="10" width="11" style="1357" customWidth="1"/>
    <col min="11" max="11" width="11.28515625" style="1357" customWidth="1"/>
    <col min="12" max="12" width="10.42578125" style="1357" customWidth="1"/>
    <col min="13" max="13" width="9.85546875" style="1357" customWidth="1"/>
    <col min="14" max="14" width="11.140625" style="1357" customWidth="1"/>
    <col min="15" max="15" width="10.7109375" style="1357" hidden="1" customWidth="1"/>
    <col min="16" max="16" width="11" style="1357" hidden="1" customWidth="1"/>
    <col min="17" max="17" width="9.85546875" style="1357" hidden="1" customWidth="1"/>
    <col min="18" max="18" width="11.140625" style="1357" hidden="1" customWidth="1"/>
    <col min="19" max="19" width="11.28515625" style="1357" hidden="1" customWidth="1"/>
    <col min="20" max="20" width="9" style="1357" hidden="1" customWidth="1"/>
    <col min="21" max="22" width="9.85546875" style="1357" hidden="1" customWidth="1"/>
    <col min="23" max="23" width="9.7109375" style="1357" hidden="1" customWidth="1"/>
    <col min="24" max="24" width="9" style="1357" hidden="1" customWidth="1"/>
    <col min="25" max="28" width="9.85546875" style="1357" hidden="1" customWidth="1"/>
    <col min="29" max="32" width="8" style="1357" hidden="1" customWidth="1"/>
    <col min="33" max="33" width="8.28515625" style="1357" hidden="1" customWidth="1"/>
    <col min="34" max="34" width="8.5703125" style="1357" hidden="1" customWidth="1"/>
    <col min="35" max="35" width="8.28515625" style="1357" hidden="1" customWidth="1"/>
    <col min="36" max="36" width="8" style="1357" hidden="1" customWidth="1"/>
    <col min="37" max="37" width="8.5703125" style="1357" hidden="1" customWidth="1"/>
    <col min="38" max="38" width="8" style="1357" hidden="1" customWidth="1"/>
    <col min="39" max="40" width="8.5703125" style="1357" hidden="1" customWidth="1"/>
    <col min="41" max="45" width="8" style="1357" hidden="1" customWidth="1"/>
    <col min="46" max="46" width="22.7109375" style="1357" hidden="1" customWidth="1"/>
    <col min="47" max="47" width="8" style="1357" hidden="1" customWidth="1"/>
    <col min="48" max="48" width="8.28515625" style="1357" hidden="1" customWidth="1"/>
    <col min="49" max="49" width="8" style="1357" hidden="1" customWidth="1"/>
    <col min="50" max="50" width="22.7109375" style="1920" hidden="1" customWidth="1"/>
    <col min="51" max="51" width="8.28515625" style="1920" hidden="1" customWidth="1"/>
    <col min="52" max="58" width="7.85546875" style="1920" hidden="1" customWidth="1"/>
    <col min="59" max="59" width="1.7109375" style="1357" hidden="1" customWidth="1"/>
    <col min="60" max="61" width="12.28515625" style="1920" hidden="1" customWidth="1"/>
    <col min="62" max="62" width="10.42578125" style="1920" hidden="1" customWidth="1"/>
    <col min="63" max="63" width="9.140625" style="1920" hidden="1" customWidth="1"/>
    <col min="64" max="64" width="1.7109375" style="1920" customWidth="1"/>
    <col min="65" max="65" width="11.5703125" style="1920" customWidth="1"/>
    <col min="66" max="68" width="11.5703125" style="1920" bestFit="1" customWidth="1"/>
    <col min="69" max="69" width="9.7109375" style="1920" customWidth="1"/>
    <col min="70" max="80" width="9.7109375" style="1920" hidden="1" customWidth="1"/>
    <col min="81" max="82" width="1.5703125" style="1920" customWidth="1"/>
    <col min="83" max="16384" width="9.140625" style="1180"/>
  </cols>
  <sheetData>
    <row r="1" spans="1:82" ht="5.25" customHeight="1" x14ac:dyDescent="0.2">
      <c r="C1" s="1183"/>
      <c r="D1" s="1183"/>
      <c r="E1" s="1145"/>
      <c r="F1" s="1145"/>
      <c r="G1" s="1145"/>
      <c r="H1" s="1184"/>
      <c r="I1" s="1184"/>
      <c r="J1" s="1184"/>
      <c r="K1" s="1184"/>
      <c r="L1" s="1184"/>
      <c r="M1" s="1184"/>
      <c r="N1" s="1184"/>
      <c r="O1" s="1184"/>
      <c r="P1" s="1184"/>
      <c r="Q1" s="1184"/>
      <c r="R1" s="1184"/>
      <c r="S1" s="1213"/>
      <c r="T1" s="1213"/>
      <c r="U1" s="1213"/>
      <c r="V1" s="1213"/>
      <c r="W1" s="1213"/>
      <c r="X1" s="1213"/>
      <c r="Y1" s="1213"/>
      <c r="Z1" s="1213"/>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t="e">
        <v>#REF!</v>
      </c>
      <c r="CB1" s="1213" t="e">
        <v>#REF!</v>
      </c>
      <c r="CC1" s="1183"/>
      <c r="CD1" s="1183"/>
    </row>
    <row r="2" spans="1:82" x14ac:dyDescent="0.2">
      <c r="C2" s="1183"/>
      <c r="D2" s="1183"/>
      <c r="E2" s="1145"/>
      <c r="F2" s="1145"/>
      <c r="G2" s="1145"/>
      <c r="H2" s="1184"/>
      <c r="I2" s="1184"/>
      <c r="J2" s="1184"/>
      <c r="K2" s="1184"/>
      <c r="L2" s="1184"/>
      <c r="M2" s="1184"/>
      <c r="N2" s="1184"/>
      <c r="O2" s="1184"/>
      <c r="P2" s="1184"/>
      <c r="Q2" s="1184"/>
      <c r="R2" s="1184"/>
      <c r="S2" s="1213"/>
      <c r="T2" s="1213"/>
      <c r="U2" s="1213"/>
      <c r="V2" s="1213"/>
      <c r="W2" s="1213"/>
      <c r="X2" s="1213"/>
      <c r="Y2" s="1213"/>
      <c r="Z2" s="1213"/>
      <c r="AA2" s="1213"/>
      <c r="AB2" s="1213"/>
      <c r="AC2" s="1213"/>
      <c r="AD2" s="1213"/>
      <c r="AE2" s="1213"/>
      <c r="AF2" s="1213"/>
      <c r="AG2" s="1213"/>
      <c r="AH2" s="1213"/>
      <c r="AI2" s="1213"/>
      <c r="AJ2" s="1213"/>
      <c r="AK2" s="1213"/>
      <c r="AL2" s="1213"/>
      <c r="AM2" s="1213"/>
      <c r="AN2" s="1213"/>
      <c r="AO2" s="1213"/>
      <c r="AP2" s="1213"/>
      <c r="AQ2" s="1213"/>
      <c r="AR2" s="1213"/>
      <c r="AS2" s="1213"/>
      <c r="AT2" s="1213"/>
      <c r="AU2" s="1213"/>
      <c r="AV2" s="1213"/>
      <c r="AW2" s="1213"/>
      <c r="AX2" s="1213"/>
      <c r="AY2" s="1213"/>
      <c r="AZ2" s="1213"/>
      <c r="BA2" s="1213"/>
      <c r="BB2" s="1213"/>
      <c r="BC2" s="1213"/>
      <c r="BD2" s="1213"/>
      <c r="BE2" s="1213"/>
      <c r="BF2" s="1213"/>
      <c r="BG2" s="1213"/>
      <c r="BH2" s="1213"/>
      <c r="BI2" s="1213"/>
      <c r="BJ2" s="1213"/>
      <c r="BK2" s="1213"/>
      <c r="BL2" s="1213"/>
      <c r="BM2" s="1213"/>
      <c r="BN2" s="1213"/>
      <c r="BO2" s="1213"/>
      <c r="BP2" s="1213"/>
      <c r="BQ2" s="1213"/>
      <c r="BR2" s="1213"/>
      <c r="BS2" s="1213"/>
      <c r="BT2" s="1213"/>
      <c r="BU2" s="1213"/>
      <c r="BV2" s="1213"/>
      <c r="BW2" s="1213"/>
      <c r="BX2" s="1213"/>
      <c r="BY2" s="1213"/>
      <c r="BZ2" s="1213"/>
      <c r="CA2" s="1213" t="e">
        <v>#REF!</v>
      </c>
      <c r="CB2" s="1213" t="e">
        <v>#REF!</v>
      </c>
      <c r="CC2" s="1183"/>
      <c r="CD2" s="1183"/>
    </row>
    <row r="3" spans="1:82" x14ac:dyDescent="0.2">
      <c r="C3" s="1183"/>
      <c r="D3" s="1183"/>
      <c r="E3" s="1145"/>
      <c r="F3" s="1145"/>
      <c r="G3" s="1145"/>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1184"/>
      <c r="AZ3" s="1184"/>
      <c r="BA3" s="1184"/>
      <c r="BB3" s="1184"/>
      <c r="BC3" s="1184"/>
      <c r="BD3" s="1184"/>
      <c r="BE3" s="1184"/>
      <c r="BF3" s="1184"/>
      <c r="BG3" s="1184"/>
      <c r="BH3" s="1184"/>
      <c r="BI3" s="1184"/>
      <c r="BJ3" s="1184"/>
      <c r="BK3" s="1213"/>
      <c r="BL3" s="1213"/>
      <c r="BM3" s="1213"/>
      <c r="BN3" s="1213"/>
      <c r="BO3" s="1213"/>
      <c r="BP3" s="1213"/>
      <c r="BQ3" s="1213"/>
      <c r="BR3" s="1213"/>
      <c r="BS3" s="1213"/>
      <c r="BT3" s="1213"/>
      <c r="BU3" s="1213"/>
      <c r="BV3" s="1213"/>
      <c r="BW3" s="1213"/>
      <c r="BX3" s="1213"/>
      <c r="BY3" s="1213"/>
      <c r="BZ3" s="1213"/>
      <c r="CA3" s="1213" t="e">
        <v>#REF!</v>
      </c>
      <c r="CB3" s="1213" t="e">
        <v>#REF!</v>
      </c>
      <c r="CC3" s="1183"/>
      <c r="CD3" s="1183"/>
    </row>
    <row r="4" spans="1:82" x14ac:dyDescent="0.2">
      <c r="C4" s="1183"/>
      <c r="D4" s="1183"/>
      <c r="E4" s="1145"/>
      <c r="F4" s="1146"/>
      <c r="G4" s="1146"/>
      <c r="H4" s="1216"/>
      <c r="I4" s="1215"/>
      <c r="J4" s="1215"/>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c r="BK4" s="1213"/>
      <c r="BL4" s="1213"/>
      <c r="BM4" s="1213"/>
      <c r="BN4" s="1213"/>
      <c r="BO4" s="1213"/>
      <c r="BP4" s="1213"/>
      <c r="BQ4" s="1213"/>
      <c r="BR4" s="1213"/>
      <c r="BS4" s="1213"/>
      <c r="BT4" s="1213"/>
      <c r="BU4" s="1213"/>
      <c r="BV4" s="1213"/>
      <c r="BW4" s="1213"/>
      <c r="BX4" s="1213"/>
      <c r="BY4" s="1213"/>
      <c r="BZ4" s="1213"/>
      <c r="CA4" s="1213" t="e">
        <v>#REF!</v>
      </c>
      <c r="CB4" s="1213" t="e">
        <v>#REF!</v>
      </c>
      <c r="CC4" s="1183"/>
      <c r="CD4" s="1183"/>
    </row>
    <row r="5" spans="1:82" ht="19.5" customHeight="1" x14ac:dyDescent="0.2">
      <c r="A5" s="1184"/>
      <c r="B5" s="1184"/>
      <c r="C5" s="1184"/>
      <c r="D5" s="1184"/>
      <c r="E5" s="1145"/>
      <c r="F5" s="1146"/>
      <c r="G5" s="1146"/>
      <c r="H5" s="1216"/>
      <c r="I5" s="1215"/>
      <c r="J5" s="1215"/>
      <c r="K5" s="1184"/>
      <c r="L5" s="1184"/>
      <c r="M5" s="1184"/>
      <c r="N5" s="1184"/>
      <c r="O5" s="1184"/>
      <c r="P5" s="1184"/>
      <c r="Q5" s="1184"/>
      <c r="R5" s="1184"/>
      <c r="S5" s="1184"/>
      <c r="T5" s="1184"/>
      <c r="U5" s="1184"/>
      <c r="V5" s="1184"/>
      <c r="W5" s="1184"/>
      <c r="X5" s="1184"/>
      <c r="Y5" s="1184"/>
      <c r="Z5" s="1184"/>
      <c r="AA5" s="1184"/>
      <c r="AB5" s="1184"/>
      <c r="AC5" s="1184"/>
      <c r="AD5" s="1184"/>
      <c r="AE5" s="1184"/>
      <c r="AF5" s="1184"/>
      <c r="AG5" s="1184"/>
      <c r="AH5" s="1184"/>
      <c r="AI5" s="1184"/>
      <c r="AJ5" s="1184"/>
      <c r="AK5" s="1184"/>
      <c r="AL5" s="1184"/>
      <c r="AM5" s="1184"/>
      <c r="AN5" s="1184"/>
      <c r="AO5" s="1184"/>
      <c r="AP5" s="1184"/>
      <c r="AQ5" s="1184"/>
      <c r="AR5" s="1184"/>
      <c r="AS5" s="1184"/>
      <c r="AT5" s="1184"/>
      <c r="AU5" s="1184"/>
      <c r="AV5" s="1184"/>
      <c r="AW5" s="1184"/>
      <c r="AX5" s="1184"/>
      <c r="AY5" s="1184"/>
      <c r="AZ5" s="1184"/>
      <c r="BA5" s="1184"/>
      <c r="BB5" s="1184"/>
      <c r="BC5" s="1184"/>
      <c r="BD5" s="1184"/>
      <c r="BE5" s="1184"/>
      <c r="BF5" s="1184"/>
      <c r="BG5" s="1184"/>
      <c r="BH5" s="1184"/>
      <c r="BI5" s="1184"/>
      <c r="BJ5" s="1184"/>
      <c r="BK5" s="1213"/>
      <c r="BL5" s="1213"/>
      <c r="BM5" s="1213"/>
      <c r="BN5" s="1214"/>
      <c r="BO5" s="1214"/>
      <c r="BP5" s="1213"/>
      <c r="BQ5" s="1213"/>
      <c r="BR5" s="1213"/>
      <c r="BS5" s="1213"/>
      <c r="BT5" s="1213"/>
      <c r="BU5" s="1213"/>
      <c r="BV5" s="1213"/>
      <c r="BW5" s="1213"/>
      <c r="BX5" s="1213"/>
      <c r="BY5" s="1213"/>
      <c r="BZ5" s="1213"/>
      <c r="CA5" s="1213" t="e">
        <v>#REF!</v>
      </c>
      <c r="CB5" s="1213" t="e">
        <v>#REF!</v>
      </c>
      <c r="CC5" s="1183"/>
      <c r="CD5" s="1183"/>
    </row>
    <row r="6" spans="1:82" ht="18" customHeight="1" x14ac:dyDescent="0.2">
      <c r="A6" s="1185" t="s">
        <v>362</v>
      </c>
      <c r="B6" s="1184"/>
      <c r="C6" s="1006"/>
      <c r="D6" s="952"/>
      <c r="E6" s="1145"/>
      <c r="F6" s="1146"/>
      <c r="G6" s="1146"/>
      <c r="H6" s="1215"/>
      <c r="I6" s="1215"/>
      <c r="J6" s="1215"/>
      <c r="K6" s="1184"/>
      <c r="L6" s="1184"/>
      <c r="M6" s="1184"/>
      <c r="N6" s="1184"/>
      <c r="O6" s="1184"/>
      <c r="P6" s="1184"/>
      <c r="Q6" s="1184"/>
      <c r="R6" s="1184"/>
      <c r="S6" s="1184"/>
      <c r="T6" s="1184"/>
      <c r="U6" s="1184"/>
      <c r="V6" s="1184"/>
      <c r="W6" s="1184"/>
      <c r="X6" s="1184"/>
      <c r="Y6" s="1184"/>
      <c r="Z6" s="1184"/>
      <c r="AA6" s="1184"/>
      <c r="AB6" s="1184"/>
      <c r="AC6" s="1184"/>
      <c r="AD6" s="1184"/>
      <c r="AE6" s="1184"/>
      <c r="AF6" s="1184"/>
      <c r="AG6" s="1184"/>
      <c r="AH6" s="1184"/>
      <c r="AI6" s="1184"/>
      <c r="AJ6" s="1184"/>
      <c r="AK6" s="1184"/>
      <c r="AL6" s="1184"/>
      <c r="AM6" s="1184"/>
      <c r="AN6" s="1184"/>
      <c r="AO6" s="1184"/>
      <c r="AP6" s="1184"/>
      <c r="AQ6" s="1184"/>
      <c r="AR6" s="1184"/>
      <c r="AS6" s="1184"/>
      <c r="AT6" s="1184"/>
      <c r="AU6" s="1184"/>
      <c r="AV6" s="1184"/>
      <c r="AW6" s="1184"/>
      <c r="AX6" s="1184"/>
      <c r="AY6" s="1184"/>
      <c r="AZ6" s="1184"/>
      <c r="BA6" s="1184"/>
      <c r="BB6" s="1184"/>
      <c r="BC6" s="1184"/>
      <c r="BD6" s="1184"/>
      <c r="BE6" s="1184"/>
      <c r="BF6" s="1184"/>
      <c r="BG6" s="1184"/>
      <c r="BH6" s="1184"/>
      <c r="BI6" s="1184"/>
      <c r="BJ6" s="1184"/>
      <c r="BK6" s="1213"/>
      <c r="BL6" s="1213"/>
      <c r="BM6" s="1213"/>
      <c r="BN6" s="1214"/>
      <c r="BO6" s="1214"/>
      <c r="BP6" s="1213"/>
      <c r="BQ6" s="1216"/>
      <c r="BR6" s="1216"/>
      <c r="BS6" s="1216"/>
      <c r="BT6" s="1216"/>
      <c r="BU6" s="1213"/>
      <c r="BV6" s="1213"/>
      <c r="BW6" s="1213"/>
      <c r="BX6" s="1213"/>
      <c r="BY6" s="1213"/>
      <c r="BZ6" s="1213"/>
      <c r="CA6" s="1213" t="e">
        <v>#REF!</v>
      </c>
      <c r="CB6" s="1213" t="e">
        <v>#REF!</v>
      </c>
      <c r="CC6" s="1183"/>
      <c r="CD6" s="1183"/>
    </row>
    <row r="7" spans="1:82" ht="18" customHeight="1" x14ac:dyDescent="0.2">
      <c r="A7" s="1186" t="s">
        <v>735</v>
      </c>
      <c r="B7" s="943"/>
      <c r="C7" s="943"/>
      <c r="D7" s="943"/>
      <c r="E7" s="899"/>
      <c r="F7" s="2935"/>
      <c r="G7" s="2935"/>
      <c r="H7" s="979"/>
      <c r="I7" s="979"/>
      <c r="J7" s="979"/>
      <c r="K7" s="943"/>
      <c r="L7" s="943"/>
      <c r="M7" s="943"/>
      <c r="N7" s="978"/>
      <c r="O7" s="943"/>
      <c r="P7" s="943"/>
      <c r="Q7" s="943"/>
      <c r="R7" s="978"/>
      <c r="S7" s="1216"/>
      <c r="T7" s="1216"/>
      <c r="U7" s="1216"/>
      <c r="V7" s="1216"/>
      <c r="W7" s="1216"/>
      <c r="X7" s="1216"/>
      <c r="Y7" s="1216"/>
      <c r="Z7" s="1216"/>
      <c r="AA7" s="1216"/>
      <c r="AB7" s="1216"/>
      <c r="AC7" s="1216"/>
      <c r="AD7" s="1216"/>
      <c r="AE7" s="1214"/>
      <c r="AF7" s="1214"/>
      <c r="AG7" s="1214"/>
      <c r="AH7" s="1214"/>
      <c r="AI7" s="1214"/>
      <c r="AJ7" s="1214"/>
      <c r="AK7" s="1214"/>
      <c r="AL7" s="1214"/>
      <c r="AM7" s="1214"/>
      <c r="AN7" s="1214"/>
      <c r="AO7" s="1214"/>
      <c r="AP7" s="1214"/>
      <c r="AQ7" s="1214"/>
      <c r="AR7" s="1214"/>
      <c r="AS7" s="1214"/>
      <c r="AT7" s="1214"/>
      <c r="AU7" s="1214"/>
      <c r="AV7" s="1214"/>
      <c r="AW7" s="1214"/>
      <c r="AX7" s="1214"/>
      <c r="AY7" s="1214"/>
      <c r="AZ7" s="1214"/>
      <c r="BA7" s="1214"/>
      <c r="BB7" s="1214"/>
      <c r="BC7" s="1214"/>
      <c r="BD7" s="1214"/>
      <c r="BE7" s="1214"/>
      <c r="BF7" s="1214"/>
      <c r="BG7" s="1214"/>
      <c r="BH7" s="1214"/>
      <c r="BI7" s="1214"/>
      <c r="BJ7" s="1213"/>
      <c r="BK7" s="1213"/>
      <c r="BL7" s="1213"/>
      <c r="BM7" s="1213"/>
      <c r="BN7" s="1214"/>
      <c r="BO7" s="1214"/>
      <c r="BP7" s="1213"/>
      <c r="BQ7" s="1216"/>
      <c r="BR7" s="1216"/>
      <c r="BS7" s="1216"/>
      <c r="BT7" s="1216"/>
      <c r="BU7" s="1213"/>
      <c r="BV7" s="1213"/>
      <c r="BW7" s="1213"/>
      <c r="BX7" s="1213"/>
      <c r="BY7" s="1213"/>
      <c r="BZ7" s="1213"/>
      <c r="CA7" s="1213" t="e">
        <v>#REF!</v>
      </c>
      <c r="CB7" s="1213" t="e">
        <v>#REF!</v>
      </c>
      <c r="CC7" s="1183"/>
      <c r="CD7" s="1183"/>
    </row>
    <row r="8" spans="1:82" ht="15" customHeight="1" x14ac:dyDescent="0.2">
      <c r="A8" s="944"/>
      <c r="B8" s="943"/>
      <c r="C8" s="943"/>
      <c r="D8" s="943"/>
      <c r="E8" s="899"/>
      <c r="F8" s="899"/>
      <c r="G8" s="899"/>
      <c r="H8" s="943"/>
      <c r="I8" s="943"/>
      <c r="J8" s="943"/>
      <c r="K8" s="943"/>
      <c r="L8" s="943"/>
      <c r="M8" s="943"/>
      <c r="N8" s="943"/>
      <c r="O8" s="943"/>
      <c r="P8" s="943"/>
      <c r="Q8" s="943"/>
      <c r="R8" s="943"/>
      <c r="S8" s="1213"/>
      <c r="T8" s="1213"/>
      <c r="U8" s="1213"/>
      <c r="V8" s="1213"/>
      <c r="W8" s="1213"/>
      <c r="X8" s="1213"/>
      <c r="Y8" s="1213"/>
      <c r="Z8" s="1213"/>
      <c r="AA8" s="1213"/>
      <c r="AB8" s="1213"/>
      <c r="AC8" s="1213"/>
      <c r="AD8" s="1213"/>
      <c r="AE8" s="1213"/>
      <c r="AF8" s="1213"/>
      <c r="AG8" s="1213"/>
      <c r="AH8" s="1213"/>
      <c r="AI8" s="1213"/>
      <c r="AJ8" s="1213"/>
      <c r="AK8" s="1213"/>
      <c r="AL8" s="1213"/>
      <c r="AM8" s="1213"/>
      <c r="AN8" s="1213"/>
      <c r="AO8" s="1213"/>
      <c r="AP8" s="1213"/>
      <c r="AQ8" s="1213"/>
      <c r="AR8" s="1213"/>
      <c r="AS8" s="1213"/>
      <c r="AT8" s="1213"/>
      <c r="AU8" s="1213"/>
      <c r="AV8" s="1213"/>
      <c r="AW8" s="1213"/>
      <c r="AX8" s="1213"/>
      <c r="AY8" s="1213"/>
      <c r="AZ8" s="1213"/>
      <c r="BA8" s="1213"/>
      <c r="BB8" s="1213"/>
      <c r="BC8" s="1213"/>
      <c r="BD8" s="1213"/>
      <c r="BE8" s="1213"/>
      <c r="BF8" s="1213"/>
      <c r="BG8" s="1213"/>
      <c r="BH8" s="1213"/>
      <c r="BI8" s="1213"/>
      <c r="BJ8" s="1213"/>
      <c r="BK8" s="1213"/>
      <c r="BL8" s="1213"/>
      <c r="BM8" s="1213"/>
      <c r="BN8" s="1213"/>
      <c r="BO8" s="1213"/>
      <c r="BP8" s="1213"/>
      <c r="BQ8" s="1213"/>
      <c r="BR8" s="1213"/>
      <c r="BS8" s="1213"/>
      <c r="BT8" s="1213"/>
      <c r="BU8" s="1213"/>
      <c r="BV8" s="1213"/>
      <c r="BW8" s="1213"/>
      <c r="BX8" s="1213"/>
      <c r="BY8" s="1213"/>
      <c r="BZ8" s="1213"/>
      <c r="CA8" s="1213"/>
      <c r="CB8" s="1213"/>
      <c r="CC8" s="1183"/>
      <c r="CD8" s="1183"/>
    </row>
    <row r="9" spans="1:82" ht="9.75" customHeight="1" x14ac:dyDescent="0.2">
      <c r="C9" s="941"/>
      <c r="D9" s="941"/>
      <c r="E9" s="897"/>
      <c r="F9" s="897"/>
      <c r="G9" s="897"/>
      <c r="H9" s="941"/>
      <c r="I9" s="941"/>
      <c r="J9" s="941"/>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81"/>
      <c r="AJ9" s="941"/>
      <c r="AK9" s="941"/>
      <c r="AL9" s="941"/>
      <c r="AM9" s="981"/>
      <c r="AN9" s="941"/>
      <c r="AO9" s="941"/>
      <c r="AP9" s="941"/>
      <c r="AQ9" s="981"/>
      <c r="AR9" s="941"/>
      <c r="AS9" s="981"/>
      <c r="AT9" s="941"/>
      <c r="AU9" s="981"/>
      <c r="AV9" s="941"/>
      <c r="AW9" s="941"/>
      <c r="AX9" s="1184"/>
      <c r="AY9" s="1184"/>
      <c r="AZ9" s="1184"/>
      <c r="BA9" s="1183"/>
      <c r="BB9" s="1183"/>
      <c r="BC9" s="1183"/>
      <c r="BD9" s="1183"/>
      <c r="BE9" s="1183"/>
      <c r="BF9" s="1183"/>
      <c r="BG9" s="1184"/>
      <c r="BH9" s="1183"/>
      <c r="BI9" s="1183"/>
      <c r="BJ9" s="1217"/>
      <c r="BK9" s="1217"/>
      <c r="BL9" s="1183"/>
      <c r="BM9" s="1183"/>
      <c r="BN9" s="1183"/>
      <c r="BO9" s="1183"/>
      <c r="BP9" s="1183"/>
      <c r="BQ9" s="1183"/>
      <c r="BR9" s="1183"/>
      <c r="BS9" s="1183"/>
      <c r="BT9" s="1183"/>
      <c r="BU9" s="1183"/>
      <c r="BV9" s="1183"/>
      <c r="BW9" s="1183"/>
      <c r="BX9" s="1183"/>
      <c r="BY9" s="1183"/>
      <c r="BZ9" s="1183"/>
      <c r="CA9" s="1183"/>
      <c r="CB9" s="1183"/>
      <c r="CC9" s="1183"/>
      <c r="CD9" s="1183"/>
    </row>
    <row r="10" spans="1:82" x14ac:dyDescent="0.2">
      <c r="A10" s="945" t="s">
        <v>1</v>
      </c>
      <c r="B10" s="946"/>
      <c r="C10" s="3073" t="s">
        <v>671</v>
      </c>
      <c r="D10" s="3074"/>
      <c r="E10" s="901"/>
      <c r="F10" s="2958"/>
      <c r="G10" s="902"/>
      <c r="H10" s="982"/>
      <c r="I10" s="982"/>
      <c r="J10" s="983"/>
      <c r="K10" s="982"/>
      <c r="L10" s="982"/>
      <c r="M10" s="982"/>
      <c r="N10" s="983"/>
      <c r="O10" s="982"/>
      <c r="P10" s="982"/>
      <c r="Q10" s="982"/>
      <c r="R10" s="983"/>
      <c r="S10" s="982"/>
      <c r="T10" s="982"/>
      <c r="U10" s="982"/>
      <c r="V10" s="983"/>
      <c r="W10" s="982"/>
      <c r="X10" s="982"/>
      <c r="Y10" s="982"/>
      <c r="Z10" s="983"/>
      <c r="AA10" s="982"/>
      <c r="AB10" s="982"/>
      <c r="AC10" s="982"/>
      <c r="AD10" s="983"/>
      <c r="AE10" s="982"/>
      <c r="AF10" s="982"/>
      <c r="AG10" s="982"/>
      <c r="AH10" s="983"/>
      <c r="AI10" s="984"/>
      <c r="AJ10" s="982"/>
      <c r="AK10" s="982"/>
      <c r="AL10" s="983"/>
      <c r="AM10" s="984"/>
      <c r="AN10" s="982"/>
      <c r="AO10" s="982"/>
      <c r="AP10" s="983"/>
      <c r="AQ10" s="941"/>
      <c r="AR10" s="982"/>
      <c r="AS10" s="941"/>
      <c r="AT10" s="983"/>
      <c r="AU10" s="982"/>
      <c r="AV10" s="941"/>
      <c r="AW10" s="982"/>
      <c r="AX10" s="983"/>
      <c r="AY10" s="982"/>
      <c r="AZ10" s="982"/>
      <c r="BA10" s="982"/>
      <c r="BB10" s="982"/>
      <c r="BC10" s="985"/>
      <c r="BD10" s="983"/>
      <c r="BE10" s="983"/>
      <c r="BF10" s="983"/>
      <c r="BG10" s="986"/>
      <c r="BH10" s="3073" t="s">
        <v>660</v>
      </c>
      <c r="BI10" s="3080"/>
      <c r="BJ10" s="988" t="s">
        <v>563</v>
      </c>
      <c r="BK10" s="989"/>
      <c r="BL10" s="990"/>
      <c r="BM10" s="2309"/>
      <c r="BN10" s="2309"/>
      <c r="BO10" s="2309"/>
      <c r="BP10" s="991"/>
      <c r="BQ10" s="991"/>
      <c r="BR10" s="991"/>
      <c r="BS10" s="991"/>
      <c r="BT10" s="991"/>
      <c r="BU10" s="991"/>
      <c r="BV10" s="991"/>
      <c r="BW10" s="991"/>
      <c r="BX10" s="1219"/>
      <c r="BY10" s="1221"/>
      <c r="BZ10" s="991"/>
      <c r="CA10" s="2819"/>
      <c r="CB10" s="1221"/>
      <c r="CC10" s="1223"/>
      <c r="CD10" s="1184"/>
    </row>
    <row r="11" spans="1:82" ht="13.5" x14ac:dyDescent="0.2">
      <c r="A11" s="945" t="s">
        <v>2</v>
      </c>
      <c r="B11" s="946"/>
      <c r="C11" s="3075" t="s">
        <v>38</v>
      </c>
      <c r="D11" s="3076"/>
      <c r="E11" s="906"/>
      <c r="F11" s="1993" t="s">
        <v>670</v>
      </c>
      <c r="G11" s="907" t="s">
        <v>558</v>
      </c>
      <c r="H11" s="992" t="s">
        <v>559</v>
      </c>
      <c r="I11" s="992" t="s">
        <v>560</v>
      </c>
      <c r="J11" s="993" t="s">
        <v>561</v>
      </c>
      <c r="K11" s="992" t="s">
        <v>508</v>
      </c>
      <c r="L11" s="992" t="s">
        <v>507</v>
      </c>
      <c r="M11" s="992" t="s">
        <v>506</v>
      </c>
      <c r="N11" s="993" t="s">
        <v>505</v>
      </c>
      <c r="O11" s="992" t="s">
        <v>382</v>
      </c>
      <c r="P11" s="992" t="s">
        <v>383</v>
      </c>
      <c r="Q11" s="992" t="s">
        <v>384</v>
      </c>
      <c r="R11" s="993" t="s">
        <v>385</v>
      </c>
      <c r="S11" s="992" t="s">
        <v>368</v>
      </c>
      <c r="T11" s="992" t="s">
        <v>367</v>
      </c>
      <c r="U11" s="992" t="s">
        <v>366</v>
      </c>
      <c r="V11" s="993" t="s">
        <v>364</v>
      </c>
      <c r="W11" s="992" t="s">
        <v>348</v>
      </c>
      <c r="X11" s="992" t="s">
        <v>349</v>
      </c>
      <c r="Y11" s="992" t="s">
        <v>350</v>
      </c>
      <c r="Z11" s="993" t="s">
        <v>351</v>
      </c>
      <c r="AA11" s="992" t="s">
        <v>315</v>
      </c>
      <c r="AB11" s="992" t="s">
        <v>314</v>
      </c>
      <c r="AC11" s="992" t="s">
        <v>313</v>
      </c>
      <c r="AD11" s="993" t="s">
        <v>311</v>
      </c>
      <c r="AE11" s="992" t="s">
        <v>270</v>
      </c>
      <c r="AF11" s="992" t="s">
        <v>271</v>
      </c>
      <c r="AG11" s="992" t="s">
        <v>272</v>
      </c>
      <c r="AH11" s="993" t="s">
        <v>273</v>
      </c>
      <c r="AI11" s="994" t="s">
        <v>223</v>
      </c>
      <c r="AJ11" s="992" t="s">
        <v>224</v>
      </c>
      <c r="AK11" s="992" t="s">
        <v>225</v>
      </c>
      <c r="AL11" s="993" t="s">
        <v>222</v>
      </c>
      <c r="AM11" s="994" t="s">
        <v>189</v>
      </c>
      <c r="AN11" s="992" t="s">
        <v>190</v>
      </c>
      <c r="AO11" s="992" t="s">
        <v>191</v>
      </c>
      <c r="AP11" s="993" t="s">
        <v>192</v>
      </c>
      <c r="AQ11" s="992" t="s">
        <v>121</v>
      </c>
      <c r="AR11" s="992" t="s">
        <v>120</v>
      </c>
      <c r="AS11" s="992" t="s">
        <v>119</v>
      </c>
      <c r="AT11" s="993" t="s">
        <v>118</v>
      </c>
      <c r="AU11" s="992" t="s">
        <v>81</v>
      </c>
      <c r="AV11" s="992" t="s">
        <v>82</v>
      </c>
      <c r="AW11" s="992" t="s">
        <v>83</v>
      </c>
      <c r="AX11" s="993" t="s">
        <v>29</v>
      </c>
      <c r="AY11" s="992" t="s">
        <v>30</v>
      </c>
      <c r="AZ11" s="992" t="s">
        <v>31</v>
      </c>
      <c r="BA11" s="992" t="s">
        <v>32</v>
      </c>
      <c r="BB11" s="992" t="s">
        <v>33</v>
      </c>
      <c r="BC11" s="995" t="s">
        <v>34</v>
      </c>
      <c r="BD11" s="993" t="s">
        <v>35</v>
      </c>
      <c r="BE11" s="993" t="s">
        <v>36</v>
      </c>
      <c r="BF11" s="993" t="s">
        <v>37</v>
      </c>
      <c r="BG11" s="996"/>
      <c r="BH11" s="992" t="s">
        <v>558</v>
      </c>
      <c r="BI11" s="992" t="s">
        <v>508</v>
      </c>
      <c r="BJ11" s="3071" t="s">
        <v>38</v>
      </c>
      <c r="BK11" s="3072"/>
      <c r="BL11" s="997"/>
      <c r="BM11" s="995" t="s">
        <v>562</v>
      </c>
      <c r="BN11" s="995" t="s">
        <v>509</v>
      </c>
      <c r="BO11" s="995" t="s">
        <v>502</v>
      </c>
      <c r="BP11" s="994" t="s">
        <v>379</v>
      </c>
      <c r="BQ11" s="994" t="s">
        <v>360</v>
      </c>
      <c r="BR11" s="994" t="s">
        <v>317</v>
      </c>
      <c r="BS11" s="994" t="s">
        <v>275</v>
      </c>
      <c r="BT11" s="994" t="s">
        <v>227</v>
      </c>
      <c r="BU11" s="994" t="s">
        <v>123</v>
      </c>
      <c r="BV11" s="994" t="s">
        <v>122</v>
      </c>
      <c r="BW11" s="994" t="s">
        <v>42</v>
      </c>
      <c r="BX11" s="994" t="s">
        <v>39</v>
      </c>
      <c r="BY11" s="995" t="s">
        <v>40</v>
      </c>
      <c r="BZ11" s="995" t="s">
        <v>142</v>
      </c>
      <c r="CA11" s="995" t="s">
        <v>143</v>
      </c>
      <c r="CB11" s="2825" t="s">
        <v>144</v>
      </c>
      <c r="CC11" s="1223"/>
      <c r="CD11" s="1184"/>
    </row>
    <row r="12" spans="1:82" s="1315" customFormat="1" x14ac:dyDescent="0.2">
      <c r="A12" s="945"/>
      <c r="B12" s="946"/>
      <c r="C12" s="1984"/>
      <c r="D12" s="1187"/>
      <c r="E12" s="906"/>
      <c r="F12" s="1997"/>
      <c r="G12" s="1151"/>
      <c r="H12" s="1224"/>
      <c r="I12" s="1224"/>
      <c r="J12" s="1225"/>
      <c r="K12" s="1224"/>
      <c r="L12" s="1224"/>
      <c r="M12" s="1224"/>
      <c r="N12" s="1225"/>
      <c r="O12" s="1224"/>
      <c r="P12" s="1224"/>
      <c r="Q12" s="1224"/>
      <c r="R12" s="1225"/>
      <c r="S12" s="1224"/>
      <c r="T12" s="1224"/>
      <c r="U12" s="1224"/>
      <c r="V12" s="1225"/>
      <c r="W12" s="1224"/>
      <c r="X12" s="1224"/>
      <c r="Y12" s="1224"/>
      <c r="Z12" s="1225"/>
      <c r="AA12" s="1224"/>
      <c r="AB12" s="1224"/>
      <c r="AC12" s="1224"/>
      <c r="AD12" s="1225"/>
      <c r="AE12" s="1224"/>
      <c r="AF12" s="1224"/>
      <c r="AG12" s="1224"/>
      <c r="AH12" s="1225"/>
      <c r="AI12" s="1226"/>
      <c r="AJ12" s="1224"/>
      <c r="AK12" s="1224"/>
      <c r="AL12" s="1225"/>
      <c r="AM12" s="1226"/>
      <c r="AN12" s="1224"/>
      <c r="AO12" s="1224"/>
      <c r="AP12" s="1225"/>
      <c r="AQ12" s="1226"/>
      <c r="AR12" s="1224"/>
      <c r="AS12" s="1224"/>
      <c r="AT12" s="1225"/>
      <c r="AU12" s="990"/>
      <c r="AV12" s="990"/>
      <c r="AW12" s="990"/>
      <c r="AX12" s="1227"/>
      <c r="AY12" s="990"/>
      <c r="AZ12" s="990"/>
      <c r="BA12" s="990"/>
      <c r="BB12" s="990"/>
      <c r="BC12" s="996"/>
      <c r="BD12" s="1227"/>
      <c r="BE12" s="1227"/>
      <c r="BF12" s="1227"/>
      <c r="BG12" s="996"/>
      <c r="BH12" s="1224"/>
      <c r="BI12" s="1224"/>
      <c r="BJ12" s="1220"/>
      <c r="BK12" s="1218"/>
      <c r="BL12" s="997"/>
      <c r="BM12" s="1228"/>
      <c r="BN12" s="1228"/>
      <c r="BO12" s="1228"/>
      <c r="BP12" s="1226"/>
      <c r="BQ12" s="1226"/>
      <c r="BR12" s="1226"/>
      <c r="BS12" s="1226"/>
      <c r="BT12" s="1226"/>
      <c r="BU12" s="1226"/>
      <c r="BV12" s="1226"/>
      <c r="BW12" s="1226"/>
      <c r="BX12" s="1226"/>
      <c r="BY12" s="1228"/>
      <c r="BZ12" s="996"/>
      <c r="CA12" s="996"/>
      <c r="CB12" s="2826"/>
      <c r="CC12" s="1223"/>
      <c r="CD12" s="1184"/>
    </row>
    <row r="13" spans="1:82" ht="12.75" customHeight="1" x14ac:dyDescent="0.2">
      <c r="A13" s="947" t="s">
        <v>59</v>
      </c>
      <c r="B13" s="948"/>
      <c r="C13" s="1188"/>
      <c r="D13" s="1186"/>
      <c r="E13" s="1152"/>
      <c r="F13" s="1152"/>
      <c r="G13" s="1153"/>
      <c r="H13" s="946"/>
      <c r="I13" s="1208"/>
      <c r="J13" s="1186"/>
      <c r="K13" s="1208"/>
      <c r="L13" s="946"/>
      <c r="M13" s="1208"/>
      <c r="N13" s="1186"/>
      <c r="O13" s="1208"/>
      <c r="P13" s="1208"/>
      <c r="Q13" s="1208"/>
      <c r="R13" s="1186"/>
      <c r="S13" s="1208"/>
      <c r="T13" s="1208"/>
      <c r="U13" s="1208"/>
      <c r="V13" s="1186"/>
      <c r="W13" s="1208"/>
      <c r="X13" s="1208"/>
      <c r="Y13" s="1208"/>
      <c r="Z13" s="1186"/>
      <c r="AA13" s="1208"/>
      <c r="AB13" s="1208"/>
      <c r="AC13" s="1208"/>
      <c r="AD13" s="1186"/>
      <c r="AE13" s="1208"/>
      <c r="AF13" s="1208"/>
      <c r="AG13" s="1208"/>
      <c r="AH13" s="1186"/>
      <c r="AI13" s="1208"/>
      <c r="AJ13" s="1208"/>
      <c r="AK13" s="1208"/>
      <c r="AL13" s="1186"/>
      <c r="AM13" s="1208"/>
      <c r="AN13" s="1208"/>
      <c r="AO13" s="1208"/>
      <c r="AP13" s="1186"/>
      <c r="AQ13" s="1208"/>
      <c r="AR13" s="1208"/>
      <c r="AS13" s="1208"/>
      <c r="AT13" s="1186"/>
      <c r="AU13" s="1208"/>
      <c r="AV13" s="1208"/>
      <c r="AW13" s="1208"/>
      <c r="AX13" s="1186"/>
      <c r="AY13" s="1208"/>
      <c r="AZ13" s="1208"/>
      <c r="BA13" s="1208"/>
      <c r="BB13" s="1186"/>
      <c r="BC13" s="1229"/>
      <c r="BD13" s="1186"/>
      <c r="BE13" s="1186"/>
      <c r="BF13" s="1186"/>
      <c r="BG13" s="1229"/>
      <c r="BH13" s="1208"/>
      <c r="BI13" s="1208"/>
      <c r="BJ13" s="1208"/>
      <c r="BK13" s="1186"/>
      <c r="BL13" s="1193"/>
      <c r="BM13" s="1229"/>
      <c r="BN13" s="1229"/>
      <c r="BO13" s="1229"/>
      <c r="BP13" s="1229"/>
      <c r="BQ13" s="1229"/>
      <c r="BR13" s="1229"/>
      <c r="BS13" s="1229"/>
      <c r="BT13" s="1229"/>
      <c r="BU13" s="1229"/>
      <c r="BV13" s="1229"/>
      <c r="BW13" s="1229"/>
      <c r="BX13" s="1188"/>
      <c r="BY13" s="1229"/>
      <c r="BZ13" s="1034"/>
      <c r="CA13" s="1034"/>
      <c r="CB13" s="1034"/>
      <c r="CC13" s="1223"/>
      <c r="CD13" s="1184"/>
    </row>
    <row r="14" spans="1:82" ht="12.75" customHeight="1" x14ac:dyDescent="0.2">
      <c r="A14" s="946"/>
      <c r="B14" s="946" t="s">
        <v>300</v>
      </c>
      <c r="C14" s="957">
        <v>5412</v>
      </c>
      <c r="D14" s="1035">
        <v>3.968323801143863E-2</v>
      </c>
      <c r="E14" s="920"/>
      <c r="F14" s="2223">
        <v>141792</v>
      </c>
      <c r="G14" s="1155">
        <v>137578</v>
      </c>
      <c r="H14" s="1205">
        <v>143115</v>
      </c>
      <c r="I14" s="1205">
        <v>139402</v>
      </c>
      <c r="J14" s="1245">
        <v>136380</v>
      </c>
      <c r="K14" s="1205">
        <v>135148</v>
      </c>
      <c r="L14" s="1205">
        <v>125709</v>
      </c>
      <c r="M14" s="1205">
        <v>96125</v>
      </c>
      <c r="N14" s="1245">
        <v>104955</v>
      </c>
      <c r="O14" s="1205">
        <v>105890</v>
      </c>
      <c r="P14" s="1205">
        <v>102637</v>
      </c>
      <c r="Q14" s="1205">
        <v>95342</v>
      </c>
      <c r="R14" s="1245">
        <v>92872</v>
      </c>
      <c r="S14" s="1205">
        <v>97915</v>
      </c>
      <c r="T14" s="1205">
        <v>95014</v>
      </c>
      <c r="U14" s="1205">
        <v>89182</v>
      </c>
      <c r="V14" s="1245">
        <v>94706</v>
      </c>
      <c r="W14" s="1205">
        <v>100869</v>
      </c>
      <c r="X14" s="1205">
        <v>92123</v>
      </c>
      <c r="Y14" s="1205">
        <v>86240</v>
      </c>
      <c r="Z14" s="1245">
        <v>94826</v>
      </c>
      <c r="AA14" s="1205">
        <v>102199</v>
      </c>
      <c r="AB14" s="1205">
        <v>87581</v>
      </c>
      <c r="AC14" s="1205">
        <v>81832</v>
      </c>
      <c r="AD14" s="1245">
        <v>90035</v>
      </c>
      <c r="AE14" s="1205">
        <v>87438</v>
      </c>
      <c r="AF14" s="1205">
        <v>89415</v>
      </c>
      <c r="AG14" s="1205">
        <v>87525</v>
      </c>
      <c r="AH14" s="1245">
        <v>88747</v>
      </c>
      <c r="AI14" s="1205">
        <v>74170</v>
      </c>
      <c r="AJ14" s="1205">
        <v>57380</v>
      </c>
      <c r="AK14" s="1205">
        <v>60299</v>
      </c>
      <c r="AL14" s="1245">
        <v>61028</v>
      </c>
      <c r="AM14" s="1205">
        <v>81959</v>
      </c>
      <c r="AN14" s="1205">
        <v>87433</v>
      </c>
      <c r="AO14" s="1205">
        <v>63002</v>
      </c>
      <c r="AP14" s="1245">
        <v>62256</v>
      </c>
      <c r="AQ14" s="1205">
        <v>62826</v>
      </c>
      <c r="AR14" s="1205">
        <v>60696</v>
      </c>
      <c r="AS14" s="1205">
        <v>56628</v>
      </c>
      <c r="AT14" s="1245">
        <v>55456</v>
      </c>
      <c r="AU14" s="1205">
        <v>49005</v>
      </c>
      <c r="AV14" s="1205">
        <v>51473</v>
      </c>
      <c r="AW14" s="1205">
        <v>60630</v>
      </c>
      <c r="AX14" s="1245">
        <v>71996</v>
      </c>
      <c r="AY14" s="1247">
        <v>69585</v>
      </c>
      <c r="AZ14" s="1247">
        <v>74959</v>
      </c>
      <c r="BA14" s="1247">
        <v>65728</v>
      </c>
      <c r="BB14" s="1248">
        <v>85775</v>
      </c>
      <c r="BC14" s="1249">
        <v>87682</v>
      </c>
      <c r="BD14" s="1248">
        <v>74380</v>
      </c>
      <c r="BE14" s="1248">
        <v>63556</v>
      </c>
      <c r="BF14" s="1248">
        <v>78054</v>
      </c>
      <c r="BG14" s="1249"/>
      <c r="BH14" s="1246">
        <v>556475</v>
      </c>
      <c r="BI14" s="1246">
        <v>461937</v>
      </c>
      <c r="BJ14" s="1246">
        <v>94538</v>
      </c>
      <c r="BK14" s="1035">
        <v>0.20465561321132536</v>
      </c>
      <c r="BL14" s="1247"/>
      <c r="BM14" s="1249">
        <v>556475</v>
      </c>
      <c r="BN14" s="1249">
        <v>461937</v>
      </c>
      <c r="BO14" s="1249">
        <v>396741</v>
      </c>
      <c r="BP14" s="2554">
        <v>376817</v>
      </c>
      <c r="BQ14" s="2554">
        <v>374058</v>
      </c>
      <c r="BR14" s="1265">
        <v>361647</v>
      </c>
      <c r="BS14" s="1237">
        <v>353125</v>
      </c>
      <c r="BT14" s="1237">
        <v>252877</v>
      </c>
      <c r="BU14" s="1237">
        <v>294650</v>
      </c>
      <c r="BV14" s="1237">
        <v>235606</v>
      </c>
      <c r="BW14" s="1237">
        <v>233104</v>
      </c>
      <c r="BX14" s="1237">
        <v>296047</v>
      </c>
      <c r="BY14" s="1237">
        <v>303672</v>
      </c>
      <c r="BZ14" s="1033">
        <v>239460</v>
      </c>
      <c r="CA14" s="1033">
        <v>168978</v>
      </c>
      <c r="CB14" s="1033">
        <v>162242</v>
      </c>
      <c r="CC14" s="1223"/>
      <c r="CD14" s="1184"/>
    </row>
    <row r="15" spans="1:82" ht="12.75" customHeight="1" x14ac:dyDescent="0.2">
      <c r="A15" s="946"/>
      <c r="B15" s="946" t="s">
        <v>60</v>
      </c>
      <c r="C15" s="957">
        <v>17280</v>
      </c>
      <c r="D15" s="1035">
        <v>0.25592038032612074</v>
      </c>
      <c r="E15" s="920"/>
      <c r="F15" s="2223">
        <v>84801</v>
      </c>
      <c r="G15" s="1155">
        <v>60316</v>
      </c>
      <c r="H15" s="1205">
        <v>98978</v>
      </c>
      <c r="I15" s="1205">
        <v>67426</v>
      </c>
      <c r="J15" s="1245">
        <v>67521</v>
      </c>
      <c r="K15" s="1205">
        <v>95514</v>
      </c>
      <c r="L15" s="1205">
        <v>112629</v>
      </c>
      <c r="M15" s="1205">
        <v>33356</v>
      </c>
      <c r="N15" s="1245">
        <v>40696</v>
      </c>
      <c r="O15" s="1205">
        <v>71595</v>
      </c>
      <c r="P15" s="1205">
        <v>46508</v>
      </c>
      <c r="Q15" s="1205">
        <v>40901</v>
      </c>
      <c r="R15" s="1245">
        <v>37125</v>
      </c>
      <c r="S15" s="1205">
        <v>16557</v>
      </c>
      <c r="T15" s="1205">
        <v>19261</v>
      </c>
      <c r="U15" s="1205">
        <v>31147</v>
      </c>
      <c r="V15" s="1245">
        <v>65064</v>
      </c>
      <c r="W15" s="1205">
        <v>56852</v>
      </c>
      <c r="X15" s="1205">
        <v>26770</v>
      </c>
      <c r="Y15" s="1205">
        <v>66289</v>
      </c>
      <c r="Z15" s="1245">
        <v>87372</v>
      </c>
      <c r="AA15" s="1205">
        <v>78453</v>
      </c>
      <c r="AB15" s="1205">
        <v>70841</v>
      </c>
      <c r="AC15" s="1205">
        <v>40283</v>
      </c>
      <c r="AD15" s="1245">
        <v>31833</v>
      </c>
      <c r="AE15" s="1205">
        <v>38541</v>
      </c>
      <c r="AF15" s="1205">
        <v>40609</v>
      </c>
      <c r="AG15" s="1205">
        <v>37961</v>
      </c>
      <c r="AH15" s="1245">
        <v>28661</v>
      </c>
      <c r="AI15" s="1205">
        <v>53553</v>
      </c>
      <c r="AJ15" s="1205">
        <v>32015</v>
      </c>
      <c r="AK15" s="1205">
        <v>29799</v>
      </c>
      <c r="AL15" s="1245">
        <v>59858</v>
      </c>
      <c r="AM15" s="1205">
        <v>103646</v>
      </c>
      <c r="AN15" s="1205">
        <v>116716</v>
      </c>
      <c r="AO15" s="1205">
        <v>51236</v>
      </c>
      <c r="AP15" s="1245">
        <v>55901</v>
      </c>
      <c r="AQ15" s="1205">
        <v>54191</v>
      </c>
      <c r="AR15" s="1205">
        <v>82089</v>
      </c>
      <c r="AS15" s="1205">
        <v>32366</v>
      </c>
      <c r="AT15" s="1245">
        <v>46590</v>
      </c>
      <c r="AU15" s="1205">
        <v>30146</v>
      </c>
      <c r="AV15" s="1205">
        <v>8887</v>
      </c>
      <c r="AW15" s="1205">
        <v>27894</v>
      </c>
      <c r="AX15" s="1245">
        <v>50989</v>
      </c>
      <c r="AY15" s="1247">
        <v>49608</v>
      </c>
      <c r="AZ15" s="1247">
        <v>84910</v>
      </c>
      <c r="BA15" s="1247">
        <v>73731</v>
      </c>
      <c r="BB15" s="1248">
        <v>128625</v>
      </c>
      <c r="BC15" s="1249">
        <v>99138</v>
      </c>
      <c r="BD15" s="1248">
        <v>78177</v>
      </c>
      <c r="BE15" s="1248">
        <v>70118</v>
      </c>
      <c r="BF15" s="1248">
        <v>102840</v>
      </c>
      <c r="BG15" s="1249"/>
      <c r="BH15" s="1246">
        <v>294241</v>
      </c>
      <c r="BI15" s="1246">
        <v>282195</v>
      </c>
      <c r="BJ15" s="1246">
        <v>12046</v>
      </c>
      <c r="BK15" s="1035">
        <v>4.2686794592391789E-2</v>
      </c>
      <c r="BL15" s="1247"/>
      <c r="BM15" s="1249">
        <v>294241</v>
      </c>
      <c r="BN15" s="1249">
        <v>282195</v>
      </c>
      <c r="BO15" s="1249">
        <v>196129</v>
      </c>
      <c r="BP15" s="2554">
        <v>132029</v>
      </c>
      <c r="BQ15" s="2554">
        <v>236551</v>
      </c>
      <c r="BR15" s="1265">
        <v>219718</v>
      </c>
      <c r="BS15" s="1237">
        <v>143620</v>
      </c>
      <c r="BT15" s="1237">
        <v>174826</v>
      </c>
      <c r="BU15" s="1237">
        <v>327499</v>
      </c>
      <c r="BV15" s="1237">
        <v>215237</v>
      </c>
      <c r="BW15" s="1237">
        <v>117916</v>
      </c>
      <c r="BX15" s="1237">
        <v>295787</v>
      </c>
      <c r="BY15" s="1237">
        <v>319240</v>
      </c>
      <c r="BZ15" s="1033">
        <v>253124</v>
      </c>
      <c r="CA15" s="1033">
        <v>214450</v>
      </c>
      <c r="CB15" s="1033">
        <v>188001</v>
      </c>
      <c r="CC15" s="1223"/>
      <c r="CD15" s="1184"/>
    </row>
    <row r="16" spans="1:82" ht="12.75" customHeight="1" x14ac:dyDescent="0.2">
      <c r="A16" s="946"/>
      <c r="B16" s="946" t="s">
        <v>208</v>
      </c>
      <c r="C16" s="957">
        <v>28890</v>
      </c>
      <c r="D16" s="1035">
        <v>1.1595889861122262</v>
      </c>
      <c r="E16" s="920"/>
      <c r="F16" s="2223">
        <v>53804</v>
      </c>
      <c r="G16" s="1155">
        <v>32220</v>
      </c>
      <c r="H16" s="1205">
        <v>40698</v>
      </c>
      <c r="I16" s="1205">
        <v>44396</v>
      </c>
      <c r="J16" s="1245">
        <v>24914</v>
      </c>
      <c r="K16" s="1205">
        <v>40930</v>
      </c>
      <c r="L16" s="1205">
        <v>31957</v>
      </c>
      <c r="M16" s="1205">
        <v>30589</v>
      </c>
      <c r="N16" s="1245">
        <v>18896</v>
      </c>
      <c r="O16" s="1205">
        <v>52474</v>
      </c>
      <c r="P16" s="1205">
        <v>17127</v>
      </c>
      <c r="Q16" s="1205">
        <v>21554</v>
      </c>
      <c r="R16" s="1245">
        <v>39594</v>
      </c>
      <c r="S16" s="1205">
        <v>54957</v>
      </c>
      <c r="T16" s="1205">
        <v>38954</v>
      </c>
      <c r="U16" s="1205">
        <v>44255</v>
      </c>
      <c r="V16" s="1245">
        <v>22014</v>
      </c>
      <c r="W16" s="1205">
        <v>40686</v>
      </c>
      <c r="X16" s="1205">
        <v>23449</v>
      </c>
      <c r="Y16" s="1205">
        <v>55741</v>
      </c>
      <c r="Z16" s="1245">
        <v>32694</v>
      </c>
      <c r="AA16" s="1205">
        <v>33585</v>
      </c>
      <c r="AB16" s="1205">
        <v>39758</v>
      </c>
      <c r="AC16" s="1205">
        <v>29894</v>
      </c>
      <c r="AD16" s="1245">
        <v>35905</v>
      </c>
      <c r="AE16" s="1205">
        <v>56145</v>
      </c>
      <c r="AF16" s="1205">
        <v>69348</v>
      </c>
      <c r="AG16" s="1205">
        <v>28571</v>
      </c>
      <c r="AH16" s="1245">
        <v>25626</v>
      </c>
      <c r="AI16" s="1205">
        <v>24634</v>
      </c>
      <c r="AJ16" s="1205">
        <v>38541</v>
      </c>
      <c r="AK16" s="1205">
        <v>21664</v>
      </c>
      <c r="AL16" s="1245">
        <v>22531</v>
      </c>
      <c r="AM16" s="1205">
        <v>25702</v>
      </c>
      <c r="AN16" s="1205">
        <v>25276</v>
      </c>
      <c r="AO16" s="1205">
        <v>13215</v>
      </c>
      <c r="AP16" s="1245">
        <v>20721</v>
      </c>
      <c r="AQ16" s="1205">
        <v>8323</v>
      </c>
      <c r="AR16" s="1205">
        <v>6328</v>
      </c>
      <c r="AS16" s="1205">
        <v>15254</v>
      </c>
      <c r="AT16" s="1245">
        <v>9296</v>
      </c>
      <c r="AU16" s="1205">
        <v>8854</v>
      </c>
      <c r="AV16" s="1205">
        <v>11311</v>
      </c>
      <c r="AW16" s="1205">
        <v>6130</v>
      </c>
      <c r="AX16" s="1245">
        <v>25158</v>
      </c>
      <c r="AY16" s="1271"/>
      <c r="AZ16" s="1271"/>
      <c r="BA16" s="1271"/>
      <c r="BB16" s="1245"/>
      <c r="BC16" s="1265"/>
      <c r="BD16" s="1245"/>
      <c r="BE16" s="1245"/>
      <c r="BF16" s="1245"/>
      <c r="BG16" s="1265"/>
      <c r="BH16" s="1246">
        <v>142228</v>
      </c>
      <c r="BI16" s="1246">
        <v>122372</v>
      </c>
      <c r="BJ16" s="1269">
        <v>19856</v>
      </c>
      <c r="BK16" s="1035">
        <v>0.16225934037198053</v>
      </c>
      <c r="BL16" s="1271"/>
      <c r="BM16" s="1249">
        <v>142228</v>
      </c>
      <c r="BN16" s="1265">
        <v>122372</v>
      </c>
      <c r="BO16" s="1265">
        <v>130749</v>
      </c>
      <c r="BP16" s="2554">
        <v>160180</v>
      </c>
      <c r="BQ16" s="2554">
        <v>153302</v>
      </c>
      <c r="BR16" s="1265">
        <v>140834</v>
      </c>
      <c r="BS16" s="1237">
        <v>181842</v>
      </c>
      <c r="BT16" s="1237">
        <v>107769</v>
      </c>
      <c r="BU16" s="1237">
        <v>84914</v>
      </c>
      <c r="BV16" s="1237">
        <v>39200</v>
      </c>
      <c r="BW16" s="1237">
        <v>51453</v>
      </c>
      <c r="BX16" s="1237">
        <v>41087</v>
      </c>
      <c r="BY16" s="1237">
        <v>31033</v>
      </c>
      <c r="BZ16" s="1033">
        <v>13082</v>
      </c>
      <c r="CA16" s="1033"/>
      <c r="CB16" s="1033"/>
      <c r="CC16" s="1223"/>
      <c r="CD16" s="1184"/>
    </row>
    <row r="17" spans="1:82" ht="12.75" customHeight="1" x14ac:dyDescent="0.2">
      <c r="A17" s="946"/>
      <c r="B17" s="946" t="s">
        <v>61</v>
      </c>
      <c r="C17" s="957">
        <v>-5835</v>
      </c>
      <c r="D17" s="1035">
        <v>-0.18878607480264009</v>
      </c>
      <c r="E17" s="920"/>
      <c r="F17" s="2223">
        <v>25073</v>
      </c>
      <c r="G17" s="1155">
        <v>35197</v>
      </c>
      <c r="H17" s="1205">
        <v>30776</v>
      </c>
      <c r="I17" s="1205">
        <v>28949</v>
      </c>
      <c r="J17" s="1245">
        <v>30908</v>
      </c>
      <c r="K17" s="1205">
        <v>36047</v>
      </c>
      <c r="L17" s="1205">
        <v>29138</v>
      </c>
      <c r="M17" s="1205">
        <v>22849</v>
      </c>
      <c r="N17" s="1245">
        <v>25887</v>
      </c>
      <c r="O17" s="1205">
        <v>31066</v>
      </c>
      <c r="P17" s="1205">
        <v>33569</v>
      </c>
      <c r="Q17" s="1205">
        <v>26859</v>
      </c>
      <c r="R17" s="1245">
        <v>27546</v>
      </c>
      <c r="S17" s="1205">
        <v>25199</v>
      </c>
      <c r="T17" s="1205">
        <v>20202</v>
      </c>
      <c r="U17" s="1205">
        <v>17592</v>
      </c>
      <c r="V17" s="1245">
        <v>22566</v>
      </c>
      <c r="W17" s="1205">
        <v>22621</v>
      </c>
      <c r="X17" s="1205">
        <v>14612</v>
      </c>
      <c r="Y17" s="1205">
        <v>17708</v>
      </c>
      <c r="Z17" s="1245">
        <v>20276</v>
      </c>
      <c r="AA17" s="1205">
        <v>31027</v>
      </c>
      <c r="AB17" s="1205">
        <v>21863</v>
      </c>
      <c r="AC17" s="1205">
        <v>18883</v>
      </c>
      <c r="AD17" s="1245">
        <v>19540</v>
      </c>
      <c r="AE17" s="1205">
        <v>22780</v>
      </c>
      <c r="AF17" s="1205">
        <v>18670</v>
      </c>
      <c r="AG17" s="1205">
        <v>17109</v>
      </c>
      <c r="AH17" s="1245">
        <v>7847</v>
      </c>
      <c r="AI17" s="1205">
        <v>6769</v>
      </c>
      <c r="AJ17" s="1205">
        <v>3304</v>
      </c>
      <c r="AK17" s="1205">
        <v>-1379</v>
      </c>
      <c r="AL17" s="1245">
        <v>1953</v>
      </c>
      <c r="AM17" s="1205">
        <v>17431</v>
      </c>
      <c r="AN17" s="1205">
        <v>10658</v>
      </c>
      <c r="AO17" s="1205">
        <v>9597</v>
      </c>
      <c r="AP17" s="1245">
        <v>5958</v>
      </c>
      <c r="AQ17" s="1205">
        <v>7278</v>
      </c>
      <c r="AR17" s="1205">
        <v>15645</v>
      </c>
      <c r="AS17" s="1205">
        <v>11589</v>
      </c>
      <c r="AT17" s="1245">
        <v>11470</v>
      </c>
      <c r="AU17" s="1205">
        <v>8540</v>
      </c>
      <c r="AV17" s="1205">
        <v>3781</v>
      </c>
      <c r="AW17" s="1205">
        <v>87</v>
      </c>
      <c r="AX17" s="1245">
        <v>5911</v>
      </c>
      <c r="AY17" s="1271">
        <v>4168</v>
      </c>
      <c r="AZ17" s="1271">
        <v>387</v>
      </c>
      <c r="BA17" s="1271">
        <v>-3925</v>
      </c>
      <c r="BB17" s="1245">
        <v>6813</v>
      </c>
      <c r="BC17" s="1265">
        <v>9429</v>
      </c>
      <c r="BD17" s="1245">
        <v>9035</v>
      </c>
      <c r="BE17" s="1245">
        <v>5390</v>
      </c>
      <c r="BF17" s="1245">
        <v>7784</v>
      </c>
      <c r="BG17" s="1265"/>
      <c r="BH17" s="1246">
        <v>125830</v>
      </c>
      <c r="BI17" s="1246">
        <v>113921</v>
      </c>
      <c r="BJ17" s="1269">
        <v>11909</v>
      </c>
      <c r="BK17" s="1035">
        <v>0.10453735483361276</v>
      </c>
      <c r="BL17" s="1271"/>
      <c r="BM17" s="1249">
        <v>125830</v>
      </c>
      <c r="BN17" s="1265">
        <v>113921</v>
      </c>
      <c r="BO17" s="1265">
        <v>119040</v>
      </c>
      <c r="BP17" s="2554">
        <v>85559</v>
      </c>
      <c r="BQ17" s="2554">
        <v>75217</v>
      </c>
      <c r="BR17" s="1265">
        <v>91313</v>
      </c>
      <c r="BS17" s="1237">
        <v>66406</v>
      </c>
      <c r="BT17" s="1237">
        <v>10647</v>
      </c>
      <c r="BU17" s="1237">
        <v>43644</v>
      </c>
      <c r="BV17" s="1237">
        <v>45982</v>
      </c>
      <c r="BW17" s="1237">
        <v>18319</v>
      </c>
      <c r="BX17" s="1237">
        <v>7443</v>
      </c>
      <c r="BY17" s="1237">
        <v>31638</v>
      </c>
      <c r="BZ17" s="1033">
        <v>27388</v>
      </c>
      <c r="CA17" s="1033">
        <v>13584</v>
      </c>
      <c r="CB17" s="1033">
        <v>27513</v>
      </c>
      <c r="CC17" s="1183"/>
      <c r="CD17" s="1183"/>
    </row>
    <row r="18" spans="1:82" ht="12.75" customHeight="1" x14ac:dyDescent="0.2">
      <c r="A18" s="946"/>
      <c r="B18" s="946" t="s">
        <v>62</v>
      </c>
      <c r="C18" s="957">
        <v>5939</v>
      </c>
      <c r="D18" s="1035">
        <v>0.64233181916504434</v>
      </c>
      <c r="E18" s="920"/>
      <c r="F18" s="2223">
        <v>15185</v>
      </c>
      <c r="G18" s="1155">
        <v>13733</v>
      </c>
      <c r="H18" s="1205">
        <v>12703</v>
      </c>
      <c r="I18" s="1205">
        <v>15326</v>
      </c>
      <c r="J18" s="1245">
        <v>9246</v>
      </c>
      <c r="K18" s="1205">
        <v>10045</v>
      </c>
      <c r="L18" s="1205">
        <v>6861</v>
      </c>
      <c r="M18" s="1205">
        <v>5793</v>
      </c>
      <c r="N18" s="1245">
        <v>5176</v>
      </c>
      <c r="O18" s="1205">
        <v>5217</v>
      </c>
      <c r="P18" s="1205">
        <v>4017</v>
      </c>
      <c r="Q18" s="1205">
        <v>4005</v>
      </c>
      <c r="R18" s="1245">
        <v>3608</v>
      </c>
      <c r="S18" s="1205">
        <v>3441</v>
      </c>
      <c r="T18" s="1205">
        <v>3981</v>
      </c>
      <c r="U18" s="1205">
        <v>4334</v>
      </c>
      <c r="V18" s="1245">
        <v>5074</v>
      </c>
      <c r="W18" s="1205">
        <v>4961</v>
      </c>
      <c r="X18" s="1205">
        <v>5045</v>
      </c>
      <c r="Y18" s="1205">
        <v>5902</v>
      </c>
      <c r="Z18" s="1245">
        <v>6304</v>
      </c>
      <c r="AA18" s="1205">
        <v>5908</v>
      </c>
      <c r="AB18" s="1205">
        <v>5704</v>
      </c>
      <c r="AC18" s="1205">
        <v>6132</v>
      </c>
      <c r="AD18" s="1245">
        <v>6805</v>
      </c>
      <c r="AE18" s="1205">
        <v>6758</v>
      </c>
      <c r="AF18" s="1205">
        <v>7291</v>
      </c>
      <c r="AG18" s="1205">
        <v>6758</v>
      </c>
      <c r="AH18" s="1245">
        <v>8392</v>
      </c>
      <c r="AI18" s="1205">
        <v>8205</v>
      </c>
      <c r="AJ18" s="1205">
        <v>8147</v>
      </c>
      <c r="AK18" s="1205">
        <v>7590</v>
      </c>
      <c r="AL18" s="1245">
        <v>7857</v>
      </c>
      <c r="AM18" s="1205">
        <v>7707</v>
      </c>
      <c r="AN18" s="1205">
        <v>7753</v>
      </c>
      <c r="AO18" s="1205">
        <v>5436</v>
      </c>
      <c r="AP18" s="1245">
        <v>3144</v>
      </c>
      <c r="AQ18" s="1205">
        <v>3269</v>
      </c>
      <c r="AR18" s="1205">
        <v>3099</v>
      </c>
      <c r="AS18" s="1205">
        <v>3121</v>
      </c>
      <c r="AT18" s="1245">
        <v>3476</v>
      </c>
      <c r="AU18" s="1205">
        <v>5116</v>
      </c>
      <c r="AV18" s="1205">
        <v>9108</v>
      </c>
      <c r="AW18" s="1205">
        <v>11734</v>
      </c>
      <c r="AX18" s="1245">
        <v>12329</v>
      </c>
      <c r="AY18" s="1271">
        <v>14574</v>
      </c>
      <c r="AZ18" s="1271">
        <v>16011</v>
      </c>
      <c r="BA18" s="1271">
        <v>16273</v>
      </c>
      <c r="BB18" s="1245">
        <v>16310</v>
      </c>
      <c r="BC18" s="1265">
        <v>15656</v>
      </c>
      <c r="BD18" s="1245">
        <v>14355</v>
      </c>
      <c r="BE18" s="1245">
        <v>14259</v>
      </c>
      <c r="BF18" s="1245">
        <v>13638</v>
      </c>
      <c r="BG18" s="1265"/>
      <c r="BH18" s="1246">
        <v>51008</v>
      </c>
      <c r="BI18" s="1246">
        <v>27875</v>
      </c>
      <c r="BJ18" s="1269">
        <v>23133</v>
      </c>
      <c r="BK18" s="1035">
        <v>0.82988340807174887</v>
      </c>
      <c r="BL18" s="1271"/>
      <c r="BM18" s="1249">
        <v>51008</v>
      </c>
      <c r="BN18" s="1265">
        <v>27875</v>
      </c>
      <c r="BO18" s="1265">
        <v>16847</v>
      </c>
      <c r="BP18" s="2554">
        <v>16830</v>
      </c>
      <c r="BQ18" s="2554">
        <v>22212</v>
      </c>
      <c r="BR18" s="1265">
        <v>24549</v>
      </c>
      <c r="BS18" s="1237">
        <v>29199</v>
      </c>
      <c r="BT18" s="1237">
        <v>31799</v>
      </c>
      <c r="BU18" s="1237">
        <v>24040</v>
      </c>
      <c r="BV18" s="1237">
        <v>12965</v>
      </c>
      <c r="BW18" s="1237">
        <v>38287</v>
      </c>
      <c r="BX18" s="1237">
        <v>63168</v>
      </c>
      <c r="BY18" s="1237">
        <v>57908</v>
      </c>
      <c r="BZ18" s="1033">
        <v>36915</v>
      </c>
      <c r="CA18" s="1033">
        <v>26488</v>
      </c>
      <c r="CB18" s="1033">
        <v>15853</v>
      </c>
      <c r="CC18" s="1183"/>
      <c r="CD18" s="1183"/>
    </row>
    <row r="19" spans="1:82" ht="12.75" customHeight="1" x14ac:dyDescent="0.2">
      <c r="A19" s="946"/>
      <c r="B19" s="946" t="s">
        <v>63</v>
      </c>
      <c r="C19" s="957">
        <v>-301</v>
      </c>
      <c r="D19" s="1035">
        <v>-5.8401241753977491E-2</v>
      </c>
      <c r="E19" s="920"/>
      <c r="F19" s="2223">
        <v>4853</v>
      </c>
      <c r="G19" s="1155">
        <v>5764</v>
      </c>
      <c r="H19" s="1205">
        <v>5330</v>
      </c>
      <c r="I19" s="1205">
        <v>4537</v>
      </c>
      <c r="J19" s="1245">
        <v>5154</v>
      </c>
      <c r="K19" s="1205">
        <v>4396</v>
      </c>
      <c r="L19" s="1205">
        <v>3148</v>
      </c>
      <c r="M19" s="1205">
        <v>2835</v>
      </c>
      <c r="N19" s="1245">
        <v>4198</v>
      </c>
      <c r="O19" s="1205">
        <v>5414</v>
      </c>
      <c r="P19" s="1205">
        <v>4250</v>
      </c>
      <c r="Q19" s="1205">
        <v>4941</v>
      </c>
      <c r="R19" s="1245">
        <v>5435</v>
      </c>
      <c r="S19" s="1205">
        <v>2843</v>
      </c>
      <c r="T19" s="1205">
        <v>4425</v>
      </c>
      <c r="U19" s="1205">
        <v>4092</v>
      </c>
      <c r="V19" s="1245">
        <v>5030</v>
      </c>
      <c r="W19" s="1205">
        <v>6476</v>
      </c>
      <c r="X19" s="1205">
        <v>4472</v>
      </c>
      <c r="Y19" s="1205">
        <v>4391</v>
      </c>
      <c r="Z19" s="1245">
        <v>4084</v>
      </c>
      <c r="AA19" s="1205">
        <v>2576</v>
      </c>
      <c r="AB19" s="1205">
        <v>5212</v>
      </c>
      <c r="AC19" s="1205">
        <v>6282</v>
      </c>
      <c r="AD19" s="1245">
        <v>3113</v>
      </c>
      <c r="AE19" s="1205">
        <v>6309</v>
      </c>
      <c r="AF19" s="1205">
        <v>4670</v>
      </c>
      <c r="AG19" s="1205">
        <v>8675</v>
      </c>
      <c r="AH19" s="1245">
        <v>3276</v>
      </c>
      <c r="AI19" s="1205">
        <v>10361</v>
      </c>
      <c r="AJ19" s="1205">
        <v>8502</v>
      </c>
      <c r="AK19" s="1205">
        <v>1527</v>
      </c>
      <c r="AL19" s="1245">
        <v>6556</v>
      </c>
      <c r="AM19" s="1205">
        <v>11150</v>
      </c>
      <c r="AN19" s="1205">
        <v>6998</v>
      </c>
      <c r="AO19" s="1205">
        <v>6799</v>
      </c>
      <c r="AP19" s="1245">
        <v>3937</v>
      </c>
      <c r="AQ19" s="1205">
        <v>7246</v>
      </c>
      <c r="AR19" s="1205">
        <v>5340</v>
      </c>
      <c r="AS19" s="1205">
        <v>4786</v>
      </c>
      <c r="AT19" s="1245">
        <v>11175</v>
      </c>
      <c r="AU19" s="1205">
        <v>5335</v>
      </c>
      <c r="AV19" s="1205">
        <v>2628</v>
      </c>
      <c r="AW19" s="1205">
        <v>4354</v>
      </c>
      <c r="AX19" s="1245">
        <v>6325</v>
      </c>
      <c r="AY19" s="1271">
        <v>5511</v>
      </c>
      <c r="AZ19" s="1271">
        <v>7087</v>
      </c>
      <c r="BA19" s="1271">
        <v>7062</v>
      </c>
      <c r="BB19" s="1245">
        <v>8347</v>
      </c>
      <c r="BC19" s="1265">
        <v>4538</v>
      </c>
      <c r="BD19" s="1245">
        <v>2366</v>
      </c>
      <c r="BE19" s="1245">
        <v>2708</v>
      </c>
      <c r="BF19" s="1245">
        <v>3811</v>
      </c>
      <c r="BG19" s="1265"/>
      <c r="BH19" s="1246">
        <v>20785</v>
      </c>
      <c r="BI19" s="1246">
        <v>14577</v>
      </c>
      <c r="BJ19" s="1269">
        <v>6208</v>
      </c>
      <c r="BK19" s="1192">
        <v>0.42587638059957467</v>
      </c>
      <c r="BL19" s="1271"/>
      <c r="BM19" s="1249">
        <v>20785</v>
      </c>
      <c r="BN19" s="1265">
        <v>14577</v>
      </c>
      <c r="BO19" s="1265">
        <v>20040</v>
      </c>
      <c r="BP19" s="2554">
        <v>16390</v>
      </c>
      <c r="BQ19" s="2554">
        <v>19423</v>
      </c>
      <c r="BR19" s="1265">
        <v>17183</v>
      </c>
      <c r="BS19" s="1237">
        <v>22930</v>
      </c>
      <c r="BT19" s="1237">
        <v>26946</v>
      </c>
      <c r="BU19" s="1237">
        <v>28884</v>
      </c>
      <c r="BV19" s="1237">
        <v>28547</v>
      </c>
      <c r="BW19" s="1237">
        <v>18642</v>
      </c>
      <c r="BX19" s="1237">
        <v>28007</v>
      </c>
      <c r="BY19" s="1237">
        <v>13423</v>
      </c>
      <c r="BZ19" s="1033">
        <v>13446</v>
      </c>
      <c r="CA19" s="1033">
        <v>9278</v>
      </c>
      <c r="CB19" s="1033">
        <v>8548</v>
      </c>
      <c r="CC19" s="1183"/>
      <c r="CD19" s="1183"/>
    </row>
    <row r="20" spans="1:82" ht="12.75" customHeight="1" x14ac:dyDescent="0.2">
      <c r="A20" s="948"/>
      <c r="B20" s="946"/>
      <c r="C20" s="1189">
        <v>51385</v>
      </c>
      <c r="D20" s="1190">
        <v>0.18745234803354699</v>
      </c>
      <c r="E20" s="920"/>
      <c r="F20" s="2959">
        <v>325508</v>
      </c>
      <c r="G20" s="1158">
        <v>284808</v>
      </c>
      <c r="H20" s="1395">
        <v>331600</v>
      </c>
      <c r="I20" s="1395">
        <v>300036</v>
      </c>
      <c r="J20" s="1400">
        <v>274123</v>
      </c>
      <c r="K20" s="1395">
        <v>322080</v>
      </c>
      <c r="L20" s="1395">
        <v>309442</v>
      </c>
      <c r="M20" s="1395">
        <v>191547</v>
      </c>
      <c r="N20" s="1400">
        <v>199808</v>
      </c>
      <c r="O20" s="1395">
        <v>271656</v>
      </c>
      <c r="P20" s="1395">
        <v>208108</v>
      </c>
      <c r="Q20" s="1395">
        <v>193602</v>
      </c>
      <c r="R20" s="1400">
        <v>206180</v>
      </c>
      <c r="S20" s="1395">
        <v>200912</v>
      </c>
      <c r="T20" s="1395">
        <v>181837</v>
      </c>
      <c r="U20" s="1395">
        <v>190602</v>
      </c>
      <c r="V20" s="1400">
        <v>214454</v>
      </c>
      <c r="W20" s="1395">
        <v>232465</v>
      </c>
      <c r="X20" s="1395">
        <v>166471</v>
      </c>
      <c r="Y20" s="1395">
        <v>236271</v>
      </c>
      <c r="Z20" s="1400">
        <v>245556</v>
      </c>
      <c r="AA20" s="1395">
        <v>253748</v>
      </c>
      <c r="AB20" s="1395">
        <v>230959</v>
      </c>
      <c r="AC20" s="1395">
        <v>183306</v>
      </c>
      <c r="AD20" s="1277">
        <v>187231</v>
      </c>
      <c r="AE20" s="1395">
        <v>217971</v>
      </c>
      <c r="AF20" s="1395">
        <v>230003</v>
      </c>
      <c r="AG20" s="1395">
        <v>186599</v>
      </c>
      <c r="AH20" s="1277">
        <v>162549</v>
      </c>
      <c r="AI20" s="1395">
        <v>177692</v>
      </c>
      <c r="AJ20" s="1395">
        <v>147889</v>
      </c>
      <c r="AK20" s="1395">
        <v>119500</v>
      </c>
      <c r="AL20" s="1277">
        <v>159783</v>
      </c>
      <c r="AM20" s="1395">
        <v>247595</v>
      </c>
      <c r="AN20" s="1395">
        <v>254834</v>
      </c>
      <c r="AO20" s="1395">
        <v>149285</v>
      </c>
      <c r="AP20" s="1277">
        <v>151917</v>
      </c>
      <c r="AQ20" s="1395">
        <v>143133</v>
      </c>
      <c r="AR20" s="1395">
        <v>173197</v>
      </c>
      <c r="AS20" s="1395">
        <v>123744</v>
      </c>
      <c r="AT20" s="1277">
        <v>137463</v>
      </c>
      <c r="AU20" s="1395">
        <v>106996</v>
      </c>
      <c r="AV20" s="1395">
        <v>87188</v>
      </c>
      <c r="AW20" s="1395">
        <v>110829</v>
      </c>
      <c r="AX20" s="1277">
        <v>172708</v>
      </c>
      <c r="AY20" s="1276">
        <v>143446</v>
      </c>
      <c r="AZ20" s="1276">
        <v>183354</v>
      </c>
      <c r="BA20" s="1276">
        <v>158869</v>
      </c>
      <c r="BB20" s="1277">
        <v>245870</v>
      </c>
      <c r="BC20" s="1268">
        <v>216443</v>
      </c>
      <c r="BD20" s="1277">
        <v>178313</v>
      </c>
      <c r="BE20" s="1277">
        <v>156031</v>
      </c>
      <c r="BF20" s="1277">
        <v>206127</v>
      </c>
      <c r="BG20" s="1265"/>
      <c r="BH20" s="1395">
        <v>1190567</v>
      </c>
      <c r="BI20" s="1395">
        <v>1022877</v>
      </c>
      <c r="BJ20" s="1276">
        <v>167690</v>
      </c>
      <c r="BK20" s="1190">
        <v>0.16393955480473213</v>
      </c>
      <c r="BL20" s="1271"/>
      <c r="BM20" s="1403">
        <v>1190567</v>
      </c>
      <c r="BN20" s="1403">
        <v>1022877</v>
      </c>
      <c r="BO20" s="1403">
        <v>879546</v>
      </c>
      <c r="BP20" s="1403">
        <v>787805</v>
      </c>
      <c r="BQ20" s="1268">
        <v>880763</v>
      </c>
      <c r="BR20" s="1268">
        <v>855244</v>
      </c>
      <c r="BS20" s="1243">
        <v>797122</v>
      </c>
      <c r="BT20" s="1243">
        <v>604864</v>
      </c>
      <c r="BU20" s="1243">
        <v>803631</v>
      </c>
      <c r="BV20" s="1243">
        <v>577537</v>
      </c>
      <c r="BW20" s="1243">
        <v>477721</v>
      </c>
      <c r="BX20" s="1243">
        <v>731539</v>
      </c>
      <c r="BY20" s="1243">
        <v>756914</v>
      </c>
      <c r="BZ20" s="1244">
        <v>583415</v>
      </c>
      <c r="CA20" s="1244">
        <v>432778</v>
      </c>
      <c r="CB20" s="1244">
        <v>402157</v>
      </c>
      <c r="CC20" s="1183"/>
      <c r="CD20" s="1183"/>
    </row>
    <row r="21" spans="1:82" ht="12.75" customHeight="1" x14ac:dyDescent="0.2">
      <c r="A21" s="947" t="s">
        <v>5</v>
      </c>
      <c r="B21" s="946"/>
      <c r="C21" s="1341"/>
      <c r="D21" s="1210"/>
      <c r="E21" s="920"/>
      <c r="F21" s="2223"/>
      <c r="G21" s="1155"/>
      <c r="H21" s="1205"/>
      <c r="I21" s="1205"/>
      <c r="J21" s="1245"/>
      <c r="K21" s="1205"/>
      <c r="L21" s="1205"/>
      <c r="M21" s="1205"/>
      <c r="N21" s="1245"/>
      <c r="O21" s="1205"/>
      <c r="P21" s="1205"/>
      <c r="Q21" s="1205"/>
      <c r="R21" s="1245"/>
      <c r="S21" s="1205"/>
      <c r="T21" s="1205"/>
      <c r="U21" s="1205"/>
      <c r="V21" s="1245"/>
      <c r="W21" s="1205"/>
      <c r="X21" s="1205"/>
      <c r="Y21" s="1205"/>
      <c r="Z21" s="1245"/>
      <c r="AA21" s="1205"/>
      <c r="AB21" s="1205"/>
      <c r="AC21" s="1205"/>
      <c r="AD21" s="1245"/>
      <c r="AE21" s="1205"/>
      <c r="AF21" s="1205"/>
      <c r="AG21" s="1205"/>
      <c r="AH21" s="1245"/>
      <c r="AI21" s="1205"/>
      <c r="AJ21" s="1205"/>
      <c r="AK21" s="1205"/>
      <c r="AL21" s="1245"/>
      <c r="AM21" s="1205"/>
      <c r="AN21" s="1205"/>
      <c r="AO21" s="1141"/>
      <c r="AP21" s="1245"/>
      <c r="AQ21" s="1205"/>
      <c r="AR21" s="1205"/>
      <c r="AS21" s="1205"/>
      <c r="AT21" s="1245"/>
      <c r="AU21" s="1205"/>
      <c r="AV21" s="1205"/>
      <c r="AW21" s="1205"/>
      <c r="AX21" s="1245"/>
      <c r="AY21" s="1271"/>
      <c r="AZ21" s="1271"/>
      <c r="BA21" s="1271"/>
      <c r="BB21" s="1245"/>
      <c r="BC21" s="1265"/>
      <c r="BD21" s="1245"/>
      <c r="BE21" s="1245"/>
      <c r="BF21" s="1245"/>
      <c r="BG21" s="1265"/>
      <c r="BH21" s="1269"/>
      <c r="BI21" s="1269"/>
      <c r="BJ21" s="1269"/>
      <c r="BK21" s="1245"/>
      <c r="BL21" s="1271"/>
      <c r="BM21" s="1265"/>
      <c r="BN21" s="1265"/>
      <c r="BO21" s="1265"/>
      <c r="BP21" s="1265"/>
      <c r="BQ21" s="1265"/>
      <c r="BR21" s="1265"/>
      <c r="BS21" s="1229"/>
      <c r="BT21" s="1229"/>
      <c r="BU21" s="1229"/>
      <c r="BV21" s="1229"/>
      <c r="BW21" s="1229"/>
      <c r="BX21" s="1237"/>
      <c r="BY21" s="1237"/>
      <c r="BZ21" s="1033"/>
      <c r="CA21" s="1033"/>
      <c r="CB21" s="1033"/>
      <c r="CC21" s="1223"/>
      <c r="CD21" s="1184"/>
    </row>
    <row r="22" spans="1:82" ht="12.75" hidden="1" customHeight="1" x14ac:dyDescent="0.2">
      <c r="A22" s="947"/>
      <c r="B22" s="946" t="s">
        <v>292</v>
      </c>
      <c r="C22" s="957">
        <v>22938</v>
      </c>
      <c r="D22" s="1035">
        <v>0.17267649317213449</v>
      </c>
      <c r="E22" s="920"/>
      <c r="F22" s="2223">
        <v>155776</v>
      </c>
      <c r="G22" s="1155">
        <v>110971</v>
      </c>
      <c r="H22" s="1205">
        <v>161732</v>
      </c>
      <c r="I22" s="1205">
        <v>145745</v>
      </c>
      <c r="J22" s="1245">
        <v>132838</v>
      </c>
      <c r="K22" s="1205">
        <v>149255</v>
      </c>
      <c r="L22" s="1205">
        <v>146324</v>
      </c>
      <c r="M22" s="1205">
        <v>90725</v>
      </c>
      <c r="N22" s="1245">
        <v>94065</v>
      </c>
      <c r="O22" s="1205">
        <v>127854</v>
      </c>
      <c r="P22" s="1205">
        <v>96737</v>
      </c>
      <c r="Q22" s="1205">
        <v>94206</v>
      </c>
      <c r="R22" s="1245">
        <v>98894</v>
      </c>
      <c r="S22" s="1205">
        <v>102527</v>
      </c>
      <c r="T22" s="1205">
        <v>97107</v>
      </c>
      <c r="U22" s="1205">
        <v>85346</v>
      </c>
      <c r="V22" s="1245">
        <v>97871</v>
      </c>
      <c r="W22" s="1205">
        <v>116370</v>
      </c>
      <c r="X22" s="1205">
        <v>77030</v>
      </c>
      <c r="Y22" s="1205">
        <v>109196</v>
      </c>
      <c r="Z22" s="1245">
        <v>112084</v>
      </c>
      <c r="AA22" s="1205">
        <v>114541</v>
      </c>
      <c r="AB22" s="1205">
        <v>104878</v>
      </c>
      <c r="AC22" s="1205">
        <v>79362</v>
      </c>
      <c r="AD22" s="1245">
        <v>77026</v>
      </c>
      <c r="AE22" s="1205">
        <v>103619</v>
      </c>
      <c r="AF22" s="1205">
        <v>103806</v>
      </c>
      <c r="AG22" s="1205">
        <v>82742</v>
      </c>
      <c r="AH22" s="1245">
        <v>72663</v>
      </c>
      <c r="AI22" s="1205">
        <v>88463</v>
      </c>
      <c r="AJ22" s="1205">
        <v>62981</v>
      </c>
      <c r="AK22" s="1205">
        <v>54138</v>
      </c>
      <c r="AL22" s="1245">
        <v>77401</v>
      </c>
      <c r="AM22" s="1205">
        <v>121923</v>
      </c>
      <c r="AN22" s="1205">
        <v>122575</v>
      </c>
      <c r="AO22" s="1269">
        <v>65815</v>
      </c>
      <c r="AP22" s="1245"/>
      <c r="AQ22" s="1205"/>
      <c r="AR22" s="1205"/>
      <c r="AS22" s="1205"/>
      <c r="AT22" s="1245"/>
      <c r="AU22" s="1205"/>
      <c r="AV22" s="1205"/>
      <c r="AW22" s="1205"/>
      <c r="AX22" s="1245"/>
      <c r="AY22" s="1271"/>
      <c r="AZ22" s="1271"/>
      <c r="BA22" s="1271"/>
      <c r="BB22" s="1245"/>
      <c r="BC22" s="1265"/>
      <c r="BD22" s="1245"/>
      <c r="BE22" s="1245"/>
      <c r="BF22" s="1245"/>
      <c r="BG22" s="1265"/>
      <c r="BH22" s="1269">
        <v>551286</v>
      </c>
      <c r="BI22" s="1269">
        <v>480369</v>
      </c>
      <c r="BJ22" s="1269">
        <v>70917</v>
      </c>
      <c r="BK22" s="2933">
        <v>0.14763025923821063</v>
      </c>
      <c r="BL22" s="1271"/>
      <c r="BM22" s="1249">
        <v>551286</v>
      </c>
      <c r="BN22" s="1265">
        <v>480369</v>
      </c>
      <c r="BO22" s="1265">
        <v>417691</v>
      </c>
      <c r="BP22" s="2554">
        <v>382851</v>
      </c>
      <c r="BQ22" s="2554">
        <v>414680</v>
      </c>
      <c r="BR22" s="1265">
        <v>375807</v>
      </c>
      <c r="BS22" s="1237">
        <v>362830</v>
      </c>
      <c r="BT22" s="1237">
        <v>282983</v>
      </c>
      <c r="BU22" s="1237">
        <v>380311</v>
      </c>
      <c r="BV22" s="1237">
        <v>281291</v>
      </c>
      <c r="BW22" s="1237">
        <v>214550</v>
      </c>
      <c r="BX22" s="1237">
        <v>337942</v>
      </c>
      <c r="BY22" s="1237"/>
      <c r="BZ22" s="1033"/>
      <c r="CA22" s="1033"/>
      <c r="CB22" s="1033"/>
      <c r="CC22" s="1223"/>
      <c r="CD22" s="1184"/>
    </row>
    <row r="23" spans="1:82" ht="12.75" hidden="1" customHeight="1" x14ac:dyDescent="0.2">
      <c r="A23" s="947"/>
      <c r="B23" s="946" t="s">
        <v>293</v>
      </c>
      <c r="C23" s="1191">
        <v>2005</v>
      </c>
      <c r="D23" s="1192">
        <v>0.4085167074164629</v>
      </c>
      <c r="E23" s="920"/>
      <c r="F23" s="2240">
        <v>6913</v>
      </c>
      <c r="G23" s="1161">
        <v>32938</v>
      </c>
      <c r="H23" s="1252">
        <v>4987</v>
      </c>
      <c r="I23" s="1252">
        <v>5748</v>
      </c>
      <c r="J23" s="1253">
        <v>4908</v>
      </c>
      <c r="K23" s="1252">
        <v>11154</v>
      </c>
      <c r="L23" s="1252">
        <v>12307</v>
      </c>
      <c r="M23" s="1252">
        <v>10545</v>
      </c>
      <c r="N23" s="1253">
        <v>12239</v>
      </c>
      <c r="O23" s="1252">
        <v>8548</v>
      </c>
      <c r="P23" s="1252">
        <v>10204</v>
      </c>
      <c r="Q23" s="1252">
        <v>9874</v>
      </c>
      <c r="R23" s="1253">
        <v>8681</v>
      </c>
      <c r="S23" s="1252">
        <v>10394</v>
      </c>
      <c r="T23" s="1252">
        <v>8667</v>
      </c>
      <c r="U23" s="1252">
        <v>7335</v>
      </c>
      <c r="V23" s="1253">
        <v>8629</v>
      </c>
      <c r="W23" s="1252">
        <v>10185</v>
      </c>
      <c r="X23" s="1252">
        <v>10169</v>
      </c>
      <c r="Y23" s="1252">
        <v>10193</v>
      </c>
      <c r="Z23" s="1253">
        <v>10253</v>
      </c>
      <c r="AA23" s="1252">
        <v>10035</v>
      </c>
      <c r="AB23" s="1252">
        <v>9999</v>
      </c>
      <c r="AC23" s="1252">
        <v>8149</v>
      </c>
      <c r="AD23" s="1253">
        <v>9299</v>
      </c>
      <c r="AE23" s="1252">
        <v>9678</v>
      </c>
      <c r="AF23" s="1252">
        <v>10331</v>
      </c>
      <c r="AG23" s="1252">
        <v>11772</v>
      </c>
      <c r="AH23" s="1253">
        <v>12113</v>
      </c>
      <c r="AI23" s="1252">
        <v>7178</v>
      </c>
      <c r="AJ23" s="1252">
        <v>6834</v>
      </c>
      <c r="AK23" s="1252">
        <v>7700</v>
      </c>
      <c r="AL23" s="1253">
        <v>213</v>
      </c>
      <c r="AM23" s="1252">
        <v>-2540</v>
      </c>
      <c r="AN23" s="1252">
        <v>4065</v>
      </c>
      <c r="AO23" s="1304">
        <v>4723</v>
      </c>
      <c r="AP23" s="1245"/>
      <c r="AQ23" s="1205"/>
      <c r="AR23" s="1205"/>
      <c r="AS23" s="1205"/>
      <c r="AT23" s="1245"/>
      <c r="AU23" s="1205"/>
      <c r="AV23" s="1205"/>
      <c r="AW23" s="1205"/>
      <c r="AX23" s="1245"/>
      <c r="AY23" s="1271"/>
      <c r="AZ23" s="1271"/>
      <c r="BA23" s="1271"/>
      <c r="BB23" s="1245"/>
      <c r="BC23" s="1265"/>
      <c r="BD23" s="1245"/>
      <c r="BE23" s="1245"/>
      <c r="BF23" s="1245"/>
      <c r="BG23" s="1265"/>
      <c r="BH23" s="1304">
        <v>48581</v>
      </c>
      <c r="BI23" s="1304">
        <v>46245</v>
      </c>
      <c r="BJ23" s="1304">
        <v>2336</v>
      </c>
      <c r="BK23" s="2934">
        <v>5.0513569034490217E-2</v>
      </c>
      <c r="BL23" s="1271"/>
      <c r="BM23" s="1478">
        <v>48581</v>
      </c>
      <c r="BN23" s="1274">
        <v>46245</v>
      </c>
      <c r="BO23" s="1274">
        <v>37307</v>
      </c>
      <c r="BP23" s="2788">
        <v>35025</v>
      </c>
      <c r="BQ23" s="1274">
        <v>40800</v>
      </c>
      <c r="BR23" s="1274">
        <v>37482</v>
      </c>
      <c r="BS23" s="1257">
        <v>43894</v>
      </c>
      <c r="BT23" s="1257">
        <v>21925</v>
      </c>
      <c r="BU23" s="1257">
        <v>8735</v>
      </c>
      <c r="BV23" s="1257">
        <v>17793</v>
      </c>
      <c r="BW23" s="1257">
        <v>7456</v>
      </c>
      <c r="BX23" s="1257">
        <v>9137</v>
      </c>
      <c r="BY23" s="1237"/>
      <c r="BZ23" s="1033"/>
      <c r="CA23" s="1033"/>
      <c r="CB23" s="1033"/>
      <c r="CC23" s="1223"/>
      <c r="CD23" s="1184"/>
    </row>
    <row r="24" spans="1:82" ht="12.75" hidden="1" customHeight="1" x14ac:dyDescent="0.2">
      <c r="A24" s="948"/>
      <c r="B24" s="1201" t="s">
        <v>620</v>
      </c>
      <c r="C24" s="957">
        <v>24943</v>
      </c>
      <c r="D24" s="1035">
        <v>0.18107966837512524</v>
      </c>
      <c r="E24" s="920"/>
      <c r="F24" s="2223">
        <v>162689</v>
      </c>
      <c r="G24" s="1155">
        <v>143909</v>
      </c>
      <c r="H24" s="1205">
        <v>166719</v>
      </c>
      <c r="I24" s="1205">
        <v>151493</v>
      </c>
      <c r="J24" s="1409">
        <v>137746</v>
      </c>
      <c r="K24" s="1205">
        <v>160409</v>
      </c>
      <c r="L24" s="1205">
        <v>158631</v>
      </c>
      <c r="M24" s="1205">
        <v>101270</v>
      </c>
      <c r="N24" s="1409">
        <v>106304</v>
      </c>
      <c r="O24" s="1205">
        <v>136402</v>
      </c>
      <c r="P24" s="1205">
        <v>106941</v>
      </c>
      <c r="Q24" s="1205">
        <v>104080</v>
      </c>
      <c r="R24" s="1409">
        <v>107575</v>
      </c>
      <c r="S24" s="1205">
        <v>112921</v>
      </c>
      <c r="T24" s="1205">
        <v>105774</v>
      </c>
      <c r="U24" s="1205">
        <v>92681</v>
      </c>
      <c r="V24" s="1409">
        <v>106500</v>
      </c>
      <c r="W24" s="1205">
        <v>126555</v>
      </c>
      <c r="X24" s="1205">
        <v>87199</v>
      </c>
      <c r="Y24" s="1205">
        <v>119389</v>
      </c>
      <c r="Z24" s="1409">
        <v>122337</v>
      </c>
      <c r="AA24" s="1205">
        <v>124576</v>
      </c>
      <c r="AB24" s="1205">
        <v>114877</v>
      </c>
      <c r="AC24" s="1205">
        <v>87511</v>
      </c>
      <c r="AD24" s="1245">
        <v>86325</v>
      </c>
      <c r="AE24" s="1205">
        <v>113297</v>
      </c>
      <c r="AF24" s="1205">
        <v>114137</v>
      </c>
      <c r="AG24" s="1205">
        <v>94514</v>
      </c>
      <c r="AH24" s="1245">
        <v>84776</v>
      </c>
      <c r="AI24" s="1205">
        <v>95641</v>
      </c>
      <c r="AJ24" s="1205">
        <v>69815</v>
      </c>
      <c r="AK24" s="1205">
        <v>61838</v>
      </c>
      <c r="AL24" s="1245">
        <v>77614</v>
      </c>
      <c r="AM24" s="1205">
        <v>119383</v>
      </c>
      <c r="AN24" s="1205">
        <v>126640</v>
      </c>
      <c r="AO24" s="1205">
        <v>70538</v>
      </c>
      <c r="AP24" s="1245">
        <v>72485</v>
      </c>
      <c r="AQ24" s="1205">
        <v>72783</v>
      </c>
      <c r="AR24" s="1205">
        <v>93872</v>
      </c>
      <c r="AS24" s="1205">
        <v>63966</v>
      </c>
      <c r="AT24" s="1245">
        <v>68463</v>
      </c>
      <c r="AU24" s="1205">
        <v>45003</v>
      </c>
      <c r="AV24" s="1205">
        <v>43299</v>
      </c>
      <c r="AW24" s="1205">
        <v>50977</v>
      </c>
      <c r="AX24" s="1245">
        <v>82727</v>
      </c>
      <c r="AY24" s="1271">
        <v>63479</v>
      </c>
      <c r="AZ24" s="1271">
        <v>90778</v>
      </c>
      <c r="BA24" s="1271">
        <v>71416</v>
      </c>
      <c r="BB24" s="1245">
        <v>121406</v>
      </c>
      <c r="BC24" s="1265">
        <v>113502</v>
      </c>
      <c r="BD24" s="1245">
        <v>89466</v>
      </c>
      <c r="BE24" s="1245">
        <v>74974</v>
      </c>
      <c r="BF24" s="1245">
        <v>104955</v>
      </c>
      <c r="BG24" s="1265"/>
      <c r="BH24" s="1269">
        <v>599867</v>
      </c>
      <c r="BI24" s="1269">
        <v>526614</v>
      </c>
      <c r="BJ24" s="1269">
        <v>73253</v>
      </c>
      <c r="BK24" s="1035">
        <v>0.13910188487203151</v>
      </c>
      <c r="BL24" s="1271"/>
      <c r="BM24" s="1249">
        <v>599867</v>
      </c>
      <c r="BN24" s="1265">
        <v>526614</v>
      </c>
      <c r="BO24" s="1265">
        <v>454998</v>
      </c>
      <c r="BP24" s="2554">
        <v>417876</v>
      </c>
      <c r="BQ24" s="1265">
        <v>455480</v>
      </c>
      <c r="BR24" s="1265">
        <v>413289</v>
      </c>
      <c r="BS24" s="1237">
        <v>406724</v>
      </c>
      <c r="BT24" s="1237">
        <v>304908</v>
      </c>
      <c r="BU24" s="1237">
        <v>389046</v>
      </c>
      <c r="BV24" s="1237">
        <v>299084</v>
      </c>
      <c r="BW24" s="1237">
        <v>222006</v>
      </c>
      <c r="BX24" s="1237">
        <v>347079</v>
      </c>
      <c r="BY24" s="1237">
        <v>382897</v>
      </c>
      <c r="BZ24" s="1033">
        <v>299188</v>
      </c>
      <c r="CA24" s="1033">
        <v>220454</v>
      </c>
      <c r="CB24" s="1033">
        <v>218802</v>
      </c>
      <c r="CC24" s="1223"/>
      <c r="CD24" s="1184"/>
    </row>
    <row r="25" spans="1:82" ht="12.75" hidden="1" customHeight="1" x14ac:dyDescent="0.2">
      <c r="A25" s="948"/>
      <c r="B25" s="946" t="s">
        <v>64</v>
      </c>
      <c r="C25" s="957">
        <v>3632</v>
      </c>
      <c r="D25" s="1035">
        <v>0.12705075733725119</v>
      </c>
      <c r="E25" s="920"/>
      <c r="F25" s="2223">
        <v>32219</v>
      </c>
      <c r="G25" s="1155">
        <v>31353</v>
      </c>
      <c r="H25" s="1205">
        <v>29220</v>
      </c>
      <c r="I25" s="1205">
        <v>27598</v>
      </c>
      <c r="J25" s="1245">
        <v>28587</v>
      </c>
      <c r="K25" s="1205">
        <v>28631</v>
      </c>
      <c r="L25" s="1205">
        <v>26537</v>
      </c>
      <c r="M25" s="1205">
        <v>21664</v>
      </c>
      <c r="N25" s="1245">
        <v>22407</v>
      </c>
      <c r="O25" s="1205">
        <v>22092</v>
      </c>
      <c r="P25" s="1205">
        <v>21064</v>
      </c>
      <c r="Q25" s="1205">
        <v>20633</v>
      </c>
      <c r="R25" s="1245">
        <v>21909</v>
      </c>
      <c r="S25" s="1205">
        <v>24398</v>
      </c>
      <c r="T25" s="1205">
        <v>23509</v>
      </c>
      <c r="U25" s="1205">
        <v>22510</v>
      </c>
      <c r="V25" s="1245">
        <v>22564</v>
      </c>
      <c r="W25" s="1205">
        <v>22539</v>
      </c>
      <c r="X25" s="1205">
        <v>20430</v>
      </c>
      <c r="Y25" s="1205">
        <v>20268</v>
      </c>
      <c r="Z25" s="1245">
        <v>22533</v>
      </c>
      <c r="AA25" s="1205">
        <v>25169</v>
      </c>
      <c r="AB25" s="1205">
        <v>21350</v>
      </c>
      <c r="AC25" s="1205">
        <v>21506</v>
      </c>
      <c r="AD25" s="1245">
        <v>23110</v>
      </c>
      <c r="AE25" s="1205">
        <v>22825</v>
      </c>
      <c r="AF25" s="1205">
        <v>21082</v>
      </c>
      <c r="AG25" s="1205">
        <v>21417</v>
      </c>
      <c r="AH25" s="1245">
        <v>23198</v>
      </c>
      <c r="AI25" s="1205">
        <v>17635</v>
      </c>
      <c r="AJ25" s="1205">
        <v>15009</v>
      </c>
      <c r="AK25" s="1205">
        <v>14163</v>
      </c>
      <c r="AL25" s="1245">
        <v>17117</v>
      </c>
      <c r="AM25" s="1205">
        <v>17543</v>
      </c>
      <c r="AN25" s="1205">
        <v>14739</v>
      </c>
      <c r="AO25" s="1205">
        <v>16322</v>
      </c>
      <c r="AP25" s="1245">
        <v>15816</v>
      </c>
      <c r="AQ25" s="1205">
        <v>16685</v>
      </c>
      <c r="AR25" s="1205">
        <v>14945</v>
      </c>
      <c r="AS25" s="1205">
        <v>13983</v>
      </c>
      <c r="AT25" s="1245">
        <v>13802</v>
      </c>
      <c r="AU25" s="1205">
        <v>14316</v>
      </c>
      <c r="AV25" s="1205">
        <v>12817</v>
      </c>
      <c r="AW25" s="1205">
        <v>14195</v>
      </c>
      <c r="AX25" s="1245">
        <v>15443</v>
      </c>
      <c r="AY25" s="1271">
        <v>14718</v>
      </c>
      <c r="AZ25" s="1271">
        <v>12658</v>
      </c>
      <c r="BA25" s="1271">
        <v>12649</v>
      </c>
      <c r="BB25" s="1245">
        <v>14269</v>
      </c>
      <c r="BC25" s="1265">
        <v>12862</v>
      </c>
      <c r="BD25" s="1245">
        <v>11610</v>
      </c>
      <c r="BE25" s="1245">
        <v>10643</v>
      </c>
      <c r="BF25" s="1245">
        <v>12493</v>
      </c>
      <c r="BG25" s="1265"/>
      <c r="BH25" s="1269">
        <v>116758</v>
      </c>
      <c r="BI25" s="1269">
        <v>99239</v>
      </c>
      <c r="BJ25" s="1269">
        <v>17519</v>
      </c>
      <c r="BK25" s="1035">
        <v>0.17653341932103306</v>
      </c>
      <c r="BL25" s="1271"/>
      <c r="BM25" s="1249">
        <v>116758</v>
      </c>
      <c r="BN25" s="1265">
        <v>99239</v>
      </c>
      <c r="BO25" s="1265">
        <v>85698</v>
      </c>
      <c r="BP25" s="2554">
        <v>92981</v>
      </c>
      <c r="BQ25" s="2554">
        <v>85770</v>
      </c>
      <c r="BR25" s="1265">
        <v>91135</v>
      </c>
      <c r="BS25" s="1237">
        <v>88522</v>
      </c>
      <c r="BT25" s="1237">
        <v>63924</v>
      </c>
      <c r="BU25" s="1237">
        <v>64420</v>
      </c>
      <c r="BV25" s="1237">
        <v>59415</v>
      </c>
      <c r="BW25" s="1237">
        <v>56771</v>
      </c>
      <c r="BX25" s="1237">
        <v>54294</v>
      </c>
      <c r="BY25" s="1237">
        <v>47608</v>
      </c>
      <c r="BZ25" s="1033">
        <v>42019</v>
      </c>
      <c r="CA25" s="1033">
        <v>45715</v>
      </c>
      <c r="CB25" s="1033">
        <v>37193</v>
      </c>
      <c r="CC25" s="1223"/>
      <c r="CD25" s="1184"/>
    </row>
    <row r="26" spans="1:82" ht="12.75" customHeight="1" x14ac:dyDescent="0.2">
      <c r="A26" s="948"/>
      <c r="B26" s="1201" t="s">
        <v>717</v>
      </c>
      <c r="C26" s="957">
        <v>28575</v>
      </c>
      <c r="D26" s="1035">
        <v>0.17179393145076444</v>
      </c>
      <c r="E26" s="920"/>
      <c r="F26" s="2223">
        <v>194908</v>
      </c>
      <c r="G26" s="1155">
        <v>175262</v>
      </c>
      <c r="H26" s="1205">
        <v>195939</v>
      </c>
      <c r="I26" s="1205">
        <v>179091</v>
      </c>
      <c r="J26" s="1245">
        <v>166333</v>
      </c>
      <c r="K26" s="1155">
        <v>189040</v>
      </c>
      <c r="L26" s="1205">
        <v>185168</v>
      </c>
      <c r="M26" s="1205">
        <v>122934</v>
      </c>
      <c r="N26" s="1245">
        <v>128711</v>
      </c>
      <c r="O26" s="1205"/>
      <c r="P26" s="1205"/>
      <c r="Q26" s="1205"/>
      <c r="R26" s="1245"/>
      <c r="S26" s="1205"/>
      <c r="T26" s="1205"/>
      <c r="U26" s="1205"/>
      <c r="V26" s="1245"/>
      <c r="W26" s="1205"/>
      <c r="X26" s="1205"/>
      <c r="Y26" s="1205"/>
      <c r="Z26" s="1245"/>
      <c r="AA26" s="1205"/>
      <c r="AB26" s="1205"/>
      <c r="AC26" s="1205"/>
      <c r="AD26" s="1245"/>
      <c r="AE26" s="1205"/>
      <c r="AF26" s="1205"/>
      <c r="AG26" s="1205"/>
      <c r="AH26" s="1245"/>
      <c r="AI26" s="1205"/>
      <c r="AJ26" s="1205"/>
      <c r="AK26" s="1205"/>
      <c r="AL26" s="1245"/>
      <c r="AM26" s="1205"/>
      <c r="AN26" s="1205"/>
      <c r="AO26" s="1205"/>
      <c r="AP26" s="1245"/>
      <c r="AQ26" s="1205"/>
      <c r="AR26" s="1205"/>
      <c r="AS26" s="1205"/>
      <c r="AT26" s="1245"/>
      <c r="AU26" s="1205"/>
      <c r="AV26" s="1205"/>
      <c r="AW26" s="1205"/>
      <c r="AX26" s="1245"/>
      <c r="AY26" s="1271"/>
      <c r="AZ26" s="1271"/>
      <c r="BA26" s="1271"/>
      <c r="BB26" s="1245"/>
      <c r="BC26" s="1265"/>
      <c r="BD26" s="1245"/>
      <c r="BE26" s="1245"/>
      <c r="BF26" s="1245"/>
      <c r="BG26" s="1265"/>
      <c r="BH26" s="1269"/>
      <c r="BI26" s="1269"/>
      <c r="BJ26" s="1269"/>
      <c r="BK26" s="1035"/>
      <c r="BL26" s="1271"/>
      <c r="BM26" s="1249">
        <v>716625</v>
      </c>
      <c r="BN26" s="1265">
        <v>625853</v>
      </c>
      <c r="BO26" s="1265">
        <v>540696</v>
      </c>
      <c r="BP26" s="1265">
        <v>510857</v>
      </c>
      <c r="BQ26" s="2554">
        <v>541250</v>
      </c>
      <c r="BR26" s="1265"/>
      <c r="BS26" s="1237"/>
      <c r="BT26" s="1237"/>
      <c r="BU26" s="1237"/>
      <c r="BV26" s="1237"/>
      <c r="BW26" s="1237"/>
      <c r="BX26" s="1237"/>
      <c r="BY26" s="1237"/>
      <c r="BZ26" s="1033"/>
      <c r="CA26" s="1033"/>
      <c r="CB26" s="1033"/>
      <c r="CC26" s="1223"/>
      <c r="CD26" s="1184"/>
    </row>
    <row r="27" spans="1:82" s="934" customFormat="1" x14ac:dyDescent="0.2">
      <c r="A27" s="948"/>
      <c r="B27" s="946" t="s">
        <v>93</v>
      </c>
      <c r="C27" s="957">
        <v>1620</v>
      </c>
      <c r="D27" s="1035">
        <v>8.7567567567567561E-2</v>
      </c>
      <c r="E27" s="920"/>
      <c r="F27" s="2223">
        <v>20120</v>
      </c>
      <c r="G27" s="1155">
        <v>18040</v>
      </c>
      <c r="H27" s="1205">
        <v>24575</v>
      </c>
      <c r="I27" s="1205">
        <v>22462</v>
      </c>
      <c r="J27" s="1245">
        <v>18500</v>
      </c>
      <c r="K27" s="1205">
        <v>20428</v>
      </c>
      <c r="L27" s="1205">
        <v>16521</v>
      </c>
      <c r="M27" s="1205">
        <v>14008</v>
      </c>
      <c r="N27" s="1245">
        <v>17252</v>
      </c>
      <c r="O27" s="1205">
        <v>18563</v>
      </c>
      <c r="P27" s="1205">
        <v>16660</v>
      </c>
      <c r="Q27" s="1205">
        <v>15852</v>
      </c>
      <c r="R27" s="1245">
        <v>14136</v>
      </c>
      <c r="S27" s="1205">
        <v>13939</v>
      </c>
      <c r="T27" s="1205">
        <v>15142</v>
      </c>
      <c r="U27" s="1205">
        <v>14107</v>
      </c>
      <c r="V27" s="1245">
        <v>13810</v>
      </c>
      <c r="W27" s="1205">
        <v>13411</v>
      </c>
      <c r="X27" s="1205">
        <v>13975</v>
      </c>
      <c r="Y27" s="1205">
        <v>12775</v>
      </c>
      <c r="Z27" s="1245">
        <v>12634</v>
      </c>
      <c r="AA27" s="1205">
        <v>14199</v>
      </c>
      <c r="AB27" s="1205">
        <v>11370</v>
      </c>
      <c r="AC27" s="1205">
        <v>10336</v>
      </c>
      <c r="AD27" s="1245">
        <v>11967</v>
      </c>
      <c r="AE27" s="1205">
        <v>10697</v>
      </c>
      <c r="AF27" s="1205">
        <v>10419</v>
      </c>
      <c r="AG27" s="1205">
        <v>10189</v>
      </c>
      <c r="AH27" s="1245">
        <v>12587</v>
      </c>
      <c r="AI27" s="1205">
        <v>6190</v>
      </c>
      <c r="AJ27" s="1205">
        <v>7416</v>
      </c>
      <c r="AK27" s="1205">
        <v>7742</v>
      </c>
      <c r="AL27" s="1245">
        <v>8965</v>
      </c>
      <c r="AM27" s="1205">
        <v>8624</v>
      </c>
      <c r="AN27" s="1205">
        <v>7937</v>
      </c>
      <c r="AO27" s="1205">
        <v>7241</v>
      </c>
      <c r="AP27" s="1245">
        <v>7705</v>
      </c>
      <c r="AQ27" s="1205">
        <v>7418</v>
      </c>
      <c r="AR27" s="1205">
        <v>7140</v>
      </c>
      <c r="AS27" s="1205">
        <v>7002</v>
      </c>
      <c r="AT27" s="1245">
        <v>7324</v>
      </c>
      <c r="AU27" s="1205">
        <v>6565</v>
      </c>
      <c r="AV27" s="1205">
        <v>6708</v>
      </c>
      <c r="AW27" s="1205">
        <v>6717</v>
      </c>
      <c r="AX27" s="1245">
        <v>6321</v>
      </c>
      <c r="AY27" s="1271">
        <v>5829</v>
      </c>
      <c r="AZ27" s="1271">
        <v>7054</v>
      </c>
      <c r="BA27" s="1271">
        <v>7249</v>
      </c>
      <c r="BB27" s="1245">
        <v>6958</v>
      </c>
      <c r="BC27" s="1265">
        <v>6718</v>
      </c>
      <c r="BD27" s="1245">
        <v>6056</v>
      </c>
      <c r="BE27" s="1245">
        <v>6119</v>
      </c>
      <c r="BF27" s="1245">
        <v>8559</v>
      </c>
      <c r="BG27" s="1265"/>
      <c r="BH27" s="1269">
        <v>83577</v>
      </c>
      <c r="BI27" s="1269">
        <v>68209</v>
      </c>
      <c r="BJ27" s="1269">
        <v>15368</v>
      </c>
      <c r="BK27" s="1035">
        <v>0.22530751073905203</v>
      </c>
      <c r="BL27" s="1271"/>
      <c r="BM27" s="1249">
        <v>83577</v>
      </c>
      <c r="BN27" s="1265">
        <v>68209</v>
      </c>
      <c r="BO27" s="1265">
        <v>65211</v>
      </c>
      <c r="BP27" s="2554">
        <v>56998</v>
      </c>
      <c r="BQ27" s="2554">
        <v>52795</v>
      </c>
      <c r="BR27" s="1265">
        <v>47872</v>
      </c>
      <c r="BS27" s="1237">
        <v>43892</v>
      </c>
      <c r="BT27" s="1237">
        <v>30313</v>
      </c>
      <c r="BU27" s="1237">
        <v>31507</v>
      </c>
      <c r="BV27" s="1237">
        <v>28884</v>
      </c>
      <c r="BW27" s="1237">
        <v>26311</v>
      </c>
      <c r="BX27" s="1237">
        <v>27090</v>
      </c>
      <c r="BY27" s="1237">
        <v>27452</v>
      </c>
      <c r="BZ27" s="1033">
        <v>20615</v>
      </c>
      <c r="CA27" s="1033">
        <v>16863</v>
      </c>
      <c r="CB27" s="1033">
        <v>17310</v>
      </c>
      <c r="CC27" s="949"/>
      <c r="CD27" s="941"/>
    </row>
    <row r="28" spans="1:82" s="934" customFormat="1" x14ac:dyDescent="0.2">
      <c r="A28" s="948"/>
      <c r="B28" s="946" t="s">
        <v>66</v>
      </c>
      <c r="C28" s="957">
        <v>-5163</v>
      </c>
      <c r="D28" s="1035">
        <v>-0.51905097014175128</v>
      </c>
      <c r="E28" s="1166"/>
      <c r="F28" s="2223">
        <v>4784</v>
      </c>
      <c r="G28" s="1155">
        <v>10895</v>
      </c>
      <c r="H28" s="1205">
        <v>10647</v>
      </c>
      <c r="I28" s="1205">
        <v>10230</v>
      </c>
      <c r="J28" s="1245">
        <v>9947</v>
      </c>
      <c r="K28" s="1205">
        <v>10138</v>
      </c>
      <c r="L28" s="1205">
        <v>10511</v>
      </c>
      <c r="M28" s="1205">
        <v>8847</v>
      </c>
      <c r="N28" s="1245">
        <v>10109</v>
      </c>
      <c r="O28" s="1205">
        <v>10301</v>
      </c>
      <c r="P28" s="1205">
        <v>12723</v>
      </c>
      <c r="Q28" s="1205">
        <v>9514</v>
      </c>
      <c r="R28" s="1245">
        <v>9748</v>
      </c>
      <c r="S28" s="1205">
        <v>11014</v>
      </c>
      <c r="T28" s="1205">
        <v>9912</v>
      </c>
      <c r="U28" s="1205">
        <v>10051</v>
      </c>
      <c r="V28" s="1245">
        <v>9886</v>
      </c>
      <c r="W28" s="1205">
        <v>10589</v>
      </c>
      <c r="X28" s="1205">
        <v>9579</v>
      </c>
      <c r="Y28" s="1205">
        <v>10080</v>
      </c>
      <c r="Z28" s="1245">
        <v>10033</v>
      </c>
      <c r="AA28" s="1205">
        <v>9211</v>
      </c>
      <c r="AB28" s="1205">
        <v>10092</v>
      </c>
      <c r="AC28" s="1205">
        <v>9823</v>
      </c>
      <c r="AD28" s="1245">
        <v>9335</v>
      </c>
      <c r="AE28" s="1205">
        <v>9924</v>
      </c>
      <c r="AF28" s="1205">
        <v>9504</v>
      </c>
      <c r="AG28" s="1205">
        <v>10842</v>
      </c>
      <c r="AH28" s="1245">
        <v>10854</v>
      </c>
      <c r="AI28" s="1205">
        <v>7354</v>
      </c>
      <c r="AJ28" s="1205">
        <v>6633</v>
      </c>
      <c r="AK28" s="1205">
        <v>6727</v>
      </c>
      <c r="AL28" s="1245">
        <v>6832</v>
      </c>
      <c r="AM28" s="1205">
        <v>7403</v>
      </c>
      <c r="AN28" s="1205">
        <v>7077</v>
      </c>
      <c r="AO28" s="1205">
        <v>6640</v>
      </c>
      <c r="AP28" s="1245">
        <v>6038</v>
      </c>
      <c r="AQ28" s="1205">
        <v>6188</v>
      </c>
      <c r="AR28" s="1205">
        <v>6228</v>
      </c>
      <c r="AS28" s="1205">
        <v>6104</v>
      </c>
      <c r="AT28" s="1245">
        <v>5882</v>
      </c>
      <c r="AU28" s="1205">
        <v>6404</v>
      </c>
      <c r="AV28" s="1205">
        <v>6549</v>
      </c>
      <c r="AW28" s="1205">
        <v>5957</v>
      </c>
      <c r="AX28" s="1245">
        <v>5785</v>
      </c>
      <c r="AY28" s="1271">
        <v>5970</v>
      </c>
      <c r="AZ28" s="1271">
        <v>5781</v>
      </c>
      <c r="BA28" s="1271">
        <v>5735</v>
      </c>
      <c r="BB28" s="1245">
        <v>5259</v>
      </c>
      <c r="BC28" s="1265">
        <v>7612</v>
      </c>
      <c r="BD28" s="1245">
        <v>5810</v>
      </c>
      <c r="BE28" s="1245">
        <v>5814</v>
      </c>
      <c r="BF28" s="1245">
        <v>5937</v>
      </c>
      <c r="BG28" s="1265"/>
      <c r="BH28" s="1269">
        <v>41719</v>
      </c>
      <c r="BI28" s="1269">
        <v>39605</v>
      </c>
      <c r="BJ28" s="1269">
        <v>2114</v>
      </c>
      <c r="BK28" s="1035">
        <v>5.3377098851155158E-2</v>
      </c>
      <c r="BL28" s="1271"/>
      <c r="BM28" s="1249">
        <v>41719</v>
      </c>
      <c r="BN28" s="1265">
        <v>39605</v>
      </c>
      <c r="BO28" s="1265">
        <v>42286</v>
      </c>
      <c r="BP28" s="2554">
        <v>40863</v>
      </c>
      <c r="BQ28" s="2554">
        <v>40281</v>
      </c>
      <c r="BR28" s="1265">
        <v>38461</v>
      </c>
      <c r="BS28" s="1237">
        <v>41124</v>
      </c>
      <c r="BT28" s="1237">
        <v>27546</v>
      </c>
      <c r="BU28" s="1237">
        <v>27158</v>
      </c>
      <c r="BV28" s="1237">
        <v>24402</v>
      </c>
      <c r="BW28" s="1237">
        <v>24695</v>
      </c>
      <c r="BX28" s="1237">
        <v>22745</v>
      </c>
      <c r="BY28" s="1237">
        <v>25173</v>
      </c>
      <c r="BZ28" s="1033">
        <v>15843</v>
      </c>
      <c r="CA28" s="1033">
        <v>11849</v>
      </c>
      <c r="CB28" s="1033">
        <v>13017</v>
      </c>
      <c r="CC28" s="949"/>
      <c r="CD28" s="941"/>
    </row>
    <row r="29" spans="1:82" s="934" customFormat="1" x14ac:dyDescent="0.2">
      <c r="A29" s="948"/>
      <c r="B29" s="1194" t="s">
        <v>67</v>
      </c>
      <c r="C29" s="957">
        <v>1172</v>
      </c>
      <c r="D29" s="1035">
        <v>7.717634663505861E-2</v>
      </c>
      <c r="E29" s="920"/>
      <c r="F29" s="2223">
        <v>16358</v>
      </c>
      <c r="G29" s="1155">
        <v>18154</v>
      </c>
      <c r="H29" s="1205">
        <v>16575</v>
      </c>
      <c r="I29" s="1205">
        <v>15015</v>
      </c>
      <c r="J29" s="1245">
        <v>15186</v>
      </c>
      <c r="K29" s="1205">
        <v>14967</v>
      </c>
      <c r="L29" s="1205">
        <v>14558</v>
      </c>
      <c r="M29" s="1205">
        <v>14163</v>
      </c>
      <c r="N29" s="1245">
        <v>12658</v>
      </c>
      <c r="O29" s="1205">
        <v>13279</v>
      </c>
      <c r="P29" s="1205">
        <v>12359</v>
      </c>
      <c r="Q29" s="1205">
        <v>14409</v>
      </c>
      <c r="R29" s="1245">
        <v>12334</v>
      </c>
      <c r="S29" s="1205">
        <v>13871</v>
      </c>
      <c r="T29" s="1205">
        <v>14234</v>
      </c>
      <c r="U29" s="1205">
        <v>14267</v>
      </c>
      <c r="V29" s="1245">
        <v>13603</v>
      </c>
      <c r="W29" s="1205">
        <v>14343</v>
      </c>
      <c r="X29" s="1205">
        <v>12997</v>
      </c>
      <c r="Y29" s="1205">
        <v>12901</v>
      </c>
      <c r="Z29" s="1245">
        <v>11517</v>
      </c>
      <c r="AA29" s="1205">
        <v>11790</v>
      </c>
      <c r="AB29" s="1205">
        <v>12345</v>
      </c>
      <c r="AC29" s="1205">
        <v>11406</v>
      </c>
      <c r="AD29" s="1245">
        <v>10524</v>
      </c>
      <c r="AE29" s="1205">
        <v>11390</v>
      </c>
      <c r="AF29" s="1205">
        <v>12140</v>
      </c>
      <c r="AG29" s="1205">
        <v>11280</v>
      </c>
      <c r="AH29" s="1245">
        <v>14305</v>
      </c>
      <c r="AI29" s="1205">
        <v>8458</v>
      </c>
      <c r="AJ29" s="1205">
        <v>6744</v>
      </c>
      <c r="AK29" s="1205">
        <v>6752</v>
      </c>
      <c r="AL29" s="1245">
        <v>6389</v>
      </c>
      <c r="AM29" s="1205">
        <v>6307</v>
      </c>
      <c r="AN29" s="1205">
        <v>6111</v>
      </c>
      <c r="AO29" s="1205">
        <v>6779</v>
      </c>
      <c r="AP29" s="1245">
        <v>6269</v>
      </c>
      <c r="AQ29" s="1205">
        <v>5296</v>
      </c>
      <c r="AR29" s="1205">
        <v>5838</v>
      </c>
      <c r="AS29" s="1205">
        <v>5245</v>
      </c>
      <c r="AT29" s="1245">
        <v>5489</v>
      </c>
      <c r="AU29" s="1205">
        <v>6249</v>
      </c>
      <c r="AV29" s="1205">
        <v>6277</v>
      </c>
      <c r="AW29" s="1205">
        <v>6539</v>
      </c>
      <c r="AX29" s="1245">
        <v>6163</v>
      </c>
      <c r="AY29" s="1271">
        <v>6065</v>
      </c>
      <c r="AZ29" s="1271">
        <v>5611</v>
      </c>
      <c r="BA29" s="1271">
        <v>5813</v>
      </c>
      <c r="BB29" s="1245">
        <v>5739</v>
      </c>
      <c r="BC29" s="1265">
        <v>5670</v>
      </c>
      <c r="BD29" s="1245">
        <v>5352</v>
      </c>
      <c r="BE29" s="1245">
        <v>5387</v>
      </c>
      <c r="BF29" s="1245">
        <v>5063</v>
      </c>
      <c r="BG29" s="1265"/>
      <c r="BH29" s="1269">
        <v>64930</v>
      </c>
      <c r="BI29" s="1269">
        <v>56346</v>
      </c>
      <c r="BJ29" s="1269">
        <v>8584</v>
      </c>
      <c r="BK29" s="1035">
        <v>0.15234444326127852</v>
      </c>
      <c r="BL29" s="1271"/>
      <c r="BM29" s="1249">
        <v>64930</v>
      </c>
      <c r="BN29" s="1265">
        <v>56346</v>
      </c>
      <c r="BO29" s="1265">
        <v>52381</v>
      </c>
      <c r="BP29" s="2554">
        <v>55975</v>
      </c>
      <c r="BQ29" s="2554">
        <v>51758</v>
      </c>
      <c r="BR29" s="1265">
        <v>46065</v>
      </c>
      <c r="BS29" s="1237">
        <v>49115</v>
      </c>
      <c r="BT29" s="1237">
        <v>28343</v>
      </c>
      <c r="BU29" s="1237">
        <v>25466</v>
      </c>
      <c r="BV29" s="1237">
        <v>21868</v>
      </c>
      <c r="BW29" s="1237">
        <v>25228</v>
      </c>
      <c r="BX29" s="1237">
        <v>23228</v>
      </c>
      <c r="BY29" s="1237">
        <v>21472</v>
      </c>
      <c r="BZ29" s="1033">
        <v>16598</v>
      </c>
      <c r="CA29" s="1033">
        <v>14037</v>
      </c>
      <c r="CB29" s="1033">
        <v>12290</v>
      </c>
      <c r="CC29" s="949"/>
      <c r="CD29" s="941"/>
    </row>
    <row r="30" spans="1:82" s="934" customFormat="1" x14ac:dyDescent="0.2">
      <c r="A30" s="948"/>
      <c r="B30" s="946" t="s">
        <v>62</v>
      </c>
      <c r="C30" s="957">
        <v>2517</v>
      </c>
      <c r="D30" s="1035">
        <v>0.44994637111190561</v>
      </c>
      <c r="E30" s="920"/>
      <c r="F30" s="2223">
        <v>8111</v>
      </c>
      <c r="G30" s="1155">
        <v>5738</v>
      </c>
      <c r="H30" s="1205">
        <v>5903</v>
      </c>
      <c r="I30" s="1205">
        <v>8218</v>
      </c>
      <c r="J30" s="1245">
        <v>5594</v>
      </c>
      <c r="K30" s="1205">
        <v>6090</v>
      </c>
      <c r="L30" s="1205">
        <v>4171</v>
      </c>
      <c r="M30" s="1205">
        <v>3731</v>
      </c>
      <c r="N30" s="1245">
        <v>4445</v>
      </c>
      <c r="O30" s="1205">
        <v>3884</v>
      </c>
      <c r="P30" s="1205">
        <v>2834</v>
      </c>
      <c r="Q30" s="1205">
        <v>2584</v>
      </c>
      <c r="R30" s="1245">
        <v>3442</v>
      </c>
      <c r="S30" s="1205">
        <v>2208</v>
      </c>
      <c r="T30" s="1205">
        <v>2431</v>
      </c>
      <c r="U30" s="1205">
        <v>2292</v>
      </c>
      <c r="V30" s="1245">
        <v>3291</v>
      </c>
      <c r="W30" s="1205">
        <v>2901</v>
      </c>
      <c r="X30" s="1205">
        <v>3291</v>
      </c>
      <c r="Y30" s="1205">
        <v>2977</v>
      </c>
      <c r="Z30" s="1245">
        <v>4255</v>
      </c>
      <c r="AA30" s="1205">
        <v>3778</v>
      </c>
      <c r="AB30" s="1205">
        <v>3875</v>
      </c>
      <c r="AC30" s="1205">
        <v>4063</v>
      </c>
      <c r="AD30" s="1245">
        <v>4643</v>
      </c>
      <c r="AE30" s="1205">
        <v>3479</v>
      </c>
      <c r="AF30" s="1205">
        <v>3981</v>
      </c>
      <c r="AG30" s="1205">
        <v>3291</v>
      </c>
      <c r="AH30" s="1245">
        <v>4551</v>
      </c>
      <c r="AI30" s="1205">
        <v>3080</v>
      </c>
      <c r="AJ30" s="1205">
        <v>2361</v>
      </c>
      <c r="AK30" s="1205">
        <v>1967</v>
      </c>
      <c r="AL30" s="1245">
        <v>2408</v>
      </c>
      <c r="AM30" s="1205">
        <v>2485</v>
      </c>
      <c r="AN30" s="1205">
        <v>3037</v>
      </c>
      <c r="AO30" s="1205">
        <v>1673</v>
      </c>
      <c r="AP30" s="1245">
        <v>616</v>
      </c>
      <c r="AQ30" s="1205">
        <v>613</v>
      </c>
      <c r="AR30" s="1205">
        <v>631</v>
      </c>
      <c r="AS30" s="1205">
        <v>492</v>
      </c>
      <c r="AT30" s="1245">
        <v>845</v>
      </c>
      <c r="AU30" s="1205">
        <v>1339</v>
      </c>
      <c r="AV30" s="1205">
        <v>2568</v>
      </c>
      <c r="AW30" s="1205">
        <v>3354</v>
      </c>
      <c r="AX30" s="1245">
        <v>3959</v>
      </c>
      <c r="AY30" s="1271">
        <v>5372</v>
      </c>
      <c r="AZ30" s="1271">
        <v>6574</v>
      </c>
      <c r="BA30" s="1271">
        <v>6413</v>
      </c>
      <c r="BB30" s="1245">
        <v>6168</v>
      </c>
      <c r="BC30" s="1265">
        <v>5228</v>
      </c>
      <c r="BD30" s="1245">
        <v>4926</v>
      </c>
      <c r="BE30" s="1245">
        <v>5402</v>
      </c>
      <c r="BF30" s="1245">
        <v>4982</v>
      </c>
      <c r="BG30" s="1265"/>
      <c r="BH30" s="1269">
        <v>25453</v>
      </c>
      <c r="BI30" s="1269">
        <v>18437</v>
      </c>
      <c r="BJ30" s="1269">
        <v>7016</v>
      </c>
      <c r="BK30" s="1035">
        <v>0.3805391332646309</v>
      </c>
      <c r="BL30" s="1271"/>
      <c r="BM30" s="1249">
        <v>25453</v>
      </c>
      <c r="BN30" s="1265">
        <v>18437</v>
      </c>
      <c r="BO30" s="1265">
        <v>12744</v>
      </c>
      <c r="BP30" s="2554">
        <v>10222</v>
      </c>
      <c r="BQ30" s="2554">
        <v>13424</v>
      </c>
      <c r="BR30" s="1265">
        <v>16359</v>
      </c>
      <c r="BS30" s="1237">
        <v>15302</v>
      </c>
      <c r="BT30" s="1237">
        <v>9816</v>
      </c>
      <c r="BU30" s="1237">
        <v>7811</v>
      </c>
      <c r="BV30" s="1237">
        <v>2581</v>
      </c>
      <c r="BW30" s="1237">
        <v>11220</v>
      </c>
      <c r="BX30" s="1237">
        <v>24527</v>
      </c>
      <c r="BY30" s="1237">
        <v>20538</v>
      </c>
      <c r="BZ30" s="1033">
        <v>10914</v>
      </c>
      <c r="CA30" s="1033">
        <v>7824</v>
      </c>
      <c r="CB30" s="1033">
        <v>3994</v>
      </c>
      <c r="CC30" s="949"/>
      <c r="CD30" s="941"/>
    </row>
    <row r="31" spans="1:82" s="934" customFormat="1" x14ac:dyDescent="0.2">
      <c r="A31" s="948"/>
      <c r="B31" s="946" t="s">
        <v>68</v>
      </c>
      <c r="C31" s="957">
        <v>6683</v>
      </c>
      <c r="D31" s="1035">
        <v>0.28217361932106061</v>
      </c>
      <c r="E31" s="920"/>
      <c r="F31" s="2223">
        <v>30367</v>
      </c>
      <c r="G31" s="1155">
        <v>29103</v>
      </c>
      <c r="H31" s="1205">
        <v>26689</v>
      </c>
      <c r="I31" s="1205">
        <v>21292</v>
      </c>
      <c r="J31" s="1245">
        <v>23684</v>
      </c>
      <c r="K31" s="1205">
        <v>24106</v>
      </c>
      <c r="L31" s="1205">
        <v>23108</v>
      </c>
      <c r="M31" s="1205">
        <v>17468</v>
      </c>
      <c r="N31" s="1245">
        <v>19300</v>
      </c>
      <c r="O31" s="1205">
        <v>19250</v>
      </c>
      <c r="P31" s="1205">
        <v>21478</v>
      </c>
      <c r="Q31" s="1205">
        <v>18735</v>
      </c>
      <c r="R31" s="1245">
        <v>19548</v>
      </c>
      <c r="S31" s="1205">
        <v>18276</v>
      </c>
      <c r="T31" s="1205">
        <v>23766</v>
      </c>
      <c r="U31" s="1205">
        <v>22794</v>
      </c>
      <c r="V31" s="1245">
        <v>22168</v>
      </c>
      <c r="W31" s="1205">
        <v>22065</v>
      </c>
      <c r="X31" s="1205">
        <v>26718</v>
      </c>
      <c r="Y31" s="1205">
        <v>21836</v>
      </c>
      <c r="Z31" s="1245">
        <v>24069</v>
      </c>
      <c r="AA31" s="1205">
        <v>20494</v>
      </c>
      <c r="AB31" s="1205">
        <v>22077</v>
      </c>
      <c r="AC31" s="1205">
        <v>20440</v>
      </c>
      <c r="AD31" s="1245">
        <v>20823</v>
      </c>
      <c r="AE31" s="1205">
        <v>20722</v>
      </c>
      <c r="AF31" s="1205">
        <v>23809</v>
      </c>
      <c r="AG31" s="1205">
        <v>20957</v>
      </c>
      <c r="AH31" s="1245">
        <v>24016</v>
      </c>
      <c r="AI31" s="1205">
        <v>20795</v>
      </c>
      <c r="AJ31" s="1205">
        <v>16191</v>
      </c>
      <c r="AK31" s="1205">
        <v>16263</v>
      </c>
      <c r="AL31" s="1245">
        <v>16274</v>
      </c>
      <c r="AM31" s="1205">
        <v>19052</v>
      </c>
      <c r="AN31" s="1205">
        <v>17049</v>
      </c>
      <c r="AO31" s="1205">
        <v>15990</v>
      </c>
      <c r="AP31" s="1245">
        <v>15791</v>
      </c>
      <c r="AQ31" s="1205">
        <v>14958</v>
      </c>
      <c r="AR31" s="1205">
        <v>13609</v>
      </c>
      <c r="AS31" s="1205">
        <v>11698</v>
      </c>
      <c r="AT31" s="1245">
        <v>11888</v>
      </c>
      <c r="AU31" s="1205">
        <v>10974</v>
      </c>
      <c r="AV31" s="1205">
        <v>19827</v>
      </c>
      <c r="AW31" s="1205">
        <v>19611</v>
      </c>
      <c r="AX31" s="1245">
        <v>19277</v>
      </c>
      <c r="AY31" s="1271">
        <v>18047</v>
      </c>
      <c r="AZ31" s="1271">
        <v>17390</v>
      </c>
      <c r="BA31" s="1271">
        <v>15755</v>
      </c>
      <c r="BB31" s="1245">
        <v>18271</v>
      </c>
      <c r="BC31" s="1265">
        <v>16375</v>
      </c>
      <c r="BD31" s="1245">
        <v>14413</v>
      </c>
      <c r="BE31" s="1245">
        <v>14287</v>
      </c>
      <c r="BF31" s="1245">
        <v>19107</v>
      </c>
      <c r="BG31" s="1265"/>
      <c r="BH31" s="1269">
        <v>100768</v>
      </c>
      <c r="BI31" s="1269">
        <v>83982</v>
      </c>
      <c r="BJ31" s="1269">
        <v>16786</v>
      </c>
      <c r="BK31" s="1035">
        <v>0.19987616393989188</v>
      </c>
      <c r="BL31" s="1271"/>
      <c r="BM31" s="1249">
        <v>100768</v>
      </c>
      <c r="BN31" s="1265">
        <v>83982</v>
      </c>
      <c r="BO31" s="1265">
        <v>79011</v>
      </c>
      <c r="BP31" s="2554">
        <v>87004</v>
      </c>
      <c r="BQ31" s="2554">
        <v>94688</v>
      </c>
      <c r="BR31" s="1265">
        <v>83834</v>
      </c>
      <c r="BS31" s="1237">
        <v>89504</v>
      </c>
      <c r="BT31" s="1237">
        <v>69523</v>
      </c>
      <c r="BU31" s="1237">
        <v>67882</v>
      </c>
      <c r="BV31" s="1237">
        <v>52153</v>
      </c>
      <c r="BW31" s="1237">
        <v>69689</v>
      </c>
      <c r="BX31" s="1237">
        <v>69463</v>
      </c>
      <c r="BY31" s="1237">
        <v>64182</v>
      </c>
      <c r="BZ31" s="1033">
        <v>46227</v>
      </c>
      <c r="CA31" s="1033">
        <v>32171</v>
      </c>
      <c r="CB31" s="1033">
        <v>25189</v>
      </c>
      <c r="CC31" s="949"/>
      <c r="CD31" s="941"/>
    </row>
    <row r="32" spans="1:82" s="934" customFormat="1" x14ac:dyDescent="0.2">
      <c r="A32" s="948"/>
      <c r="B32" s="946" t="s">
        <v>69</v>
      </c>
      <c r="C32" s="957">
        <v>1298</v>
      </c>
      <c r="D32" s="1035">
        <v>0.19554082554986441</v>
      </c>
      <c r="E32" s="920"/>
      <c r="F32" s="2223">
        <v>7936</v>
      </c>
      <c r="G32" s="1155">
        <v>5769</v>
      </c>
      <c r="H32" s="1205">
        <v>5675</v>
      </c>
      <c r="I32" s="1205">
        <v>6198</v>
      </c>
      <c r="J32" s="1245">
        <v>6638</v>
      </c>
      <c r="K32" s="1205">
        <v>6949</v>
      </c>
      <c r="L32" s="1205">
        <v>6916</v>
      </c>
      <c r="M32" s="1205">
        <v>5148</v>
      </c>
      <c r="N32" s="1245">
        <v>4994</v>
      </c>
      <c r="O32" s="1205">
        <v>5105</v>
      </c>
      <c r="P32" s="1205">
        <v>5454</v>
      </c>
      <c r="Q32" s="1205">
        <v>5180</v>
      </c>
      <c r="R32" s="1245">
        <v>5385</v>
      </c>
      <c r="S32" s="1205">
        <v>6118</v>
      </c>
      <c r="T32" s="1205">
        <v>6635</v>
      </c>
      <c r="U32" s="1205">
        <v>6453</v>
      </c>
      <c r="V32" s="1245">
        <v>6133</v>
      </c>
      <c r="W32" s="1205">
        <v>6994</v>
      </c>
      <c r="X32" s="1205">
        <v>6587</v>
      </c>
      <c r="Y32" s="1205">
        <v>7475</v>
      </c>
      <c r="Z32" s="1245">
        <v>7372</v>
      </c>
      <c r="AA32" s="1205">
        <v>7455</v>
      </c>
      <c r="AB32" s="1205">
        <v>6750</v>
      </c>
      <c r="AC32" s="1205">
        <v>6020</v>
      </c>
      <c r="AD32" s="1245">
        <v>6561</v>
      </c>
      <c r="AE32" s="1205">
        <v>9490</v>
      </c>
      <c r="AF32" s="1205">
        <v>8398</v>
      </c>
      <c r="AG32" s="1205">
        <v>7755</v>
      </c>
      <c r="AH32" s="1245">
        <v>8136</v>
      </c>
      <c r="AI32" s="1205">
        <v>4350</v>
      </c>
      <c r="AJ32" s="1205">
        <v>3906</v>
      </c>
      <c r="AK32" s="1205">
        <v>2947</v>
      </c>
      <c r="AL32" s="1245">
        <v>2905</v>
      </c>
      <c r="AM32" s="1205">
        <v>2966</v>
      </c>
      <c r="AN32" s="1205">
        <v>2786</v>
      </c>
      <c r="AO32" s="1205">
        <v>3706</v>
      </c>
      <c r="AP32" s="1245">
        <v>3284</v>
      </c>
      <c r="AQ32" s="1205">
        <v>1878</v>
      </c>
      <c r="AR32" s="1205">
        <v>1904</v>
      </c>
      <c r="AS32" s="1205">
        <v>1906</v>
      </c>
      <c r="AT32" s="1245">
        <v>1921</v>
      </c>
      <c r="AU32" s="1205">
        <v>2129</v>
      </c>
      <c r="AV32" s="1205">
        <v>2751</v>
      </c>
      <c r="AW32" s="1205">
        <v>2072</v>
      </c>
      <c r="AX32" s="1245">
        <v>2042</v>
      </c>
      <c r="AY32" s="1271">
        <v>2216</v>
      </c>
      <c r="AZ32" s="1271">
        <v>2197</v>
      </c>
      <c r="BA32" s="1271">
        <v>2146</v>
      </c>
      <c r="BB32" s="1245">
        <v>1977</v>
      </c>
      <c r="BC32" s="1265">
        <v>1999</v>
      </c>
      <c r="BD32" s="1245">
        <v>1797</v>
      </c>
      <c r="BE32" s="1245">
        <v>2366</v>
      </c>
      <c r="BF32" s="1245">
        <v>1989</v>
      </c>
      <c r="BG32" s="1265"/>
      <c r="BH32" s="1269">
        <v>24280</v>
      </c>
      <c r="BI32" s="1269">
        <v>24007</v>
      </c>
      <c r="BJ32" s="1269">
        <v>273</v>
      </c>
      <c r="BK32" s="1035">
        <v>1.1371683259049444E-2</v>
      </c>
      <c r="BL32" s="1271"/>
      <c r="BM32" s="1249">
        <v>24280</v>
      </c>
      <c r="BN32" s="1265">
        <v>24007</v>
      </c>
      <c r="BO32" s="1265">
        <v>21124</v>
      </c>
      <c r="BP32" s="2554">
        <v>25339</v>
      </c>
      <c r="BQ32" s="2554">
        <v>28428</v>
      </c>
      <c r="BR32" s="1265">
        <v>26786</v>
      </c>
      <c r="BS32" s="1237">
        <v>33779</v>
      </c>
      <c r="BT32" s="1237">
        <v>14108</v>
      </c>
      <c r="BU32" s="1237">
        <v>12742</v>
      </c>
      <c r="BV32" s="1237">
        <v>7609</v>
      </c>
      <c r="BW32" s="1237">
        <v>8994</v>
      </c>
      <c r="BX32" s="1237">
        <v>8536</v>
      </c>
      <c r="BY32" s="1237">
        <v>8151</v>
      </c>
      <c r="BZ32" s="1033">
        <v>4817</v>
      </c>
      <c r="CA32" s="1033">
        <v>3185</v>
      </c>
      <c r="CB32" s="1033">
        <v>3565</v>
      </c>
      <c r="CC32" s="949"/>
      <c r="CD32" s="941"/>
    </row>
    <row r="33" spans="1:82" s="934" customFormat="1" x14ac:dyDescent="0.2">
      <c r="A33" s="948"/>
      <c r="B33" s="946" t="s">
        <v>684</v>
      </c>
      <c r="C33" s="957">
        <v>5582</v>
      </c>
      <c r="D33" s="1035" t="s">
        <v>41</v>
      </c>
      <c r="E33" s="920"/>
      <c r="F33" s="2223">
        <v>5582</v>
      </c>
      <c r="G33" s="915">
        <v>0</v>
      </c>
      <c r="H33" s="1205">
        <v>0</v>
      </c>
      <c r="I33" s="1205">
        <v>0</v>
      </c>
      <c r="J33" s="1245">
        <v>0</v>
      </c>
      <c r="K33" s="915">
        <v>0</v>
      </c>
      <c r="L33" s="1205">
        <v>0</v>
      </c>
      <c r="M33" s="1205">
        <v>0</v>
      </c>
      <c r="N33" s="1245">
        <v>0</v>
      </c>
      <c r="O33" s="1205"/>
      <c r="P33" s="1205"/>
      <c r="Q33" s="1205"/>
      <c r="R33" s="1245"/>
      <c r="S33" s="1205"/>
      <c r="T33" s="1205"/>
      <c r="U33" s="1205"/>
      <c r="V33" s="1245"/>
      <c r="W33" s="1205"/>
      <c r="X33" s="1205"/>
      <c r="Y33" s="1205"/>
      <c r="Z33" s="1245"/>
      <c r="AA33" s="1205"/>
      <c r="AB33" s="1205"/>
      <c r="AC33" s="1205"/>
      <c r="AD33" s="1245"/>
      <c r="AE33" s="1205"/>
      <c r="AF33" s="1205"/>
      <c r="AG33" s="1205"/>
      <c r="AH33" s="1245"/>
      <c r="AI33" s="1205"/>
      <c r="AJ33" s="1205"/>
      <c r="AK33" s="1205"/>
      <c r="AL33" s="1245"/>
      <c r="AM33" s="1205"/>
      <c r="AN33" s="1205"/>
      <c r="AO33" s="1205"/>
      <c r="AP33" s="1245"/>
      <c r="AQ33" s="1205"/>
      <c r="AR33" s="1205"/>
      <c r="AS33" s="1205"/>
      <c r="AT33" s="1245"/>
      <c r="AU33" s="1205"/>
      <c r="AV33" s="1205"/>
      <c r="AW33" s="1205"/>
      <c r="AX33" s="1245"/>
      <c r="AY33" s="1271"/>
      <c r="AZ33" s="1271"/>
      <c r="BA33" s="1271"/>
      <c r="BB33" s="1245"/>
      <c r="BC33" s="1265"/>
      <c r="BD33" s="1245"/>
      <c r="BE33" s="1245"/>
      <c r="BF33" s="1245"/>
      <c r="BG33" s="1265"/>
      <c r="BH33" s="1269"/>
      <c r="BI33" s="1269"/>
      <c r="BJ33" s="1269"/>
      <c r="BK33" s="1035"/>
      <c r="BL33" s="1271"/>
      <c r="BM33" s="2997">
        <v>0</v>
      </c>
      <c r="BN33" s="1413">
        <v>0</v>
      </c>
      <c r="BO33" s="1205">
        <v>0</v>
      </c>
      <c r="BP33" s="1265">
        <v>0</v>
      </c>
      <c r="BQ33" s="2554">
        <v>0</v>
      </c>
      <c r="BR33" s="1265"/>
      <c r="BS33" s="1237"/>
      <c r="BT33" s="1237"/>
      <c r="BU33" s="1237"/>
      <c r="BV33" s="1237"/>
      <c r="BW33" s="1237"/>
      <c r="BX33" s="1237"/>
      <c r="BY33" s="1237"/>
      <c r="BZ33" s="1033"/>
      <c r="CA33" s="1033"/>
      <c r="CB33" s="1033"/>
      <c r="CC33" s="949"/>
      <c r="CD33" s="941"/>
    </row>
    <row r="34" spans="1:82" x14ac:dyDescent="0.2">
      <c r="A34" s="946"/>
      <c r="B34" s="946" t="s">
        <v>70</v>
      </c>
      <c r="C34" s="957">
        <v>1350</v>
      </c>
      <c r="D34" s="1035">
        <v>0.34983156258097953</v>
      </c>
      <c r="E34" s="920"/>
      <c r="F34" s="2223">
        <v>5209</v>
      </c>
      <c r="G34" s="1155">
        <v>2940</v>
      </c>
      <c r="H34" s="1205">
        <v>4661</v>
      </c>
      <c r="I34" s="1205">
        <v>4053</v>
      </c>
      <c r="J34" s="1245">
        <v>3859</v>
      </c>
      <c r="K34" s="1205">
        <v>3187</v>
      </c>
      <c r="L34" s="1205">
        <v>1512</v>
      </c>
      <c r="M34" s="1205">
        <v>1486</v>
      </c>
      <c r="N34" s="1245">
        <v>1479</v>
      </c>
      <c r="O34" s="1205">
        <v>5375</v>
      </c>
      <c r="P34" s="1205">
        <v>2884</v>
      </c>
      <c r="Q34" s="1205">
        <v>1858</v>
      </c>
      <c r="R34" s="1245">
        <v>2092</v>
      </c>
      <c r="S34" s="1205">
        <v>12390</v>
      </c>
      <c r="T34" s="1205">
        <v>5739</v>
      </c>
      <c r="U34" s="1205">
        <v>3948</v>
      </c>
      <c r="V34" s="1245">
        <v>4052</v>
      </c>
      <c r="W34" s="1205">
        <v>9008</v>
      </c>
      <c r="X34" s="1205">
        <v>6680</v>
      </c>
      <c r="Y34" s="1205">
        <v>3625</v>
      </c>
      <c r="Z34" s="1245">
        <v>5135</v>
      </c>
      <c r="AA34" s="1205">
        <v>5065</v>
      </c>
      <c r="AB34" s="1205">
        <v>3803</v>
      </c>
      <c r="AC34" s="1205">
        <v>7671</v>
      </c>
      <c r="AD34" s="1245">
        <v>4830</v>
      </c>
      <c r="AE34" s="1205">
        <v>3715</v>
      </c>
      <c r="AF34" s="1205">
        <v>6671</v>
      </c>
      <c r="AG34" s="1205">
        <v>4515</v>
      </c>
      <c r="AH34" s="1245">
        <v>4625</v>
      </c>
      <c r="AI34" s="1205">
        <v>4867</v>
      </c>
      <c r="AJ34" s="1205">
        <v>5755</v>
      </c>
      <c r="AK34" s="1205">
        <v>5041</v>
      </c>
      <c r="AL34" s="1245">
        <v>5530</v>
      </c>
      <c r="AM34" s="1205">
        <v>5516</v>
      </c>
      <c r="AN34" s="1205">
        <v>5792</v>
      </c>
      <c r="AO34" s="1205">
        <v>5787</v>
      </c>
      <c r="AP34" s="1245">
        <v>5292</v>
      </c>
      <c r="AQ34" s="1205">
        <v>6839</v>
      </c>
      <c r="AR34" s="1205">
        <v>6720</v>
      </c>
      <c r="AS34" s="1205">
        <v>5487</v>
      </c>
      <c r="AT34" s="1245">
        <v>5854</v>
      </c>
      <c r="AU34" s="1205">
        <v>7190</v>
      </c>
      <c r="AV34" s="1205">
        <v>7738</v>
      </c>
      <c r="AW34" s="1205">
        <v>6383</v>
      </c>
      <c r="AX34" s="1245">
        <v>7462</v>
      </c>
      <c r="AY34" s="1271">
        <v>9936</v>
      </c>
      <c r="AZ34" s="1271">
        <v>6774</v>
      </c>
      <c r="BA34" s="1271">
        <v>8166</v>
      </c>
      <c r="BB34" s="1245">
        <v>7173</v>
      </c>
      <c r="BC34" s="1265">
        <v>6341</v>
      </c>
      <c r="BD34" s="1245">
        <v>5247</v>
      </c>
      <c r="BE34" s="1245">
        <v>5789</v>
      </c>
      <c r="BF34" s="1245">
        <v>3867</v>
      </c>
      <c r="BG34" s="1265"/>
      <c r="BH34" s="1269">
        <v>15513</v>
      </c>
      <c r="BI34" s="1269">
        <v>7664</v>
      </c>
      <c r="BJ34" s="1269">
        <v>7849</v>
      </c>
      <c r="BK34" s="1035">
        <v>1.0241388308977035</v>
      </c>
      <c r="BL34" s="1271"/>
      <c r="BM34" s="1249">
        <v>15513</v>
      </c>
      <c r="BN34" s="1265">
        <v>7664</v>
      </c>
      <c r="BO34" s="1265">
        <v>12209</v>
      </c>
      <c r="BP34" s="2554">
        <v>26129</v>
      </c>
      <c r="BQ34" s="2554">
        <v>24448</v>
      </c>
      <c r="BR34" s="1265">
        <v>21369</v>
      </c>
      <c r="BS34" s="1237">
        <v>19526</v>
      </c>
      <c r="BT34" s="1237">
        <v>21193</v>
      </c>
      <c r="BU34" s="1237">
        <v>22387</v>
      </c>
      <c r="BV34" s="1237">
        <v>24900</v>
      </c>
      <c r="BW34" s="1237">
        <v>28773</v>
      </c>
      <c r="BX34" s="1237">
        <v>32049</v>
      </c>
      <c r="BY34" s="1237">
        <v>21244</v>
      </c>
      <c r="BZ34" s="1033">
        <v>9797</v>
      </c>
      <c r="CA34" s="1033">
        <v>7924</v>
      </c>
      <c r="CB34" s="1033">
        <v>8240</v>
      </c>
      <c r="CC34" s="1223"/>
      <c r="CD34" s="1184"/>
    </row>
    <row r="35" spans="1:82" x14ac:dyDescent="0.2">
      <c r="A35" s="946"/>
      <c r="B35" s="946" t="s">
        <v>164</v>
      </c>
      <c r="C35" s="957">
        <v>-1316</v>
      </c>
      <c r="D35" s="1035">
        <v>-1</v>
      </c>
      <c r="E35" s="920"/>
      <c r="F35" s="2008">
        <v>0</v>
      </c>
      <c r="G35" s="915">
        <v>11754</v>
      </c>
      <c r="H35" s="1205">
        <v>0</v>
      </c>
      <c r="I35" s="1205">
        <v>0</v>
      </c>
      <c r="J35" s="1245">
        <v>1316</v>
      </c>
      <c r="K35" s="1269">
        <v>939</v>
      </c>
      <c r="L35" s="1269">
        <v>0</v>
      </c>
      <c r="M35" s="1205">
        <v>6256</v>
      </c>
      <c r="N35" s="1245">
        <v>448</v>
      </c>
      <c r="O35" s="1269">
        <v>0</v>
      </c>
      <c r="P35" s="1269">
        <v>0</v>
      </c>
      <c r="Q35" s="1269">
        <v>0</v>
      </c>
      <c r="R35" s="1245">
        <v>0</v>
      </c>
      <c r="S35" s="1269">
        <v>13075</v>
      </c>
      <c r="T35" s="1269">
        <v>4277</v>
      </c>
      <c r="U35" s="1048">
        <v>0</v>
      </c>
      <c r="V35" s="1745">
        <v>0</v>
      </c>
      <c r="W35" s="1269">
        <v>22430</v>
      </c>
      <c r="X35" s="1269">
        <v>0</v>
      </c>
      <c r="Y35" s="1269">
        <v>0</v>
      </c>
      <c r="Z35" s="1245">
        <v>2383</v>
      </c>
      <c r="AA35" s="1269">
        <v>0</v>
      </c>
      <c r="AB35" s="1269">
        <v>0</v>
      </c>
      <c r="AC35" s="1269">
        <v>5486</v>
      </c>
      <c r="AD35" s="1245">
        <v>0</v>
      </c>
      <c r="AE35" s="1269">
        <v>6445</v>
      </c>
      <c r="AF35" s="1269">
        <v>6310</v>
      </c>
      <c r="AG35" s="1269">
        <v>18862</v>
      </c>
      <c r="AH35" s="1245">
        <v>0</v>
      </c>
      <c r="AI35" s="1269">
        <v>28961</v>
      </c>
      <c r="AJ35" s="1269">
        <v>6292</v>
      </c>
      <c r="AK35" s="1269">
        <v>0</v>
      </c>
      <c r="AL35" s="1245">
        <v>0</v>
      </c>
      <c r="AM35" s="1269">
        <v>0</v>
      </c>
      <c r="AN35" s="1269">
        <v>0</v>
      </c>
      <c r="AO35" s="1269">
        <v>0</v>
      </c>
      <c r="AP35" s="1245">
        <v>0</v>
      </c>
      <c r="AQ35" s="1269">
        <v>0</v>
      </c>
      <c r="AR35" s="1269">
        <v>0</v>
      </c>
      <c r="AS35" s="1269">
        <v>0</v>
      </c>
      <c r="AT35" s="1245">
        <v>0</v>
      </c>
      <c r="AU35" s="1269">
        <v>142</v>
      </c>
      <c r="AV35" s="1269">
        <v>7520</v>
      </c>
      <c r="AW35" s="1269">
        <v>0</v>
      </c>
      <c r="AX35" s="1245">
        <v>0</v>
      </c>
      <c r="AY35" s="1271">
        <v>4000</v>
      </c>
      <c r="AZ35" s="1271">
        <v>0</v>
      </c>
      <c r="BA35" s="1271">
        <v>0</v>
      </c>
      <c r="BB35" s="1245">
        <v>0</v>
      </c>
      <c r="BC35" s="1265">
        <v>0</v>
      </c>
      <c r="BD35" s="1245">
        <v>0</v>
      </c>
      <c r="BE35" s="1245"/>
      <c r="BF35" s="1245"/>
      <c r="BG35" s="1265"/>
      <c r="BH35" s="1269">
        <v>13070</v>
      </c>
      <c r="BI35" s="1269">
        <v>7643</v>
      </c>
      <c r="BJ35" s="1269">
        <v>5427</v>
      </c>
      <c r="BK35" s="1035">
        <v>0.71006149417767894</v>
      </c>
      <c r="BL35" s="1271"/>
      <c r="BM35" s="1249">
        <v>13070</v>
      </c>
      <c r="BN35" s="1413">
        <v>7643</v>
      </c>
      <c r="BO35" s="1746">
        <v>0</v>
      </c>
      <c r="BP35" s="2554">
        <v>17352</v>
      </c>
      <c r="BQ35" s="1265">
        <v>24813</v>
      </c>
      <c r="BR35" s="1265">
        <v>5486</v>
      </c>
      <c r="BS35" s="1265">
        <v>31617</v>
      </c>
      <c r="BT35" s="1263">
        <v>35253</v>
      </c>
      <c r="BU35" s="1234">
        <v>0</v>
      </c>
      <c r="BV35" s="1234">
        <v>0</v>
      </c>
      <c r="BW35" s="1234">
        <v>7662</v>
      </c>
      <c r="BX35" s="2827">
        <v>4000</v>
      </c>
      <c r="BY35" s="1234">
        <v>0</v>
      </c>
      <c r="BZ35" s="1033">
        <v>0</v>
      </c>
      <c r="CA35" s="1033">
        <v>0</v>
      </c>
      <c r="CB35" s="1033">
        <v>0</v>
      </c>
      <c r="CC35" s="1223"/>
      <c r="CD35" s="1184"/>
    </row>
    <row r="36" spans="1:82" x14ac:dyDescent="0.2">
      <c r="A36" s="946"/>
      <c r="B36" s="946" t="s">
        <v>185</v>
      </c>
      <c r="C36" s="957">
        <v>-661</v>
      </c>
      <c r="D36" s="1035">
        <v>-0.56351236146632566</v>
      </c>
      <c r="E36" s="920"/>
      <c r="F36" s="2008">
        <v>512</v>
      </c>
      <c r="G36" s="915">
        <v>1721</v>
      </c>
      <c r="H36" s="1205">
        <v>170</v>
      </c>
      <c r="I36" s="1205">
        <v>0</v>
      </c>
      <c r="J36" s="1245">
        <v>1173</v>
      </c>
      <c r="K36" s="1269">
        <v>184</v>
      </c>
      <c r="L36" s="1269">
        <v>0</v>
      </c>
      <c r="M36" s="1205">
        <v>4364</v>
      </c>
      <c r="N36" s="1245">
        <v>2184</v>
      </c>
      <c r="O36" s="1269">
        <v>0</v>
      </c>
      <c r="P36" s="1269">
        <v>0</v>
      </c>
      <c r="Q36" s="1269">
        <v>0</v>
      </c>
      <c r="R36" s="1245">
        <v>0</v>
      </c>
      <c r="S36" s="1269">
        <v>0</v>
      </c>
      <c r="T36" s="1269">
        <v>0</v>
      </c>
      <c r="U36" s="1048">
        <v>0</v>
      </c>
      <c r="V36" s="1745">
        <v>0</v>
      </c>
      <c r="W36" s="1269">
        <v>0</v>
      </c>
      <c r="X36" s="1269">
        <v>0</v>
      </c>
      <c r="Y36" s="1269">
        <v>0</v>
      </c>
      <c r="Z36" s="1245">
        <v>0</v>
      </c>
      <c r="AA36" s="1269">
        <v>0</v>
      </c>
      <c r="AB36" s="1269">
        <v>0</v>
      </c>
      <c r="AC36" s="1269">
        <v>0</v>
      </c>
      <c r="AD36" s="1245">
        <v>0</v>
      </c>
      <c r="AE36" s="1269">
        <v>0</v>
      </c>
      <c r="AF36" s="1269">
        <v>431</v>
      </c>
      <c r="AG36" s="1269">
        <v>1288</v>
      </c>
      <c r="AH36" s="1245">
        <v>0</v>
      </c>
      <c r="AI36" s="1269">
        <v>10400</v>
      </c>
      <c r="AJ36" s="1269">
        <v>2700</v>
      </c>
      <c r="AK36" s="1269">
        <v>2956</v>
      </c>
      <c r="AL36" s="1245">
        <v>0</v>
      </c>
      <c r="AM36" s="1269">
        <v>0</v>
      </c>
      <c r="AN36" s="1269">
        <v>1750</v>
      </c>
      <c r="AO36" s="1269">
        <v>0</v>
      </c>
      <c r="AP36" s="1245">
        <v>10990</v>
      </c>
      <c r="AQ36" s="1269">
        <v>5000</v>
      </c>
      <c r="AR36" s="1269">
        <v>0</v>
      </c>
      <c r="AS36" s="1269">
        <v>0</v>
      </c>
      <c r="AT36" s="1245">
        <v>0</v>
      </c>
      <c r="AU36" s="1269">
        <v>0</v>
      </c>
      <c r="AV36" s="1269">
        <v>0</v>
      </c>
      <c r="AW36" s="1269">
        <v>0</v>
      </c>
      <c r="AX36" s="1245">
        <v>0</v>
      </c>
      <c r="AY36" s="1271">
        <v>0</v>
      </c>
      <c r="AZ36" s="1271"/>
      <c r="BA36" s="1271"/>
      <c r="BB36" s="1245"/>
      <c r="BC36" s="1265"/>
      <c r="BD36" s="1245"/>
      <c r="BE36" s="1245"/>
      <c r="BF36" s="1245"/>
      <c r="BG36" s="1265"/>
      <c r="BH36" s="1269">
        <v>3064</v>
      </c>
      <c r="BI36" s="1269">
        <v>6732</v>
      </c>
      <c r="BJ36" s="1269">
        <v>-3668</v>
      </c>
      <c r="BK36" s="1035">
        <v>-0.54486036838978014</v>
      </c>
      <c r="BL36" s="1271"/>
      <c r="BM36" s="1249">
        <v>3064</v>
      </c>
      <c r="BN36" s="1413">
        <v>6732</v>
      </c>
      <c r="BO36" s="1746">
        <v>0</v>
      </c>
      <c r="BP36" s="2554">
        <v>0</v>
      </c>
      <c r="BQ36" s="1265">
        <v>0</v>
      </c>
      <c r="BR36" s="1265">
        <v>0</v>
      </c>
      <c r="BS36" s="1265">
        <v>1719</v>
      </c>
      <c r="BT36" s="1263">
        <v>16056</v>
      </c>
      <c r="BU36" s="1234">
        <v>12740</v>
      </c>
      <c r="BV36" s="1234">
        <v>5000</v>
      </c>
      <c r="BW36" s="1234">
        <v>0</v>
      </c>
      <c r="BX36" s="2827">
        <v>0</v>
      </c>
      <c r="BY36" s="1234">
        <v>0</v>
      </c>
      <c r="BZ36" s="1033">
        <v>0</v>
      </c>
      <c r="CA36" s="1033"/>
      <c r="CB36" s="1033"/>
      <c r="CC36" s="1223"/>
      <c r="CD36" s="1184"/>
    </row>
    <row r="37" spans="1:82" ht="13.5" x14ac:dyDescent="0.2">
      <c r="A37" s="946"/>
      <c r="B37" s="1201" t="s">
        <v>621</v>
      </c>
      <c r="C37" s="957">
        <v>0</v>
      </c>
      <c r="D37" s="1035">
        <v>0</v>
      </c>
      <c r="E37" s="920"/>
      <c r="F37" s="2008">
        <v>0</v>
      </c>
      <c r="G37" s="915">
        <v>0</v>
      </c>
      <c r="H37" s="1205">
        <v>0</v>
      </c>
      <c r="I37" s="1205">
        <v>0</v>
      </c>
      <c r="J37" s="1245">
        <v>0</v>
      </c>
      <c r="K37" s="1269">
        <v>48355</v>
      </c>
      <c r="L37" s="1269">
        <v>0</v>
      </c>
      <c r="M37" s="1205">
        <v>0</v>
      </c>
      <c r="N37" s="1245">
        <v>0</v>
      </c>
      <c r="O37" s="1269">
        <v>0</v>
      </c>
      <c r="P37" s="1269">
        <v>0</v>
      </c>
      <c r="Q37" s="1269">
        <v>0</v>
      </c>
      <c r="R37" s="1245">
        <v>0</v>
      </c>
      <c r="S37" s="1269"/>
      <c r="T37" s="1269"/>
      <c r="U37" s="1048"/>
      <c r="V37" s="1745"/>
      <c r="W37" s="1269"/>
      <c r="X37" s="1269"/>
      <c r="Y37" s="1269"/>
      <c r="Z37" s="1245"/>
      <c r="AA37" s="1269"/>
      <c r="AB37" s="1269"/>
      <c r="AC37" s="1269"/>
      <c r="AD37" s="1245"/>
      <c r="AE37" s="1269"/>
      <c r="AF37" s="1269"/>
      <c r="AG37" s="1269"/>
      <c r="AH37" s="1245"/>
      <c r="AI37" s="1269"/>
      <c r="AJ37" s="1269"/>
      <c r="AK37" s="1269"/>
      <c r="AL37" s="1245"/>
      <c r="AM37" s="1269"/>
      <c r="AN37" s="1269"/>
      <c r="AO37" s="1269"/>
      <c r="AP37" s="1245"/>
      <c r="AQ37" s="1269"/>
      <c r="AR37" s="1269"/>
      <c r="AS37" s="1269"/>
      <c r="AT37" s="1245"/>
      <c r="AU37" s="1269"/>
      <c r="AV37" s="1269"/>
      <c r="AW37" s="1269"/>
      <c r="AX37" s="1245"/>
      <c r="AY37" s="1271"/>
      <c r="AZ37" s="1271"/>
      <c r="BA37" s="1271"/>
      <c r="BB37" s="1245"/>
      <c r="BC37" s="1265"/>
      <c r="BD37" s="1245"/>
      <c r="BE37" s="1245"/>
      <c r="BF37" s="1245"/>
      <c r="BG37" s="1265"/>
      <c r="BH37" s="1269">
        <v>0</v>
      </c>
      <c r="BI37" s="1269">
        <v>48355</v>
      </c>
      <c r="BJ37" s="1269">
        <v>-48355</v>
      </c>
      <c r="BK37" s="1035">
        <v>0</v>
      </c>
      <c r="BL37" s="1271"/>
      <c r="BM37" s="1249">
        <v>0</v>
      </c>
      <c r="BN37" s="1413">
        <v>48355</v>
      </c>
      <c r="BO37" s="1746"/>
      <c r="BP37" s="2554"/>
      <c r="BQ37" s="1265"/>
      <c r="BR37" s="1265"/>
      <c r="BS37" s="1265"/>
      <c r="BT37" s="1263"/>
      <c r="BU37" s="1234"/>
      <c r="BV37" s="1234"/>
      <c r="BW37" s="1234"/>
      <c r="BX37" s="2827"/>
      <c r="BY37" s="1234"/>
      <c r="BZ37" s="1033"/>
      <c r="CA37" s="1033"/>
      <c r="CB37" s="1033"/>
      <c r="CC37" s="1223"/>
      <c r="CD37" s="1184"/>
    </row>
    <row r="38" spans="1:82" x14ac:dyDescent="0.2">
      <c r="A38" s="946"/>
      <c r="B38" s="946" t="s">
        <v>380</v>
      </c>
      <c r="C38" s="957">
        <v>0</v>
      </c>
      <c r="D38" s="1035">
        <v>0</v>
      </c>
      <c r="E38" s="920"/>
      <c r="F38" s="2008">
        <v>0</v>
      </c>
      <c r="G38" s="915">
        <v>0</v>
      </c>
      <c r="H38" s="1269">
        <v>0</v>
      </c>
      <c r="I38" s="1269">
        <v>0</v>
      </c>
      <c r="J38" s="1245">
        <v>0</v>
      </c>
      <c r="K38" s="1269">
        <v>0</v>
      </c>
      <c r="L38" s="1269">
        <v>0</v>
      </c>
      <c r="M38" s="1269">
        <v>0</v>
      </c>
      <c r="N38" s="1245">
        <v>0</v>
      </c>
      <c r="O38" s="1269">
        <v>0</v>
      </c>
      <c r="P38" s="1269">
        <v>0</v>
      </c>
      <c r="Q38" s="1269">
        <v>0</v>
      </c>
      <c r="R38" s="1245">
        <v>0</v>
      </c>
      <c r="S38" s="1269">
        <v>0</v>
      </c>
      <c r="T38" s="1269">
        <v>321037</v>
      </c>
      <c r="U38" s="1048">
        <v>0</v>
      </c>
      <c r="V38" s="1745">
        <v>0</v>
      </c>
      <c r="W38" s="1269">
        <v>10000</v>
      </c>
      <c r="X38" s="1269">
        <v>4535</v>
      </c>
      <c r="Y38" s="1269">
        <v>0</v>
      </c>
      <c r="Z38" s="1245">
        <v>0</v>
      </c>
      <c r="AA38" s="1269">
        <v>0</v>
      </c>
      <c r="AB38" s="1269">
        <v>0</v>
      </c>
      <c r="AC38" s="1269">
        <v>0</v>
      </c>
      <c r="AD38" s="1245">
        <v>0</v>
      </c>
      <c r="AE38" s="1269">
        <v>0</v>
      </c>
      <c r="AF38" s="1269">
        <v>0</v>
      </c>
      <c r="AG38" s="1269"/>
      <c r="AH38" s="1245"/>
      <c r="AI38" s="1269"/>
      <c r="AJ38" s="1269">
        <v>0</v>
      </c>
      <c r="AK38" s="1269">
        <v>0</v>
      </c>
      <c r="AL38" s="1245">
        <v>0</v>
      </c>
      <c r="AM38" s="1269">
        <v>0</v>
      </c>
      <c r="AN38" s="1269">
        <v>0</v>
      </c>
      <c r="AO38" s="1269">
        <v>0</v>
      </c>
      <c r="AP38" s="1245">
        <v>0</v>
      </c>
      <c r="AQ38" s="1269">
        <v>0</v>
      </c>
      <c r="AR38" s="1269">
        <v>0</v>
      </c>
      <c r="AS38" s="1269">
        <v>0</v>
      </c>
      <c r="AT38" s="1245">
        <v>0</v>
      </c>
      <c r="AU38" s="1269">
        <v>0</v>
      </c>
      <c r="AV38" s="1269">
        <v>31524</v>
      </c>
      <c r="AW38" s="1269">
        <v>0</v>
      </c>
      <c r="AX38" s="1245">
        <v>0</v>
      </c>
      <c r="AY38" s="1271">
        <v>0</v>
      </c>
      <c r="AZ38" s="1271">
        <v>0</v>
      </c>
      <c r="BA38" s="1271">
        <v>0</v>
      </c>
      <c r="BB38" s="1245">
        <v>0</v>
      </c>
      <c r="BC38" s="1265">
        <v>0</v>
      </c>
      <c r="BD38" s="1245">
        <v>0</v>
      </c>
      <c r="BE38" s="1245"/>
      <c r="BF38" s="1245"/>
      <c r="BG38" s="1265"/>
      <c r="BH38" s="1269">
        <v>0</v>
      </c>
      <c r="BI38" s="1269">
        <v>0</v>
      </c>
      <c r="BJ38" s="1269">
        <v>0</v>
      </c>
      <c r="BK38" s="1035">
        <v>0</v>
      </c>
      <c r="BL38" s="1271"/>
      <c r="BM38" s="1249">
        <v>0</v>
      </c>
      <c r="BN38" s="1413">
        <v>0</v>
      </c>
      <c r="BO38" s="1746">
        <v>0</v>
      </c>
      <c r="BP38" s="2554">
        <v>321037</v>
      </c>
      <c r="BQ38" s="1265">
        <v>14535</v>
      </c>
      <c r="BR38" s="1265">
        <v>0</v>
      </c>
      <c r="BS38" s="1263">
        <v>0</v>
      </c>
      <c r="BT38" s="1263">
        <v>0</v>
      </c>
      <c r="BU38" s="1234">
        <v>0</v>
      </c>
      <c r="BV38" s="1234">
        <v>0</v>
      </c>
      <c r="BW38" s="1234">
        <v>31524</v>
      </c>
      <c r="BX38" s="2827">
        <v>0</v>
      </c>
      <c r="BY38" s="1234">
        <v>0</v>
      </c>
      <c r="BZ38" s="1033">
        <v>0</v>
      </c>
      <c r="CA38" s="1033">
        <v>0</v>
      </c>
      <c r="CB38" s="1033">
        <v>0</v>
      </c>
      <c r="CC38" s="1223"/>
      <c r="CD38" s="1184"/>
    </row>
    <row r="39" spans="1:82" ht="13.5" x14ac:dyDescent="0.2">
      <c r="A39" s="946"/>
      <c r="B39" s="946" t="s">
        <v>668</v>
      </c>
      <c r="C39" s="957">
        <v>0</v>
      </c>
      <c r="D39" s="1035">
        <v>0</v>
      </c>
      <c r="E39" s="920"/>
      <c r="F39" s="2008">
        <v>0</v>
      </c>
      <c r="G39" s="915">
        <v>0</v>
      </c>
      <c r="H39" s="1269">
        <v>0</v>
      </c>
      <c r="I39" s="1269">
        <v>8608</v>
      </c>
      <c r="J39" s="1245">
        <v>0</v>
      </c>
      <c r="K39" s="1269">
        <v>0</v>
      </c>
      <c r="L39" s="1269">
        <v>0</v>
      </c>
      <c r="M39" s="1269">
        <v>0</v>
      </c>
      <c r="N39" s="1245">
        <v>0</v>
      </c>
      <c r="O39" s="1269">
        <v>0</v>
      </c>
      <c r="P39" s="1269">
        <v>0</v>
      </c>
      <c r="Q39" s="1269">
        <v>0</v>
      </c>
      <c r="R39" s="1245">
        <v>0</v>
      </c>
      <c r="S39" s="1269"/>
      <c r="T39" s="1269"/>
      <c r="U39" s="1048"/>
      <c r="V39" s="1745"/>
      <c r="W39" s="1269"/>
      <c r="X39" s="1269"/>
      <c r="Y39" s="1269"/>
      <c r="Z39" s="1245"/>
      <c r="AA39" s="1269"/>
      <c r="AB39" s="1269"/>
      <c r="AC39" s="1269"/>
      <c r="AD39" s="1245"/>
      <c r="AE39" s="1269"/>
      <c r="AF39" s="1269"/>
      <c r="AG39" s="1269"/>
      <c r="AH39" s="1245"/>
      <c r="AI39" s="1269"/>
      <c r="AJ39" s="1269"/>
      <c r="AK39" s="1269"/>
      <c r="AL39" s="1245"/>
      <c r="AM39" s="1269"/>
      <c r="AN39" s="1269"/>
      <c r="AO39" s="1269"/>
      <c r="AP39" s="1245"/>
      <c r="AQ39" s="1269"/>
      <c r="AR39" s="1269"/>
      <c r="AS39" s="1269"/>
      <c r="AT39" s="1245"/>
      <c r="AU39" s="1269"/>
      <c r="AV39" s="1269"/>
      <c r="AW39" s="1269"/>
      <c r="AX39" s="1245"/>
      <c r="AY39" s="1271"/>
      <c r="AZ39" s="1271"/>
      <c r="BA39" s="1271"/>
      <c r="BB39" s="1245"/>
      <c r="BC39" s="1265"/>
      <c r="BD39" s="1245"/>
      <c r="BE39" s="1245"/>
      <c r="BF39" s="1245"/>
      <c r="BG39" s="1265"/>
      <c r="BH39" s="1269">
        <v>8608</v>
      </c>
      <c r="BI39" s="1269">
        <v>0</v>
      </c>
      <c r="BJ39" s="1269">
        <v>8608</v>
      </c>
      <c r="BK39" s="1035" t="s">
        <v>41</v>
      </c>
      <c r="BL39" s="1271"/>
      <c r="BM39" s="1249">
        <v>8608</v>
      </c>
      <c r="BN39" s="1413">
        <v>0</v>
      </c>
      <c r="BO39" s="1746">
        <v>0</v>
      </c>
      <c r="BP39" s="2554">
        <v>0</v>
      </c>
      <c r="BQ39" s="1265">
        <v>0</v>
      </c>
      <c r="BR39" s="1265">
        <v>0</v>
      </c>
      <c r="BS39" s="1263"/>
      <c r="BT39" s="1263"/>
      <c r="BU39" s="1234"/>
      <c r="BV39" s="1234"/>
      <c r="BW39" s="1234"/>
      <c r="BX39" s="2827"/>
      <c r="BY39" s="1234"/>
      <c r="BZ39" s="1033"/>
      <c r="CA39" s="1033"/>
      <c r="CB39" s="1033"/>
      <c r="CC39" s="1223"/>
      <c r="CD39" s="1184"/>
    </row>
    <row r="40" spans="1:82" x14ac:dyDescent="0.2">
      <c r="A40" s="946"/>
      <c r="B40" s="946" t="s">
        <v>530</v>
      </c>
      <c r="C40" s="957">
        <v>258</v>
      </c>
      <c r="D40" s="1035" t="s">
        <v>41</v>
      </c>
      <c r="E40" s="920"/>
      <c r="F40" s="2008">
        <v>269</v>
      </c>
      <c r="G40" s="915">
        <v>-111</v>
      </c>
      <c r="H40" s="1269">
        <v>157</v>
      </c>
      <c r="I40" s="1269">
        <v>247</v>
      </c>
      <c r="J40" s="1245">
        <v>11</v>
      </c>
      <c r="K40" s="1269">
        <v>-4</v>
      </c>
      <c r="L40" s="1269">
        <v>94</v>
      </c>
      <c r="M40" s="1269">
        <v>208</v>
      </c>
      <c r="N40" s="1245">
        <v>0</v>
      </c>
      <c r="O40" s="1269">
        <v>0</v>
      </c>
      <c r="P40" s="1269">
        <v>0</v>
      </c>
      <c r="Q40" s="1269">
        <v>0</v>
      </c>
      <c r="R40" s="1245">
        <v>0</v>
      </c>
      <c r="S40" s="1269">
        <v>0</v>
      </c>
      <c r="T40" s="1269">
        <v>0</v>
      </c>
      <c r="U40" s="1048">
        <v>0</v>
      </c>
      <c r="V40" s="1745">
        <v>0</v>
      </c>
      <c r="W40" s="1269"/>
      <c r="X40" s="1269"/>
      <c r="Y40" s="1269"/>
      <c r="Z40" s="1245"/>
      <c r="AA40" s="1269"/>
      <c r="AB40" s="1269"/>
      <c r="AC40" s="1269"/>
      <c r="AD40" s="1245"/>
      <c r="AE40" s="1269"/>
      <c r="AF40" s="1269"/>
      <c r="AG40" s="1269"/>
      <c r="AH40" s="1245"/>
      <c r="AI40" s="1269"/>
      <c r="AJ40" s="1269"/>
      <c r="AK40" s="1269"/>
      <c r="AL40" s="1245"/>
      <c r="AM40" s="1269"/>
      <c r="AN40" s="1269"/>
      <c r="AO40" s="1269"/>
      <c r="AP40" s="1245"/>
      <c r="AQ40" s="1269"/>
      <c r="AR40" s="1269"/>
      <c r="AS40" s="1269"/>
      <c r="AT40" s="1245"/>
      <c r="AU40" s="1269"/>
      <c r="AV40" s="1269"/>
      <c r="AW40" s="1269"/>
      <c r="AX40" s="1245"/>
      <c r="AY40" s="1271"/>
      <c r="AZ40" s="1271"/>
      <c r="BA40" s="1271"/>
      <c r="BB40" s="1245"/>
      <c r="BC40" s="1265"/>
      <c r="BD40" s="1245"/>
      <c r="BE40" s="1245"/>
      <c r="BF40" s="1245"/>
      <c r="BG40" s="1265"/>
      <c r="BH40" s="1269">
        <v>304</v>
      </c>
      <c r="BI40" s="1269">
        <v>298</v>
      </c>
      <c r="BJ40" s="1269">
        <v>6</v>
      </c>
      <c r="BK40" s="1035">
        <v>2.0134228187919462E-2</v>
      </c>
      <c r="BL40" s="1271"/>
      <c r="BM40" s="1249">
        <v>304</v>
      </c>
      <c r="BN40" s="1413">
        <v>298</v>
      </c>
      <c r="BO40" s="1746">
        <v>0</v>
      </c>
      <c r="BP40" s="2554">
        <v>0</v>
      </c>
      <c r="BQ40" s="1265">
        <v>0</v>
      </c>
      <c r="BR40" s="1265">
        <v>0</v>
      </c>
      <c r="BS40" s="1263">
        <v>0</v>
      </c>
      <c r="BT40" s="1263"/>
      <c r="BU40" s="1234"/>
      <c r="BV40" s="1234"/>
      <c r="BW40" s="1234"/>
      <c r="BX40" s="2827"/>
      <c r="BY40" s="1234"/>
      <c r="BZ40" s="1033"/>
      <c r="CA40" s="1033"/>
      <c r="CB40" s="1033"/>
      <c r="CC40" s="1223"/>
      <c r="CD40" s="1184"/>
    </row>
    <row r="41" spans="1:82" x14ac:dyDescent="0.2">
      <c r="A41" s="948"/>
      <c r="B41" s="946"/>
      <c r="C41" s="1189">
        <v>41915</v>
      </c>
      <c r="D41" s="1190">
        <v>0.16617044810320289</v>
      </c>
      <c r="E41" s="920"/>
      <c r="F41" s="2005">
        <v>294156</v>
      </c>
      <c r="G41" s="2030">
        <v>279265</v>
      </c>
      <c r="H41" s="1168">
        <v>290991</v>
      </c>
      <c r="I41" s="1168">
        <v>275414</v>
      </c>
      <c r="J41" s="1951">
        <v>252241</v>
      </c>
      <c r="K41" s="2030">
        <v>324379</v>
      </c>
      <c r="L41" s="1168">
        <v>262559</v>
      </c>
      <c r="M41" s="1168">
        <v>198613</v>
      </c>
      <c r="N41" s="1951">
        <v>201580</v>
      </c>
      <c r="O41" s="1276">
        <v>234251</v>
      </c>
      <c r="P41" s="1276">
        <v>202397</v>
      </c>
      <c r="Q41" s="1276">
        <v>192845</v>
      </c>
      <c r="R41" s="1277">
        <v>196169</v>
      </c>
      <c r="S41" s="1276">
        <v>228210</v>
      </c>
      <c r="T41" s="1276">
        <v>532456</v>
      </c>
      <c r="U41" s="1276">
        <v>189103</v>
      </c>
      <c r="V41" s="1277">
        <v>202007</v>
      </c>
      <c r="W41" s="1276">
        <v>260835</v>
      </c>
      <c r="X41" s="1276">
        <v>191991</v>
      </c>
      <c r="Y41" s="1276">
        <v>211326</v>
      </c>
      <c r="Z41" s="1277">
        <v>222268</v>
      </c>
      <c r="AA41" s="1276">
        <v>221737</v>
      </c>
      <c r="AB41" s="1276">
        <v>206539</v>
      </c>
      <c r="AC41" s="1276">
        <v>184262</v>
      </c>
      <c r="AD41" s="1277">
        <v>178118</v>
      </c>
      <c r="AE41" s="1276">
        <v>211984</v>
      </c>
      <c r="AF41" s="1276">
        <v>216882</v>
      </c>
      <c r="AG41" s="1276">
        <v>204910</v>
      </c>
      <c r="AH41" s="1277">
        <v>187048</v>
      </c>
      <c r="AI41" s="1276">
        <v>207731</v>
      </c>
      <c r="AJ41" s="1276">
        <v>142822</v>
      </c>
      <c r="AK41" s="1276">
        <v>126396</v>
      </c>
      <c r="AL41" s="1277">
        <v>144034</v>
      </c>
      <c r="AM41" s="1276">
        <v>189279</v>
      </c>
      <c r="AN41" s="1276">
        <v>192918</v>
      </c>
      <c r="AO41" s="1276">
        <v>134676</v>
      </c>
      <c r="AP41" s="1277">
        <v>144286</v>
      </c>
      <c r="AQ41" s="1276">
        <v>137658</v>
      </c>
      <c r="AR41" s="1276">
        <v>150887</v>
      </c>
      <c r="AS41" s="1276">
        <v>115883</v>
      </c>
      <c r="AT41" s="1277">
        <v>121468</v>
      </c>
      <c r="AU41" s="1276">
        <v>100311</v>
      </c>
      <c r="AV41" s="1276">
        <v>159625</v>
      </c>
      <c r="AW41" s="1276">
        <v>115805</v>
      </c>
      <c r="AX41" s="1277">
        <v>149179</v>
      </c>
      <c r="AY41" s="1276">
        <v>194004</v>
      </c>
      <c r="AZ41" s="1276">
        <v>159043</v>
      </c>
      <c r="BA41" s="1276">
        <v>139741</v>
      </c>
      <c r="BB41" s="1277">
        <v>187220</v>
      </c>
      <c r="BC41" s="1268">
        <v>176307</v>
      </c>
      <c r="BD41" s="1277">
        <v>144677</v>
      </c>
      <c r="BE41" s="1277">
        <v>130781</v>
      </c>
      <c r="BF41" s="1277">
        <v>166952</v>
      </c>
      <c r="BG41" s="1265"/>
      <c r="BH41" s="1276">
        <v>1097911</v>
      </c>
      <c r="BI41" s="1276">
        <v>987131</v>
      </c>
      <c r="BJ41" s="1276">
        <v>110780</v>
      </c>
      <c r="BK41" s="1190">
        <v>0.11222421340227386</v>
      </c>
      <c r="BL41" s="1271"/>
      <c r="BM41" s="1469">
        <v>1097911</v>
      </c>
      <c r="BN41" s="1268">
        <v>987131</v>
      </c>
      <c r="BO41" s="1268">
        <v>825662</v>
      </c>
      <c r="BP41" s="1268">
        <v>1151776</v>
      </c>
      <c r="BQ41" s="1268">
        <v>886420</v>
      </c>
      <c r="BR41" s="1268">
        <v>790656</v>
      </c>
      <c r="BS41" s="1268">
        <v>820824</v>
      </c>
      <c r="BT41" s="1268">
        <v>620983</v>
      </c>
      <c r="BU41" s="1268">
        <v>661159</v>
      </c>
      <c r="BV41" s="1268">
        <v>525896</v>
      </c>
      <c r="BW41" s="1268">
        <v>524920</v>
      </c>
      <c r="BX41" s="1243">
        <v>680008</v>
      </c>
      <c r="BY41" s="1243">
        <v>618717</v>
      </c>
      <c r="BZ41" s="1244">
        <v>466018</v>
      </c>
      <c r="CA41" s="1244">
        <v>360022</v>
      </c>
      <c r="CB41" s="1244">
        <v>339600</v>
      </c>
      <c r="CC41" s="1223"/>
      <c r="CD41" s="1184"/>
    </row>
    <row r="42" spans="1:82" ht="9" customHeight="1" x14ac:dyDescent="0.2">
      <c r="A42" s="948"/>
      <c r="B42" s="946"/>
      <c r="C42" s="1196"/>
      <c r="D42" s="1035"/>
      <c r="E42" s="920"/>
      <c r="F42" s="2223"/>
      <c r="G42" s="1155"/>
      <c r="H42" s="1205"/>
      <c r="I42" s="1205"/>
      <c r="J42" s="1409"/>
      <c r="K42" s="1205"/>
      <c r="L42" s="1205"/>
      <c r="M42" s="1205"/>
      <c r="N42" s="1409"/>
      <c r="O42" s="1205"/>
      <c r="P42" s="1205"/>
      <c r="Q42" s="1205"/>
      <c r="R42" s="1409"/>
      <c r="S42" s="1205"/>
      <c r="T42" s="1205"/>
      <c r="U42" s="1205"/>
      <c r="V42" s="1409"/>
      <c r="W42" s="1205"/>
      <c r="X42" s="1205"/>
      <c r="Y42" s="1205"/>
      <c r="Z42" s="1409"/>
      <c r="AA42" s="1205"/>
      <c r="AB42" s="1205"/>
      <c r="AC42" s="1205"/>
      <c r="AD42" s="1245"/>
      <c r="AE42" s="1205"/>
      <c r="AF42" s="1205"/>
      <c r="AG42" s="1205"/>
      <c r="AH42" s="1245"/>
      <c r="AI42" s="1205"/>
      <c r="AJ42" s="1205"/>
      <c r="AK42" s="1205"/>
      <c r="AL42" s="1245"/>
      <c r="AM42" s="1205"/>
      <c r="AN42" s="1205"/>
      <c r="AO42" s="1205"/>
      <c r="AP42" s="1245"/>
      <c r="AQ42" s="1205"/>
      <c r="AR42" s="1205"/>
      <c r="AS42" s="1205"/>
      <c r="AT42" s="1245"/>
      <c r="AU42" s="1205"/>
      <c r="AV42" s="1205"/>
      <c r="AW42" s="1205"/>
      <c r="AX42" s="1245"/>
      <c r="AY42" s="1271"/>
      <c r="AZ42" s="1271"/>
      <c r="BA42" s="1271"/>
      <c r="BB42" s="1245"/>
      <c r="BC42" s="1265"/>
      <c r="BD42" s="1245"/>
      <c r="BE42" s="1245"/>
      <c r="BF42" s="1245"/>
      <c r="BG42" s="1265"/>
      <c r="BH42" s="1205"/>
      <c r="BI42" s="1205"/>
      <c r="BJ42" s="1269"/>
      <c r="BK42" s="1035"/>
      <c r="BL42" s="1271"/>
      <c r="BM42" s="1413"/>
      <c r="BN42" s="1413"/>
      <c r="BO42" s="1413"/>
      <c r="BP42" s="1265"/>
      <c r="BQ42" s="1265"/>
      <c r="BR42" s="1265"/>
      <c r="BS42" s="1265"/>
      <c r="BT42" s="1265"/>
      <c r="BU42" s="1265"/>
      <c r="BV42" s="1265"/>
      <c r="BW42" s="1265"/>
      <c r="BX42" s="1237"/>
      <c r="BY42" s="1237"/>
      <c r="BZ42" s="1033"/>
      <c r="CA42" s="1033"/>
      <c r="CB42" s="1033"/>
      <c r="CC42" s="1223"/>
      <c r="CD42" s="1184"/>
    </row>
    <row r="43" spans="1:82" s="2304" customFormat="1" ht="12.75" customHeight="1" x14ac:dyDescent="0.2">
      <c r="A43" s="1197" t="s">
        <v>72</v>
      </c>
      <c r="B43" s="947"/>
      <c r="C43" s="957">
        <v>9470</v>
      </c>
      <c r="D43" s="1035">
        <v>0.43277579745909878</v>
      </c>
      <c r="E43" s="920"/>
      <c r="F43" s="2010">
        <v>31352</v>
      </c>
      <c r="G43" s="1169">
        <v>5543</v>
      </c>
      <c r="H43" s="1269">
        <v>40609</v>
      </c>
      <c r="I43" s="1269">
        <v>24622</v>
      </c>
      <c r="J43" s="1245">
        <v>21882</v>
      </c>
      <c r="K43" s="1269">
        <v>-2299</v>
      </c>
      <c r="L43" s="1269">
        <v>46883</v>
      </c>
      <c r="M43" s="1269">
        <v>-7066</v>
      </c>
      <c r="N43" s="1245">
        <v>-1772</v>
      </c>
      <c r="O43" s="1269">
        <v>37405</v>
      </c>
      <c r="P43" s="1269">
        <v>5711</v>
      </c>
      <c r="Q43" s="1269">
        <v>757</v>
      </c>
      <c r="R43" s="1245">
        <v>10011</v>
      </c>
      <c r="S43" s="1269">
        <v>-27298</v>
      </c>
      <c r="T43" s="1269">
        <v>-350619</v>
      </c>
      <c r="U43" s="1269">
        <v>1499</v>
      </c>
      <c r="V43" s="1245">
        <v>12447</v>
      </c>
      <c r="W43" s="1269">
        <v>-28370</v>
      </c>
      <c r="X43" s="1269">
        <v>-25520</v>
      </c>
      <c r="Y43" s="1269">
        <v>24945</v>
      </c>
      <c r="Z43" s="1245">
        <v>23288</v>
      </c>
      <c r="AA43" s="1269">
        <v>32011</v>
      </c>
      <c r="AB43" s="1269">
        <v>24420</v>
      </c>
      <c r="AC43" s="1269">
        <v>-956</v>
      </c>
      <c r="AD43" s="1245">
        <v>9113</v>
      </c>
      <c r="AE43" s="1269">
        <v>5987</v>
      </c>
      <c r="AF43" s="1269">
        <v>13121</v>
      </c>
      <c r="AG43" s="1269">
        <v>-18311</v>
      </c>
      <c r="AH43" s="1245">
        <v>-24499</v>
      </c>
      <c r="AI43" s="1269">
        <v>-30039</v>
      </c>
      <c r="AJ43" s="1269">
        <v>5067</v>
      </c>
      <c r="AK43" s="1269">
        <v>-6896</v>
      </c>
      <c r="AL43" s="1245">
        <v>15749</v>
      </c>
      <c r="AM43" s="1269">
        <v>58316</v>
      </c>
      <c r="AN43" s="1269">
        <v>61916</v>
      </c>
      <c r="AO43" s="1269">
        <v>14609</v>
      </c>
      <c r="AP43" s="1245">
        <v>7631</v>
      </c>
      <c r="AQ43" s="1269">
        <v>5475</v>
      </c>
      <c r="AR43" s="1269">
        <v>22310</v>
      </c>
      <c r="AS43" s="1269">
        <v>7861</v>
      </c>
      <c r="AT43" s="1245">
        <v>15995</v>
      </c>
      <c r="AU43" s="1269">
        <v>6685</v>
      </c>
      <c r="AV43" s="1269">
        <v>-72437</v>
      </c>
      <c r="AW43" s="1269">
        <v>-4976</v>
      </c>
      <c r="AX43" s="1245">
        <v>23529</v>
      </c>
      <c r="AY43" s="1271">
        <v>-50558</v>
      </c>
      <c r="AZ43" s="1271">
        <v>24311</v>
      </c>
      <c r="BA43" s="1271">
        <v>19128</v>
      </c>
      <c r="BB43" s="1245">
        <v>58650</v>
      </c>
      <c r="BC43" s="1265">
        <v>40136</v>
      </c>
      <c r="BD43" s="1245">
        <v>33636</v>
      </c>
      <c r="BE43" s="1245">
        <v>25250</v>
      </c>
      <c r="BF43" s="1245">
        <v>39175</v>
      </c>
      <c r="BG43" s="1265"/>
      <c r="BH43" s="1269">
        <v>92656</v>
      </c>
      <c r="BI43" s="1269">
        <v>35746</v>
      </c>
      <c r="BJ43" s="1246">
        <v>56910</v>
      </c>
      <c r="BK43" s="1035">
        <v>1.5920662451742853</v>
      </c>
      <c r="BL43" s="1247"/>
      <c r="BM43" s="1249">
        <v>92656</v>
      </c>
      <c r="BN43" s="1265">
        <v>35746</v>
      </c>
      <c r="BO43" s="1265">
        <v>53884</v>
      </c>
      <c r="BP43" s="1265">
        <v>-363971</v>
      </c>
      <c r="BQ43" s="1265">
        <v>-5657</v>
      </c>
      <c r="BR43" s="1265">
        <v>64588</v>
      </c>
      <c r="BS43" s="1265">
        <v>-23702</v>
      </c>
      <c r="BT43" s="1265">
        <v>-16119</v>
      </c>
      <c r="BU43" s="1265">
        <v>142472</v>
      </c>
      <c r="BV43" s="1265">
        <v>51641</v>
      </c>
      <c r="BW43" s="1265">
        <v>-47199</v>
      </c>
      <c r="BX43" s="1237">
        <v>51531</v>
      </c>
      <c r="BY43" s="1237">
        <v>138197</v>
      </c>
      <c r="BZ43" s="1033">
        <v>117397</v>
      </c>
      <c r="CA43" s="1033">
        <v>72756</v>
      </c>
      <c r="CB43" s="1033">
        <v>62557</v>
      </c>
      <c r="CC43" s="2394"/>
      <c r="CD43" s="1889"/>
    </row>
    <row r="44" spans="1:82" ht="9" customHeight="1" x14ac:dyDescent="0.2">
      <c r="A44" s="948"/>
      <c r="B44" s="946"/>
      <c r="C44" s="1198"/>
      <c r="D44" s="1035"/>
      <c r="E44" s="920"/>
      <c r="F44" s="2223"/>
      <c r="G44" s="1155"/>
      <c r="H44" s="1205"/>
      <c r="I44" s="1205"/>
      <c r="J44" s="1245"/>
      <c r="K44" s="1205"/>
      <c r="L44" s="1205"/>
      <c r="M44" s="1205"/>
      <c r="N44" s="1245"/>
      <c r="O44" s="1205"/>
      <c r="P44" s="1205"/>
      <c r="Q44" s="1205"/>
      <c r="R44" s="1245"/>
      <c r="S44" s="1205"/>
      <c r="T44" s="1205"/>
      <c r="U44" s="1205"/>
      <c r="V44" s="1245"/>
      <c r="W44" s="1205"/>
      <c r="X44" s="1205"/>
      <c r="Y44" s="1205"/>
      <c r="Z44" s="1245"/>
      <c r="AA44" s="1205"/>
      <c r="AB44" s="1205"/>
      <c r="AC44" s="1205"/>
      <c r="AD44" s="1245"/>
      <c r="AE44" s="1205"/>
      <c r="AF44" s="1205"/>
      <c r="AG44" s="1205"/>
      <c r="AH44" s="1245"/>
      <c r="AI44" s="1205"/>
      <c r="AJ44" s="1205"/>
      <c r="AK44" s="1205"/>
      <c r="AL44" s="1245"/>
      <c r="AM44" s="1205"/>
      <c r="AN44" s="1205"/>
      <c r="AO44" s="1205"/>
      <c r="AP44" s="1245"/>
      <c r="AQ44" s="1205"/>
      <c r="AR44" s="1205"/>
      <c r="AS44" s="1205"/>
      <c r="AT44" s="1245"/>
      <c r="AU44" s="1205"/>
      <c r="AV44" s="1205"/>
      <c r="AW44" s="1205"/>
      <c r="AX44" s="1245"/>
      <c r="AY44" s="1271"/>
      <c r="AZ44" s="1271"/>
      <c r="BA44" s="1271"/>
      <c r="BB44" s="1245"/>
      <c r="BC44" s="1265"/>
      <c r="BD44" s="1245"/>
      <c r="BE44" s="1245"/>
      <c r="BF44" s="1245"/>
      <c r="BG44" s="1265"/>
      <c r="BH44" s="1205"/>
      <c r="BI44" s="1205"/>
      <c r="BJ44" s="1246"/>
      <c r="BK44" s="1035"/>
      <c r="BL44" s="1247"/>
      <c r="BM44" s="1249">
        <v>0</v>
      </c>
      <c r="BN44" s="1413">
        <v>0</v>
      </c>
      <c r="BO44" s="1413">
        <v>0</v>
      </c>
      <c r="BP44" s="1413"/>
      <c r="BQ44" s="1249"/>
      <c r="BR44" s="1249"/>
      <c r="BS44" s="1249"/>
      <c r="BT44" s="1249"/>
      <c r="BU44" s="1249"/>
      <c r="BV44" s="1249"/>
      <c r="BW44" s="1249"/>
      <c r="BX44" s="1273"/>
      <c r="BY44" s="1237"/>
      <c r="BZ44" s="1033"/>
      <c r="CA44" s="1033"/>
      <c r="CB44" s="1033"/>
      <c r="CC44" s="1223"/>
      <c r="CD44" s="1184"/>
    </row>
    <row r="45" spans="1:82" ht="12.75" customHeight="1" x14ac:dyDescent="0.2">
      <c r="A45" s="1193"/>
      <c r="B45" s="1193" t="s">
        <v>6</v>
      </c>
      <c r="C45" s="957">
        <v>3829</v>
      </c>
      <c r="D45" s="1035">
        <v>1.1843489019486546</v>
      </c>
      <c r="E45" s="920"/>
      <c r="F45" s="2015">
        <v>7062</v>
      </c>
      <c r="G45" s="1159">
        <v>3087</v>
      </c>
      <c r="H45" s="1205">
        <v>8151</v>
      </c>
      <c r="I45" s="1205">
        <v>6603</v>
      </c>
      <c r="J45" s="1245">
        <v>3233</v>
      </c>
      <c r="K45" s="1205">
        <v>7404</v>
      </c>
      <c r="L45" s="1205">
        <v>10285</v>
      </c>
      <c r="M45" s="1205">
        <v>192</v>
      </c>
      <c r="N45" s="1245">
        <v>788</v>
      </c>
      <c r="O45" s="1205">
        <v>6418</v>
      </c>
      <c r="P45" s="1205">
        <v>1167</v>
      </c>
      <c r="Q45" s="1205">
        <v>557</v>
      </c>
      <c r="R45" s="1245">
        <v>2556</v>
      </c>
      <c r="S45" s="1205">
        <v>-4589</v>
      </c>
      <c r="T45" s="1205">
        <v>-4231</v>
      </c>
      <c r="U45" s="1205">
        <v>1930</v>
      </c>
      <c r="V45" s="1245">
        <v>1486</v>
      </c>
      <c r="W45" s="1205">
        <v>-2048</v>
      </c>
      <c r="X45" s="1205">
        <v>-4041</v>
      </c>
      <c r="Y45" s="1205">
        <v>7331</v>
      </c>
      <c r="Z45" s="1245">
        <v>4419</v>
      </c>
      <c r="AA45" s="1205">
        <v>6091</v>
      </c>
      <c r="AB45" s="1205">
        <v>6086</v>
      </c>
      <c r="AC45" s="1205">
        <v>-876</v>
      </c>
      <c r="AD45" s="1245">
        <v>1230</v>
      </c>
      <c r="AE45" s="1205">
        <v>-437</v>
      </c>
      <c r="AF45" s="1205">
        <v>2857</v>
      </c>
      <c r="AG45" s="1205">
        <v>-3470</v>
      </c>
      <c r="AH45" s="1245">
        <v>-3877</v>
      </c>
      <c r="AI45" s="1205">
        <v>1755</v>
      </c>
      <c r="AJ45" s="1205">
        <v>2536</v>
      </c>
      <c r="AK45" s="1205">
        <v>-1618</v>
      </c>
      <c r="AL45" s="1245">
        <v>2554</v>
      </c>
      <c r="AM45" s="1205">
        <v>16993</v>
      </c>
      <c r="AN45" s="1205">
        <v>18919</v>
      </c>
      <c r="AO45" s="1205">
        <v>4358</v>
      </c>
      <c r="AP45" s="1245">
        <v>2459</v>
      </c>
      <c r="AQ45" s="1205">
        <v>-2051</v>
      </c>
      <c r="AR45" s="1205">
        <v>7197</v>
      </c>
      <c r="AS45" s="1205">
        <v>1115</v>
      </c>
      <c r="AT45" s="1245">
        <v>6883</v>
      </c>
      <c r="AU45" s="1205">
        <v>3019</v>
      </c>
      <c r="AV45" s="1205">
        <v>-10059</v>
      </c>
      <c r="AW45" s="1205">
        <v>422</v>
      </c>
      <c r="AX45" s="1245">
        <v>7070</v>
      </c>
      <c r="AY45" s="1271">
        <v>-15404</v>
      </c>
      <c r="AZ45" s="1271">
        <v>9263</v>
      </c>
      <c r="BA45" s="1271">
        <v>6717</v>
      </c>
      <c r="BB45" s="1245">
        <v>19621</v>
      </c>
      <c r="BC45" s="1265">
        <v>14120</v>
      </c>
      <c r="BD45" s="1245">
        <v>9944</v>
      </c>
      <c r="BE45" s="1245">
        <v>7444</v>
      </c>
      <c r="BF45" s="1245">
        <v>13233</v>
      </c>
      <c r="BG45" s="1265"/>
      <c r="BH45" s="1269">
        <v>21074</v>
      </c>
      <c r="BI45" s="1246">
        <v>18669</v>
      </c>
      <c r="BJ45" s="1246">
        <v>2405</v>
      </c>
      <c r="BK45" s="1035">
        <v>0.12882318281643365</v>
      </c>
      <c r="BL45" s="1247"/>
      <c r="BM45" s="1249">
        <v>21074</v>
      </c>
      <c r="BN45" s="1265">
        <v>18669</v>
      </c>
      <c r="BO45" s="1265">
        <v>10698</v>
      </c>
      <c r="BP45" s="2554">
        <v>-5404</v>
      </c>
      <c r="BQ45" s="1265">
        <v>5661</v>
      </c>
      <c r="BR45" s="1265">
        <v>12531</v>
      </c>
      <c r="BS45" s="1265">
        <v>-4927</v>
      </c>
      <c r="BT45" s="1265">
        <v>5227</v>
      </c>
      <c r="BU45" s="1265">
        <v>42729</v>
      </c>
      <c r="BV45" s="1249">
        <v>13144</v>
      </c>
      <c r="BW45" s="1249">
        <v>452</v>
      </c>
      <c r="BX45" s="1273">
        <v>20197</v>
      </c>
      <c r="BY45" s="1237">
        <v>44741</v>
      </c>
      <c r="BZ45" s="1033">
        <v>37880</v>
      </c>
      <c r="CA45" s="1033">
        <v>24177</v>
      </c>
      <c r="CB45" s="1033">
        <v>22128</v>
      </c>
      <c r="CC45" s="1223"/>
      <c r="CD45" s="1184"/>
    </row>
    <row r="46" spans="1:82" ht="9" customHeight="1" x14ac:dyDescent="0.2">
      <c r="A46" s="1193"/>
      <c r="B46" s="1193"/>
      <c r="C46" s="1198"/>
      <c r="D46" s="1035"/>
      <c r="E46" s="920"/>
      <c r="F46" s="2223"/>
      <c r="G46" s="1155"/>
      <c r="H46" s="1205"/>
      <c r="I46" s="1205"/>
      <c r="J46" s="1245"/>
      <c r="K46" s="1205"/>
      <c r="L46" s="1205"/>
      <c r="M46" s="1205"/>
      <c r="N46" s="1245"/>
      <c r="O46" s="1205"/>
      <c r="P46" s="1205"/>
      <c r="Q46" s="1205"/>
      <c r="R46" s="1245"/>
      <c r="S46" s="1205"/>
      <c r="T46" s="1205"/>
      <c r="U46" s="1205"/>
      <c r="V46" s="1245"/>
      <c r="W46" s="1205"/>
      <c r="X46" s="1205"/>
      <c r="Y46" s="1205"/>
      <c r="Z46" s="1245"/>
      <c r="AA46" s="1205"/>
      <c r="AB46" s="1205"/>
      <c r="AC46" s="1205"/>
      <c r="AD46" s="1245"/>
      <c r="AE46" s="1205"/>
      <c r="AF46" s="1205"/>
      <c r="AG46" s="1205"/>
      <c r="AH46" s="1245"/>
      <c r="AI46" s="1252"/>
      <c r="AJ46" s="1205"/>
      <c r="AK46" s="1205"/>
      <c r="AL46" s="1245"/>
      <c r="AM46" s="1252"/>
      <c r="AN46" s="1205"/>
      <c r="AO46" s="1205"/>
      <c r="AP46" s="1245"/>
      <c r="AQ46" s="1252"/>
      <c r="AR46" s="1205"/>
      <c r="AS46" s="1205"/>
      <c r="AT46" s="1245"/>
      <c r="AU46" s="1205"/>
      <c r="AV46" s="1205"/>
      <c r="AW46" s="1205"/>
      <c r="AX46" s="1245"/>
      <c r="AY46" s="1271"/>
      <c r="AZ46" s="1271"/>
      <c r="BA46" s="1271"/>
      <c r="BB46" s="1245"/>
      <c r="BC46" s="1274"/>
      <c r="BD46" s="1253"/>
      <c r="BE46" s="1245"/>
      <c r="BF46" s="1245"/>
      <c r="BG46" s="1265"/>
      <c r="BH46" s="1252"/>
      <c r="BI46" s="1205"/>
      <c r="BJ46" s="1246"/>
      <c r="BK46" s="1035"/>
      <c r="BL46" s="1247"/>
      <c r="BM46" s="1249">
        <v>0</v>
      </c>
      <c r="BN46" s="1477">
        <v>0</v>
      </c>
      <c r="BO46" s="1477"/>
      <c r="BP46" s="1477"/>
      <c r="BQ46" s="1265"/>
      <c r="BR46" s="1265"/>
      <c r="BS46" s="1265"/>
      <c r="BT46" s="1265"/>
      <c r="BU46" s="1265"/>
      <c r="BV46" s="1265"/>
      <c r="BW46" s="1265"/>
      <c r="BX46" s="1237"/>
      <c r="BY46" s="1237"/>
      <c r="BZ46" s="1275"/>
      <c r="CA46" s="1275"/>
      <c r="CB46" s="1275"/>
      <c r="CC46" s="1223"/>
      <c r="CD46" s="1184"/>
    </row>
    <row r="47" spans="1:82" ht="14.25" customHeight="1" thickBot="1" x14ac:dyDescent="0.25">
      <c r="A47" s="1197" t="s">
        <v>73</v>
      </c>
      <c r="B47" s="1193"/>
      <c r="C47" s="1189">
        <v>5641</v>
      </c>
      <c r="D47" s="1190">
        <v>0.30248270684755213</v>
      </c>
      <c r="E47" s="920"/>
      <c r="F47" s="2012">
        <v>24290</v>
      </c>
      <c r="G47" s="1172">
        <v>2456</v>
      </c>
      <c r="H47" s="1276">
        <v>32458</v>
      </c>
      <c r="I47" s="1276">
        <v>18019</v>
      </c>
      <c r="J47" s="1277">
        <v>18649</v>
      </c>
      <c r="K47" s="1276">
        <v>-9703</v>
      </c>
      <c r="L47" s="1276">
        <v>36598</v>
      </c>
      <c r="M47" s="1276">
        <v>-7258</v>
      </c>
      <c r="N47" s="1277">
        <v>-2560</v>
      </c>
      <c r="O47" s="1276">
        <v>30987</v>
      </c>
      <c r="P47" s="1276">
        <v>4544</v>
      </c>
      <c r="Q47" s="1276">
        <v>200</v>
      </c>
      <c r="R47" s="1277">
        <v>7455</v>
      </c>
      <c r="S47" s="1276">
        <v>-22709</v>
      </c>
      <c r="T47" s="1276">
        <v>-346388</v>
      </c>
      <c r="U47" s="1276">
        <v>-431</v>
      </c>
      <c r="V47" s="1277">
        <v>10961</v>
      </c>
      <c r="W47" s="1276">
        <v>-26322</v>
      </c>
      <c r="X47" s="1276">
        <v>-21479</v>
      </c>
      <c r="Y47" s="1276">
        <v>17614</v>
      </c>
      <c r="Z47" s="1277">
        <v>18869</v>
      </c>
      <c r="AA47" s="1276">
        <v>25920</v>
      </c>
      <c r="AB47" s="1276">
        <v>18334</v>
      </c>
      <c r="AC47" s="1276">
        <v>-80</v>
      </c>
      <c r="AD47" s="1277">
        <v>7883</v>
      </c>
      <c r="AE47" s="1276">
        <v>6424</v>
      </c>
      <c r="AF47" s="1276">
        <v>10264</v>
      </c>
      <c r="AG47" s="1276">
        <v>-14841</v>
      </c>
      <c r="AH47" s="1277">
        <v>-20622</v>
      </c>
      <c r="AI47" s="1276">
        <v>-31794</v>
      </c>
      <c r="AJ47" s="1276">
        <v>2531</v>
      </c>
      <c r="AK47" s="1276">
        <v>-5278</v>
      </c>
      <c r="AL47" s="1277">
        <v>13195</v>
      </c>
      <c r="AM47" s="1276">
        <v>41323</v>
      </c>
      <c r="AN47" s="1276">
        <v>42997</v>
      </c>
      <c r="AO47" s="1276">
        <v>10251</v>
      </c>
      <c r="AP47" s="1277">
        <v>5172</v>
      </c>
      <c r="AQ47" s="1276">
        <v>7526</v>
      </c>
      <c r="AR47" s="1276">
        <v>15113</v>
      </c>
      <c r="AS47" s="1276">
        <v>6746</v>
      </c>
      <c r="AT47" s="1278">
        <v>9112</v>
      </c>
      <c r="AU47" s="1279">
        <v>3666</v>
      </c>
      <c r="AV47" s="1279">
        <v>-62378</v>
      </c>
      <c r="AW47" s="1279">
        <v>-5398</v>
      </c>
      <c r="AX47" s="1278">
        <v>16459</v>
      </c>
      <c r="AY47" s="1279">
        <v>-35154</v>
      </c>
      <c r="AZ47" s="1279">
        <v>15048</v>
      </c>
      <c r="BA47" s="1279">
        <v>12411</v>
      </c>
      <c r="BB47" s="1278">
        <v>39029</v>
      </c>
      <c r="BC47" s="1280">
        <v>26016</v>
      </c>
      <c r="BD47" s="1278">
        <v>23692</v>
      </c>
      <c r="BE47" s="1278">
        <v>17806</v>
      </c>
      <c r="BF47" s="1278">
        <v>25942</v>
      </c>
      <c r="BG47" s="1265"/>
      <c r="BH47" s="1276">
        <v>71582</v>
      </c>
      <c r="BI47" s="1276">
        <v>17077</v>
      </c>
      <c r="BJ47" s="1281">
        <v>54505</v>
      </c>
      <c r="BK47" s="2796" t="s">
        <v>41</v>
      </c>
      <c r="BL47" s="1247"/>
      <c r="BM47" s="1469">
        <v>71582</v>
      </c>
      <c r="BN47" s="1268">
        <v>17077</v>
      </c>
      <c r="BO47" s="1268">
        <v>43186</v>
      </c>
      <c r="BP47" s="1268">
        <v>-358567</v>
      </c>
      <c r="BQ47" s="1268">
        <v>-11318</v>
      </c>
      <c r="BR47" s="1268">
        <v>52057</v>
      </c>
      <c r="BS47" s="1268">
        <v>-18775</v>
      </c>
      <c r="BT47" s="1268">
        <v>-21346</v>
      </c>
      <c r="BU47" s="1268">
        <v>99743</v>
      </c>
      <c r="BV47" s="1268">
        <v>38497</v>
      </c>
      <c r="BW47" s="1268">
        <v>-47651</v>
      </c>
      <c r="BX47" s="1243">
        <v>31334</v>
      </c>
      <c r="BY47" s="1243">
        <v>93456</v>
      </c>
      <c r="BZ47" s="2828">
        <v>79517</v>
      </c>
      <c r="CA47" s="2828">
        <v>48579</v>
      </c>
      <c r="CB47" s="2828">
        <v>40429</v>
      </c>
      <c r="CC47" s="1223"/>
      <c r="CD47" s="1184"/>
    </row>
    <row r="48" spans="1:82" ht="9" customHeight="1" thickTop="1" x14ac:dyDescent="0.2">
      <c r="A48" s="1197"/>
      <c r="B48" s="1193"/>
      <c r="C48" s="1198"/>
      <c r="D48" s="1035"/>
      <c r="E48" s="920"/>
      <c r="F48" s="2002"/>
      <c r="G48" s="1170"/>
      <c r="H48" s="1269"/>
      <c r="I48" s="1269"/>
      <c r="J48" s="1245"/>
      <c r="K48" s="1269"/>
      <c r="L48" s="1269"/>
      <c r="M48" s="1269"/>
      <c r="N48" s="1245"/>
      <c r="O48" s="1269"/>
      <c r="P48" s="1269"/>
      <c r="Q48" s="1269"/>
      <c r="R48" s="1245"/>
      <c r="S48" s="1269"/>
      <c r="T48" s="1269"/>
      <c r="U48" s="1269"/>
      <c r="V48" s="1245"/>
      <c r="W48" s="1269"/>
      <c r="X48" s="1269"/>
      <c r="Y48" s="1269"/>
      <c r="Z48" s="1245"/>
      <c r="AA48" s="1269"/>
      <c r="AB48" s="1269"/>
      <c r="AC48" s="1269"/>
      <c r="AD48" s="1245"/>
      <c r="AE48" s="1269"/>
      <c r="AF48" s="1269"/>
      <c r="AG48" s="1269"/>
      <c r="AH48" s="1245"/>
      <c r="AI48" s="1269"/>
      <c r="AJ48" s="1269"/>
      <c r="AK48" s="1269"/>
      <c r="AL48" s="1245"/>
      <c r="AM48" s="1269"/>
      <c r="AN48" s="1269"/>
      <c r="AO48" s="1269"/>
      <c r="AP48" s="1245"/>
      <c r="AQ48" s="1269"/>
      <c r="AR48" s="1269"/>
      <c r="AS48" s="1269"/>
      <c r="AT48" s="1245"/>
      <c r="AU48" s="1269"/>
      <c r="AV48" s="1269"/>
      <c r="AW48" s="1269"/>
      <c r="AX48" s="1245"/>
      <c r="AY48" s="1269"/>
      <c r="AZ48" s="1269"/>
      <c r="BA48" s="1269"/>
      <c r="BB48" s="1245"/>
      <c r="BC48" s="1265"/>
      <c r="BD48" s="1245"/>
      <c r="BE48" s="1245"/>
      <c r="BF48" s="1245"/>
      <c r="BG48" s="1265"/>
      <c r="BH48" s="1269"/>
      <c r="BI48" s="1269"/>
      <c r="BJ48" s="1246"/>
      <c r="BK48" s="2795"/>
      <c r="BL48" s="1247"/>
      <c r="BM48" s="1265"/>
      <c r="BN48" s="1265"/>
      <c r="BO48" s="1265"/>
      <c r="BP48" s="1265"/>
      <c r="BQ48" s="1265"/>
      <c r="BR48" s="1265"/>
      <c r="BS48" s="1265"/>
      <c r="BT48" s="1265"/>
      <c r="BU48" s="1265"/>
      <c r="BV48" s="1265"/>
      <c r="BW48" s="1265"/>
      <c r="BX48" s="1237"/>
      <c r="BY48" s="1237"/>
      <c r="BZ48" s="1033"/>
      <c r="CA48" s="1033"/>
      <c r="CB48" s="1033"/>
      <c r="CC48" s="1223"/>
      <c r="CD48" s="1184"/>
    </row>
    <row r="49" spans="1:82" ht="14.25" customHeight="1" x14ac:dyDescent="0.2">
      <c r="A49" s="1197"/>
      <c r="B49" s="1193" t="s">
        <v>622</v>
      </c>
      <c r="C49" s="957">
        <v>-948</v>
      </c>
      <c r="D49" s="1035">
        <v>-0.91771539206195551</v>
      </c>
      <c r="E49" s="920"/>
      <c r="F49" s="2015">
        <v>85</v>
      </c>
      <c r="G49" s="1159">
        <v>-207</v>
      </c>
      <c r="H49" s="1205">
        <v>1</v>
      </c>
      <c r="I49" s="1269">
        <v>225</v>
      </c>
      <c r="J49" s="1245">
        <v>1033</v>
      </c>
      <c r="K49" s="1269">
        <v>1958</v>
      </c>
      <c r="L49" s="1269">
        <v>2166</v>
      </c>
      <c r="M49" s="1269">
        <v>227</v>
      </c>
      <c r="N49" s="1245">
        <v>-298</v>
      </c>
      <c r="O49" s="1269">
        <v>2101</v>
      </c>
      <c r="P49" s="1269">
        <v>789</v>
      </c>
      <c r="Q49" s="1269">
        <v>1420</v>
      </c>
      <c r="R49" s="1245">
        <v>773</v>
      </c>
      <c r="S49" s="1269">
        <v>-206</v>
      </c>
      <c r="T49" s="1269">
        <v>-111</v>
      </c>
      <c r="U49" s="1269">
        <v>-326</v>
      </c>
      <c r="V49" s="1245">
        <v>547</v>
      </c>
      <c r="W49" s="1269">
        <v>672</v>
      </c>
      <c r="X49" s="1269">
        <v>-99</v>
      </c>
      <c r="Y49" s="1269">
        <v>505</v>
      </c>
      <c r="Z49" s="1245">
        <v>788</v>
      </c>
      <c r="AA49" s="1269">
        <v>186</v>
      </c>
      <c r="AB49" s="1269">
        <v>1013</v>
      </c>
      <c r="AC49" s="1269">
        <v>303</v>
      </c>
      <c r="AD49" s="1245">
        <v>-858</v>
      </c>
      <c r="AE49" s="1269">
        <v>-406</v>
      </c>
      <c r="AF49" s="1269">
        <v>-616</v>
      </c>
      <c r="AG49" s="1269">
        <v>-279</v>
      </c>
      <c r="AH49" s="1245">
        <v>-655</v>
      </c>
      <c r="AI49" s="1269">
        <v>-544</v>
      </c>
      <c r="AJ49" s="1269">
        <v>-495</v>
      </c>
      <c r="AK49" s="1269">
        <v>0</v>
      </c>
      <c r="AL49" s="1245">
        <v>0</v>
      </c>
      <c r="AM49" s="1269">
        <v>0</v>
      </c>
      <c r="AN49" s="1269">
        <v>0</v>
      </c>
      <c r="AO49" s="1269">
        <v>0</v>
      </c>
      <c r="AP49" s="1245">
        <v>0</v>
      </c>
      <c r="AQ49" s="1269">
        <v>0</v>
      </c>
      <c r="AR49" s="1269">
        <v>0</v>
      </c>
      <c r="AS49" s="1269"/>
      <c r="AT49" s="1245"/>
      <c r="AU49" s="1269"/>
      <c r="AV49" s="1269"/>
      <c r="AW49" s="1269"/>
      <c r="AX49" s="1245"/>
      <c r="AY49" s="1269"/>
      <c r="AZ49" s="1269"/>
      <c r="BA49" s="1269"/>
      <c r="BB49" s="1245"/>
      <c r="BC49" s="1265"/>
      <c r="BD49" s="1245"/>
      <c r="BE49" s="1245"/>
      <c r="BF49" s="1245"/>
      <c r="BG49" s="1265"/>
      <c r="BH49" s="1269">
        <v>1052</v>
      </c>
      <c r="BI49" s="1246">
        <v>4053</v>
      </c>
      <c r="BJ49" s="1246">
        <v>-3001</v>
      </c>
      <c r="BK49" s="1035">
        <v>-0.74043918085368865</v>
      </c>
      <c r="BL49" s="1247"/>
      <c r="BM49" s="1249">
        <v>1052</v>
      </c>
      <c r="BN49" s="1265">
        <v>4053</v>
      </c>
      <c r="BO49" s="1265">
        <v>5083</v>
      </c>
      <c r="BP49" s="2554">
        <v>-96</v>
      </c>
      <c r="BQ49" s="1265">
        <v>1866</v>
      </c>
      <c r="BR49" s="1265">
        <v>644</v>
      </c>
      <c r="BS49" s="1265">
        <v>-1956</v>
      </c>
      <c r="BT49" s="1265">
        <v>-1039</v>
      </c>
      <c r="BU49" s="1265">
        <v>0</v>
      </c>
      <c r="BV49" s="1265">
        <v>0</v>
      </c>
      <c r="BW49" s="1265">
        <v>0</v>
      </c>
      <c r="BX49" s="1263">
        <v>0</v>
      </c>
      <c r="BY49" s="1263">
        <v>0</v>
      </c>
      <c r="BZ49" s="1033"/>
      <c r="CA49" s="1033"/>
      <c r="CB49" s="1033"/>
      <c r="CC49" s="1223"/>
      <c r="CD49" s="1184"/>
    </row>
    <row r="50" spans="1:82" ht="9" customHeight="1" x14ac:dyDescent="0.2">
      <c r="A50" s="1197"/>
      <c r="B50" s="1199"/>
      <c r="C50" s="1198"/>
      <c r="D50" s="1035"/>
      <c r="E50" s="920"/>
      <c r="F50" s="2002"/>
      <c r="G50" s="1170"/>
      <c r="H50" s="1269"/>
      <c r="I50" s="1269"/>
      <c r="J50" s="1245"/>
      <c r="K50" s="1269"/>
      <c r="L50" s="1269"/>
      <c r="M50" s="1269"/>
      <c r="N50" s="1245"/>
      <c r="O50" s="1269"/>
      <c r="P50" s="1269"/>
      <c r="Q50" s="1269"/>
      <c r="R50" s="1245"/>
      <c r="S50" s="1269"/>
      <c r="T50" s="1269"/>
      <c r="U50" s="1269"/>
      <c r="V50" s="1245"/>
      <c r="W50" s="1269"/>
      <c r="X50" s="1269"/>
      <c r="Y50" s="1269"/>
      <c r="Z50" s="1245"/>
      <c r="AA50" s="1269"/>
      <c r="AB50" s="1269"/>
      <c r="AC50" s="1269"/>
      <c r="AD50" s="1245"/>
      <c r="AE50" s="1269"/>
      <c r="AF50" s="1269"/>
      <c r="AG50" s="1269"/>
      <c r="AH50" s="1245"/>
      <c r="AI50" s="1269"/>
      <c r="AJ50" s="1269"/>
      <c r="AK50" s="1269"/>
      <c r="AL50" s="1245"/>
      <c r="AM50" s="1269"/>
      <c r="AN50" s="1269"/>
      <c r="AO50" s="1269"/>
      <c r="AP50" s="1245"/>
      <c r="AQ50" s="1269"/>
      <c r="AR50" s="1269"/>
      <c r="AS50" s="1269"/>
      <c r="AT50" s="1245"/>
      <c r="AU50" s="1269"/>
      <c r="AV50" s="1269"/>
      <c r="AW50" s="1269"/>
      <c r="AX50" s="1245"/>
      <c r="AY50" s="1269"/>
      <c r="AZ50" s="1269"/>
      <c r="BA50" s="1269"/>
      <c r="BB50" s="1245"/>
      <c r="BC50" s="1265"/>
      <c r="BD50" s="1245"/>
      <c r="BE50" s="1245"/>
      <c r="BF50" s="1245"/>
      <c r="BG50" s="1265"/>
      <c r="BH50" s="1269"/>
      <c r="BI50" s="1269"/>
      <c r="BJ50" s="1246"/>
      <c r="BK50" s="2795"/>
      <c r="BL50" s="1247"/>
      <c r="BM50" s="1265"/>
      <c r="BN50" s="1265"/>
      <c r="BO50" s="1265"/>
      <c r="BP50" s="1265"/>
      <c r="BQ50" s="1265"/>
      <c r="BR50" s="1265"/>
      <c r="BS50" s="1265"/>
      <c r="BT50" s="1265"/>
      <c r="BU50" s="1265"/>
      <c r="BV50" s="1265"/>
      <c r="BW50" s="1265"/>
      <c r="BX50" s="1237"/>
      <c r="BY50" s="1237"/>
      <c r="BZ50" s="1033"/>
      <c r="CA50" s="1033"/>
      <c r="CB50" s="1033"/>
      <c r="CC50" s="1223"/>
      <c r="CD50" s="1184"/>
    </row>
    <row r="51" spans="1:82" ht="14.25" customHeight="1" thickBot="1" x14ac:dyDescent="0.25">
      <c r="A51" s="1197" t="s">
        <v>343</v>
      </c>
      <c r="B51" s="1193"/>
      <c r="C51" s="1189">
        <v>6589</v>
      </c>
      <c r="D51" s="1190">
        <v>0.37403496821071752</v>
      </c>
      <c r="E51" s="920"/>
      <c r="F51" s="2012">
        <v>24205</v>
      </c>
      <c r="G51" s="1172">
        <v>2663</v>
      </c>
      <c r="H51" s="1276">
        <v>32457</v>
      </c>
      <c r="I51" s="1276">
        <v>17794</v>
      </c>
      <c r="J51" s="1277">
        <v>17616</v>
      </c>
      <c r="K51" s="1276">
        <v>-11661</v>
      </c>
      <c r="L51" s="1276">
        <v>34432</v>
      </c>
      <c r="M51" s="1276">
        <v>-7485</v>
      </c>
      <c r="N51" s="1277">
        <v>-2262</v>
      </c>
      <c r="O51" s="1276">
        <v>28886</v>
      </c>
      <c r="P51" s="1276">
        <v>3755</v>
      </c>
      <c r="Q51" s="1276">
        <v>-1220</v>
      </c>
      <c r="R51" s="1277">
        <v>6682</v>
      </c>
      <c r="S51" s="1276">
        <v>-22503</v>
      </c>
      <c r="T51" s="1276">
        <v>-346277</v>
      </c>
      <c r="U51" s="1276">
        <v>-105</v>
      </c>
      <c r="V51" s="1277">
        <v>10414</v>
      </c>
      <c r="W51" s="1276">
        <v>-26994</v>
      </c>
      <c r="X51" s="1276">
        <v>-21380</v>
      </c>
      <c r="Y51" s="1276">
        <v>17109</v>
      </c>
      <c r="Z51" s="1277">
        <v>18081</v>
      </c>
      <c r="AA51" s="1276">
        <v>25734</v>
      </c>
      <c r="AB51" s="1276">
        <v>17321</v>
      </c>
      <c r="AC51" s="1276">
        <v>-383</v>
      </c>
      <c r="AD51" s="1277">
        <v>8741</v>
      </c>
      <c r="AE51" s="1276">
        <v>6830</v>
      </c>
      <c r="AF51" s="1276">
        <v>10880</v>
      </c>
      <c r="AG51" s="1276">
        <v>-14562</v>
      </c>
      <c r="AH51" s="1277">
        <v>-19967</v>
      </c>
      <c r="AI51" s="1276">
        <v>-31250</v>
      </c>
      <c r="AJ51" s="1276">
        <v>3026</v>
      </c>
      <c r="AK51" s="1276">
        <v>-5278</v>
      </c>
      <c r="AL51" s="1277">
        <v>13195</v>
      </c>
      <c r="AM51" s="1276">
        <v>41323</v>
      </c>
      <c r="AN51" s="1276">
        <v>42997</v>
      </c>
      <c r="AO51" s="1276">
        <v>10251</v>
      </c>
      <c r="AP51" s="1277">
        <v>5172</v>
      </c>
      <c r="AQ51" s="1276">
        <v>7526</v>
      </c>
      <c r="AR51" s="1276">
        <v>15113</v>
      </c>
      <c r="AS51" s="1276">
        <v>6746</v>
      </c>
      <c r="AT51" s="1278"/>
      <c r="AU51" s="1279"/>
      <c r="AV51" s="1279"/>
      <c r="AW51" s="1279"/>
      <c r="AX51" s="1278"/>
      <c r="AY51" s="1279"/>
      <c r="AZ51" s="1279"/>
      <c r="BA51" s="1279"/>
      <c r="BB51" s="1278"/>
      <c r="BC51" s="1280"/>
      <c r="BD51" s="1278"/>
      <c r="BE51" s="1278"/>
      <c r="BF51" s="1278"/>
      <c r="BG51" s="1265"/>
      <c r="BH51" s="1276">
        <v>70530</v>
      </c>
      <c r="BI51" s="1276">
        <v>13024</v>
      </c>
      <c r="BJ51" s="1281">
        <v>57506</v>
      </c>
      <c r="BK51" s="2796" t="s">
        <v>41</v>
      </c>
      <c r="BL51" s="1247"/>
      <c r="BM51" s="1469">
        <v>70530</v>
      </c>
      <c r="BN51" s="1268">
        <v>13024</v>
      </c>
      <c r="BO51" s="1268">
        <v>38103</v>
      </c>
      <c r="BP51" s="1268">
        <v>-358471</v>
      </c>
      <c r="BQ51" s="1268">
        <v>-13184</v>
      </c>
      <c r="BR51" s="1268">
        <v>51413</v>
      </c>
      <c r="BS51" s="1268">
        <v>-16819</v>
      </c>
      <c r="BT51" s="1268">
        <v>-20307</v>
      </c>
      <c r="BU51" s="1268">
        <v>99743</v>
      </c>
      <c r="BV51" s="1268">
        <v>38497</v>
      </c>
      <c r="BW51" s="1268">
        <v>-47651</v>
      </c>
      <c r="BX51" s="1243">
        <v>31334</v>
      </c>
      <c r="BY51" s="1243">
        <v>93456</v>
      </c>
      <c r="BZ51" s="2828"/>
      <c r="CA51" s="2828"/>
      <c r="CB51" s="2828"/>
      <c r="CC51" s="1223"/>
      <c r="CD51" s="1184"/>
    </row>
    <row r="52" spans="1:82" ht="12" customHeight="1" thickTop="1" x14ac:dyDescent="0.2">
      <c r="A52" s="948"/>
      <c r="B52" s="946"/>
      <c r="C52" s="1198"/>
      <c r="D52" s="1035"/>
      <c r="E52" s="920"/>
      <c r="F52" s="2223"/>
      <c r="G52" s="1155"/>
      <c r="H52" s="1205"/>
      <c r="I52" s="1205"/>
      <c r="J52" s="1245"/>
      <c r="K52" s="1205"/>
      <c r="L52" s="1205"/>
      <c r="M52" s="1205"/>
      <c r="N52" s="1245"/>
      <c r="O52" s="1205"/>
      <c r="P52" s="1205"/>
      <c r="Q52" s="1205"/>
      <c r="R52" s="1245"/>
      <c r="S52" s="1205"/>
      <c r="T52" s="1205"/>
      <c r="U52" s="1205"/>
      <c r="V52" s="1245"/>
      <c r="W52" s="1205"/>
      <c r="X52" s="1205"/>
      <c r="Y52" s="1205"/>
      <c r="Z52" s="1245"/>
      <c r="AA52" s="1205"/>
      <c r="AB52" s="1205"/>
      <c r="AC52" s="1205"/>
      <c r="AD52" s="1245"/>
      <c r="AE52" s="1205"/>
      <c r="AF52" s="1205"/>
      <c r="AG52" s="1205"/>
      <c r="AH52" s="1245"/>
      <c r="AI52" s="1205"/>
      <c r="AJ52" s="1205"/>
      <c r="AK52" s="1205"/>
      <c r="AL52" s="1245"/>
      <c r="AM52" s="1205"/>
      <c r="AN52" s="1205"/>
      <c r="AO52" s="1205"/>
      <c r="AP52" s="1245"/>
      <c r="AQ52" s="1205"/>
      <c r="AR52" s="1205"/>
      <c r="AS52" s="1205"/>
      <c r="AT52" s="1245"/>
      <c r="AU52" s="1205"/>
      <c r="AV52" s="1205"/>
      <c r="AW52" s="1205"/>
      <c r="AX52" s="1245"/>
      <c r="AY52" s="1271"/>
      <c r="AZ52" s="1271"/>
      <c r="BA52" s="1271"/>
      <c r="BB52" s="1245"/>
      <c r="BC52" s="1265"/>
      <c r="BD52" s="1245"/>
      <c r="BE52" s="1245"/>
      <c r="BF52" s="1245"/>
      <c r="BG52" s="1265"/>
      <c r="BH52" s="1205"/>
      <c r="BI52" s="1205"/>
      <c r="BJ52" s="1246"/>
      <c r="BK52" s="2795"/>
      <c r="BL52" s="1247"/>
      <c r="BM52" s="1413"/>
      <c r="BN52" s="1413"/>
      <c r="BO52" s="1413"/>
      <c r="BP52" s="1413"/>
      <c r="BQ52" s="1249"/>
      <c r="BR52" s="1249"/>
      <c r="BS52" s="1249"/>
      <c r="BT52" s="1249"/>
      <c r="BU52" s="1249"/>
      <c r="BV52" s="1249"/>
      <c r="BW52" s="1249"/>
      <c r="BX52" s="1273"/>
      <c r="BY52" s="1237"/>
      <c r="BZ52" s="1033"/>
      <c r="CA52" s="1033"/>
      <c r="CB52" s="1033"/>
      <c r="CC52" s="1223"/>
      <c r="CD52" s="1184"/>
    </row>
    <row r="53" spans="1:82" ht="12.75" customHeight="1" x14ac:dyDescent="0.2">
      <c r="A53" s="1193"/>
      <c r="B53" s="1193" t="s">
        <v>261</v>
      </c>
      <c r="C53" s="957">
        <v>0</v>
      </c>
      <c r="D53" s="1035">
        <v>0</v>
      </c>
      <c r="E53" s="920"/>
      <c r="F53" s="2960">
        <v>-2351</v>
      </c>
      <c r="G53" s="2930">
        <v>-2351</v>
      </c>
      <c r="H53" s="1269">
        <v>-2351</v>
      </c>
      <c r="I53" s="1269">
        <v>-2351</v>
      </c>
      <c r="J53" s="1245">
        <v>-2351</v>
      </c>
      <c r="K53" s="1269">
        <v>-2351</v>
      </c>
      <c r="L53" s="1269">
        <v>-2351</v>
      </c>
      <c r="M53" s="1269">
        <v>-2351</v>
      </c>
      <c r="N53" s="1245">
        <v>-2540</v>
      </c>
      <c r="O53" s="1246">
        <v>-2540</v>
      </c>
      <c r="P53" s="1269">
        <v>-2540</v>
      </c>
      <c r="Q53" s="1269">
        <v>-2999</v>
      </c>
      <c r="R53" s="1245">
        <v>-2999</v>
      </c>
      <c r="S53" s="1246">
        <v>-2998</v>
      </c>
      <c r="T53" s="1269">
        <v>-2998</v>
      </c>
      <c r="U53" s="1269">
        <v>-2998</v>
      </c>
      <c r="V53" s="1245">
        <v>-2998</v>
      </c>
      <c r="W53" s="1269">
        <v>-2998</v>
      </c>
      <c r="X53" s="1269">
        <v>-2960</v>
      </c>
      <c r="Y53" s="1269">
        <v>-2921</v>
      </c>
      <c r="Z53" s="1245">
        <v>-2998</v>
      </c>
      <c r="AA53" s="1269">
        <v>-2960</v>
      </c>
      <c r="AB53" s="1269">
        <v>-2921</v>
      </c>
      <c r="AC53" s="1269">
        <v>-2921</v>
      </c>
      <c r="AD53" s="1245">
        <v>-2960</v>
      </c>
      <c r="AE53" s="1269">
        <v>-2887</v>
      </c>
      <c r="AF53" s="1269">
        <v>-2998</v>
      </c>
      <c r="AG53" s="1269">
        <v>-2998</v>
      </c>
      <c r="AH53" s="1245">
        <v>-2837</v>
      </c>
      <c r="AI53" s="1269">
        <v>-1107</v>
      </c>
      <c r="AJ53" s="1269">
        <v>-1818</v>
      </c>
      <c r="AK53" s="1269">
        <v>-1800</v>
      </c>
      <c r="AL53" s="1245">
        <v>-90</v>
      </c>
      <c r="AM53" s="1269">
        <v>0</v>
      </c>
      <c r="AN53" s="1269">
        <v>0</v>
      </c>
      <c r="AO53" s="1269">
        <v>0</v>
      </c>
      <c r="AP53" s="1245">
        <v>0</v>
      </c>
      <c r="AQ53" s="1269">
        <v>0</v>
      </c>
      <c r="AR53" s="1269">
        <v>0</v>
      </c>
      <c r="AS53" s="1269">
        <v>0</v>
      </c>
      <c r="AT53" s="1245"/>
      <c r="AU53" s="1205"/>
      <c r="AV53" s="1205"/>
      <c r="AW53" s="1205"/>
      <c r="AX53" s="1245"/>
      <c r="AY53" s="1271"/>
      <c r="AZ53" s="1271"/>
      <c r="BA53" s="1271"/>
      <c r="BB53" s="1245"/>
      <c r="BC53" s="1265"/>
      <c r="BD53" s="1245"/>
      <c r="BE53" s="1245"/>
      <c r="BF53" s="1245"/>
      <c r="BG53" s="1265"/>
      <c r="BH53" s="1269">
        <v>-9404</v>
      </c>
      <c r="BI53" s="1246">
        <v>-9593</v>
      </c>
      <c r="BJ53" s="1246">
        <v>189</v>
      </c>
      <c r="BK53" s="2794">
        <v>1.970186594391744E-2</v>
      </c>
      <c r="BL53" s="1247"/>
      <c r="BM53" s="1249">
        <v>-9404</v>
      </c>
      <c r="BN53" s="1265">
        <v>-9593</v>
      </c>
      <c r="BO53" s="1265">
        <v>-11078</v>
      </c>
      <c r="BP53" s="2554">
        <v>-11992</v>
      </c>
      <c r="BQ53" s="1249">
        <v>-11877</v>
      </c>
      <c r="BR53" s="1249">
        <v>-11762</v>
      </c>
      <c r="BS53" s="1249">
        <v>-11720</v>
      </c>
      <c r="BT53" s="1249">
        <v>-4815</v>
      </c>
      <c r="BU53" s="1249">
        <v>0</v>
      </c>
      <c r="BV53" s="1249">
        <v>0</v>
      </c>
      <c r="BW53" s="1249">
        <v>0</v>
      </c>
      <c r="BX53" s="1234">
        <v>0</v>
      </c>
      <c r="BY53" s="1234">
        <v>0</v>
      </c>
      <c r="BZ53" s="1033"/>
      <c r="CA53" s="1033"/>
      <c r="CB53" s="1033"/>
      <c r="CC53" s="1223"/>
      <c r="CD53" s="1184"/>
    </row>
    <row r="54" spans="1:82" ht="9" customHeight="1" x14ac:dyDescent="0.2">
      <c r="A54" s="1193"/>
      <c r="B54" s="1193"/>
      <c r="C54" s="2789"/>
      <c r="D54" s="1035"/>
      <c r="E54" s="920"/>
      <c r="F54" s="2223"/>
      <c r="G54" s="1155"/>
      <c r="H54" s="1205"/>
      <c r="I54" s="1205"/>
      <c r="J54" s="1245"/>
      <c r="K54" s="1205"/>
      <c r="L54" s="1205"/>
      <c r="M54" s="1205"/>
      <c r="N54" s="1245"/>
      <c r="O54" s="1205"/>
      <c r="P54" s="1205"/>
      <c r="Q54" s="1205"/>
      <c r="R54" s="1245"/>
      <c r="S54" s="1205"/>
      <c r="T54" s="1205"/>
      <c r="U54" s="1205"/>
      <c r="V54" s="1245"/>
      <c r="W54" s="1205"/>
      <c r="X54" s="1205"/>
      <c r="Y54" s="1205"/>
      <c r="Z54" s="1245"/>
      <c r="AA54" s="1205"/>
      <c r="AB54" s="1205"/>
      <c r="AC54" s="1205"/>
      <c r="AD54" s="1245"/>
      <c r="AE54" s="1205"/>
      <c r="AF54" s="1205"/>
      <c r="AG54" s="1205"/>
      <c r="AH54" s="1245"/>
      <c r="AI54" s="1252"/>
      <c r="AJ54" s="1205"/>
      <c r="AK54" s="1205"/>
      <c r="AL54" s="1245"/>
      <c r="AM54" s="1252"/>
      <c r="AN54" s="1205"/>
      <c r="AO54" s="1205"/>
      <c r="AP54" s="1245"/>
      <c r="AQ54" s="1252"/>
      <c r="AR54" s="1205"/>
      <c r="AS54" s="1205"/>
      <c r="AT54" s="1245"/>
      <c r="AU54" s="1205"/>
      <c r="AV54" s="1205"/>
      <c r="AW54" s="1205"/>
      <c r="AX54" s="1245"/>
      <c r="AY54" s="1247"/>
      <c r="AZ54" s="1247"/>
      <c r="BA54" s="1247"/>
      <c r="BB54" s="1248"/>
      <c r="BC54" s="1478"/>
      <c r="BD54" s="1458"/>
      <c r="BE54" s="1248"/>
      <c r="BF54" s="1248"/>
      <c r="BG54" s="1249"/>
      <c r="BH54" s="1252"/>
      <c r="BI54" s="1205"/>
      <c r="BJ54" s="1246"/>
      <c r="BK54" s="2797"/>
      <c r="BL54" s="1247"/>
      <c r="BM54" s="1477"/>
      <c r="BN54" s="1477"/>
      <c r="BO54" s="1477"/>
      <c r="BP54" s="1477"/>
      <c r="BQ54" s="1265"/>
      <c r="BR54" s="1265"/>
      <c r="BS54" s="1265"/>
      <c r="BT54" s="1265"/>
      <c r="BU54" s="1265"/>
      <c r="BV54" s="1265"/>
      <c r="BW54" s="1265"/>
      <c r="BX54" s="1237"/>
      <c r="BY54" s="1237"/>
      <c r="BZ54" s="1275"/>
      <c r="CA54" s="1275"/>
      <c r="CB54" s="1275"/>
      <c r="CC54" s="1223"/>
      <c r="CD54" s="1184"/>
    </row>
    <row r="55" spans="1:82" ht="12.75" customHeight="1" thickBot="1" x14ac:dyDescent="0.25">
      <c r="A55" s="1197" t="s">
        <v>347</v>
      </c>
      <c r="B55" s="1193"/>
      <c r="C55" s="1189">
        <v>6589</v>
      </c>
      <c r="D55" s="1190">
        <v>0.43164100884376022</v>
      </c>
      <c r="E55" s="920"/>
      <c r="F55" s="2990">
        <v>21854</v>
      </c>
      <c r="G55" s="1173">
        <v>312</v>
      </c>
      <c r="H55" s="1279">
        <v>30106</v>
      </c>
      <c r="I55" s="1279">
        <v>15443</v>
      </c>
      <c r="J55" s="1278">
        <v>15265</v>
      </c>
      <c r="K55" s="1279">
        <v>-14012</v>
      </c>
      <c r="L55" s="1279">
        <v>32081</v>
      </c>
      <c r="M55" s="1279">
        <v>-9836</v>
      </c>
      <c r="N55" s="1278">
        <v>-4802</v>
      </c>
      <c r="O55" s="1279">
        <v>26346</v>
      </c>
      <c r="P55" s="1279">
        <v>1215</v>
      </c>
      <c r="Q55" s="1279">
        <v>-4219</v>
      </c>
      <c r="R55" s="1278">
        <v>3683</v>
      </c>
      <c r="S55" s="1279">
        <v>-25501</v>
      </c>
      <c r="T55" s="1279">
        <v>-349275</v>
      </c>
      <c r="U55" s="1279">
        <v>-3103</v>
      </c>
      <c r="V55" s="1278">
        <v>7416</v>
      </c>
      <c r="W55" s="1279">
        <v>-29992</v>
      </c>
      <c r="X55" s="1279">
        <v>-24340</v>
      </c>
      <c r="Y55" s="1279">
        <v>14188</v>
      </c>
      <c r="Z55" s="1278">
        <v>15083</v>
      </c>
      <c r="AA55" s="1279">
        <v>22774</v>
      </c>
      <c r="AB55" s="1279">
        <v>14400</v>
      </c>
      <c r="AC55" s="1279">
        <v>-3304</v>
      </c>
      <c r="AD55" s="1278">
        <v>5781</v>
      </c>
      <c r="AE55" s="1279">
        <v>3943</v>
      </c>
      <c r="AF55" s="1279">
        <v>7882</v>
      </c>
      <c r="AG55" s="1279">
        <v>-17560</v>
      </c>
      <c r="AH55" s="1278">
        <v>-22804</v>
      </c>
      <c r="AI55" s="1279">
        <v>-32357</v>
      </c>
      <c r="AJ55" s="1279">
        <v>1208</v>
      </c>
      <c r="AK55" s="1279">
        <v>-7078</v>
      </c>
      <c r="AL55" s="1278">
        <v>13105</v>
      </c>
      <c r="AM55" s="1279">
        <v>41323</v>
      </c>
      <c r="AN55" s="1279">
        <v>42997</v>
      </c>
      <c r="AO55" s="1279">
        <v>10251</v>
      </c>
      <c r="AP55" s="1278">
        <v>5172</v>
      </c>
      <c r="AQ55" s="1279">
        <v>7526</v>
      </c>
      <c r="AR55" s="1279">
        <v>15113</v>
      </c>
      <c r="AS55" s="1279">
        <v>6746</v>
      </c>
      <c r="AT55" s="1278"/>
      <c r="AU55" s="1279"/>
      <c r="AV55" s="1279"/>
      <c r="AW55" s="1279"/>
      <c r="AX55" s="1278"/>
      <c r="AY55" s="2790"/>
      <c r="AZ55" s="2790"/>
      <c r="BA55" s="2790"/>
      <c r="BB55" s="2791"/>
      <c r="BC55" s="2792"/>
      <c r="BD55" s="2791"/>
      <c r="BE55" s="2791"/>
      <c r="BF55" s="2791"/>
      <c r="BG55" s="1249"/>
      <c r="BH55" s="1279">
        <v>61126</v>
      </c>
      <c r="BI55" s="1279">
        <v>3431</v>
      </c>
      <c r="BJ55" s="2790">
        <v>57695</v>
      </c>
      <c r="BK55" s="1200" t="s">
        <v>41</v>
      </c>
      <c r="BL55" s="1247"/>
      <c r="BM55" s="2792">
        <v>61126</v>
      </c>
      <c r="BN55" s="1280">
        <v>3431</v>
      </c>
      <c r="BO55" s="1280">
        <v>27025</v>
      </c>
      <c r="BP55" s="1280">
        <v>-370463</v>
      </c>
      <c r="BQ55" s="1280">
        <v>-25061</v>
      </c>
      <c r="BR55" s="1280">
        <v>39651</v>
      </c>
      <c r="BS55" s="1280">
        <v>-28539</v>
      </c>
      <c r="BT55" s="1280">
        <v>-25122</v>
      </c>
      <c r="BU55" s="1280">
        <v>99743</v>
      </c>
      <c r="BV55" s="1280">
        <v>38497</v>
      </c>
      <c r="BW55" s="1280">
        <v>-47651</v>
      </c>
      <c r="BX55" s="2829">
        <v>31334</v>
      </c>
      <c r="BY55" s="2829">
        <v>93456</v>
      </c>
      <c r="BZ55" s="2828"/>
      <c r="CA55" s="2828"/>
      <c r="CB55" s="2828"/>
      <c r="CC55" s="1223"/>
      <c r="CD55" s="1184"/>
    </row>
    <row r="56" spans="1:82" ht="12.75" customHeight="1" thickTop="1" x14ac:dyDescent="0.2">
      <c r="A56" s="1201"/>
      <c r="B56" s="1201"/>
      <c r="C56" s="1006"/>
      <c r="D56" s="952"/>
      <c r="E56" s="908"/>
      <c r="F56" s="1961"/>
      <c r="G56" s="1961"/>
      <c r="H56" s="952"/>
      <c r="I56" s="952"/>
      <c r="J56" s="952"/>
      <c r="K56" s="952"/>
      <c r="L56" s="952"/>
      <c r="M56" s="952"/>
      <c r="N56" s="952"/>
      <c r="O56" s="952"/>
      <c r="P56" s="952"/>
      <c r="Q56" s="952"/>
      <c r="R56" s="952"/>
      <c r="S56" s="952"/>
      <c r="T56" s="952"/>
      <c r="U56" s="952"/>
      <c r="V56" s="952"/>
      <c r="W56" s="952"/>
      <c r="X56" s="952"/>
      <c r="Y56" s="952"/>
      <c r="Z56" s="952"/>
      <c r="AA56" s="952"/>
      <c r="AB56" s="952"/>
      <c r="AC56" s="952"/>
      <c r="AD56" s="1208"/>
      <c r="AE56" s="952"/>
      <c r="AF56" s="952"/>
      <c r="AG56" s="952"/>
      <c r="AH56" s="1208"/>
      <c r="AI56" s="952"/>
      <c r="AJ56" s="952"/>
      <c r="AK56" s="952"/>
      <c r="AL56" s="1208"/>
      <c r="AM56" s="952"/>
      <c r="AN56" s="952"/>
      <c r="AO56" s="952"/>
      <c r="AP56" s="1208"/>
      <c r="AQ56" s="952"/>
      <c r="AR56" s="952"/>
      <c r="AS56" s="952"/>
      <c r="AT56" s="1208"/>
      <c r="AU56" s="952"/>
      <c r="AV56" s="952"/>
      <c r="AW56" s="952"/>
      <c r="AX56" s="1208"/>
      <c r="AY56" s="1283"/>
      <c r="AZ56" s="1283"/>
      <c r="BA56" s="1283"/>
      <c r="BB56" s="1283"/>
      <c r="BC56" s="1283"/>
      <c r="BD56" s="1283"/>
      <c r="BE56" s="1283"/>
      <c r="BF56" s="1283"/>
      <c r="BG56" s="1208"/>
      <c r="BH56" s="1208"/>
      <c r="BI56" s="1208"/>
      <c r="BJ56" s="1006"/>
      <c r="BK56" s="952"/>
      <c r="BL56" s="1208"/>
      <c r="BM56" s="1208"/>
      <c r="BN56" s="1208"/>
      <c r="BO56" s="1208"/>
      <c r="BP56" s="1208"/>
      <c r="BQ56" s="1208"/>
      <c r="BR56" s="1208"/>
      <c r="BS56" s="1208"/>
      <c r="BT56" s="1208"/>
      <c r="BU56" s="1208"/>
      <c r="BV56" s="1208"/>
      <c r="BW56" s="1208"/>
      <c r="BX56" s="1006"/>
      <c r="BY56" s="1006"/>
      <c r="BZ56" s="1284"/>
      <c r="CA56" s="1284"/>
      <c r="CB56" s="1284"/>
      <c r="CC56" s="1183"/>
      <c r="CD56" s="1183"/>
    </row>
    <row r="57" spans="1:82" ht="12.75" customHeight="1" x14ac:dyDescent="0.2">
      <c r="A57" s="1203" t="s">
        <v>623</v>
      </c>
      <c r="B57" s="1204"/>
      <c r="C57" s="1202">
        <v>-0.80013744837729162</v>
      </c>
      <c r="D57" s="1205"/>
      <c r="E57" s="908"/>
      <c r="F57" s="930">
        <v>0.59878098234144783</v>
      </c>
      <c r="G57" s="930">
        <v>0.61536895031038452</v>
      </c>
      <c r="H57" s="1080">
        <v>0.59088962605548856</v>
      </c>
      <c r="I57" s="1080">
        <v>0.59689837219533659</v>
      </c>
      <c r="J57" s="1080">
        <v>0.60678235682522075</v>
      </c>
      <c r="K57" s="1080">
        <v>0.58693492300049677</v>
      </c>
      <c r="L57" s="1080">
        <v>0.59839323685860357</v>
      </c>
      <c r="M57" s="1080">
        <v>0.64179548622531279</v>
      </c>
      <c r="N57" s="1080">
        <v>0.64417340647021137</v>
      </c>
      <c r="O57" s="1080">
        <v>0.58343640486497628</v>
      </c>
      <c r="P57" s="1080">
        <v>0.61508928056585999</v>
      </c>
      <c r="Q57" s="1080">
        <v>0.64417206433817831</v>
      </c>
      <c r="R57" s="1080">
        <v>0.62801435638762249</v>
      </c>
      <c r="S57" s="1080">
        <v>0.68347833877518516</v>
      </c>
      <c r="T57" s="1080">
        <v>0.71098291326847673</v>
      </c>
      <c r="U57" s="1080">
        <v>0.60435357446406646</v>
      </c>
      <c r="V57" s="1080">
        <v>0.60182603262238055</v>
      </c>
      <c r="W57" s="1080">
        <v>0.6413610651065752</v>
      </c>
      <c r="X57" s="1080">
        <v>0.64653302977695815</v>
      </c>
      <c r="Y57" s="1080">
        <v>0.59108819956744585</v>
      </c>
      <c r="Z57" s="1080">
        <v>0.58996725797781358</v>
      </c>
      <c r="AA57" s="1080">
        <v>0.59013273011018808</v>
      </c>
      <c r="AB57" s="1080">
        <v>0.58983196151697925</v>
      </c>
      <c r="AC57" s="1080">
        <v>0.59472685018493665</v>
      </c>
      <c r="AD57" s="1080">
        <v>0.58449188435675714</v>
      </c>
      <c r="AE57" s="1080">
        <v>0.6244959191819095</v>
      </c>
      <c r="AF57" s="1080">
        <v>0.58790102737790373</v>
      </c>
      <c r="AG57" s="1080">
        <v>0.62228414407365529</v>
      </c>
      <c r="AH57" s="1080">
        <v>0.66525508615863527</v>
      </c>
      <c r="AI57" s="1080">
        <v>0.63748508655426239</v>
      </c>
      <c r="AJ57" s="1080">
        <v>0.5735653091169729</v>
      </c>
      <c r="AK57" s="1080">
        <v>0.63599163179916318</v>
      </c>
      <c r="AL57" s="1080">
        <v>0.59187283378081523</v>
      </c>
      <c r="AM57" s="1080">
        <v>0.55302409176275769</v>
      </c>
      <c r="AN57" s="1080">
        <v>0.55478860748565728</v>
      </c>
      <c r="AO57" s="1080">
        <v>0.58184010449810764</v>
      </c>
      <c r="AP57" s="1080">
        <v>0.58124502195277683</v>
      </c>
      <c r="AQ57" s="1080">
        <v>0.6250689917768788</v>
      </c>
      <c r="AR57" s="1080">
        <v>0.62828455458235422</v>
      </c>
      <c r="AS57" s="1080">
        <v>0.62992145073700545</v>
      </c>
      <c r="AT57" s="1080">
        <v>0.5984519470693932</v>
      </c>
      <c r="AU57" s="1080">
        <v>0.55440390294964292</v>
      </c>
      <c r="AV57" s="1080">
        <v>0.64362068174519427</v>
      </c>
      <c r="AW57" s="1080">
        <v>0.58804103619088866</v>
      </c>
      <c r="AX57" s="1285">
        <v>0.56841605484401414</v>
      </c>
      <c r="AY57" s="1285">
        <v>0.54500000000000004</v>
      </c>
      <c r="AZ57" s="1285">
        <v>0.56399999999999995</v>
      </c>
      <c r="BA57" s="1285">
        <v>0.52900000000000003</v>
      </c>
      <c r="BB57" s="1285">
        <v>0.55200000000000005</v>
      </c>
      <c r="BC57" s="1285">
        <v>0.58399999999999996</v>
      </c>
      <c r="BD57" s="1285">
        <v>0.56699999999999995</v>
      </c>
      <c r="BE57" s="1285">
        <v>0.54900000000000004</v>
      </c>
      <c r="BF57" s="1285">
        <v>0.56999999999999995</v>
      </c>
      <c r="BG57" s="1208"/>
      <c r="BH57" s="1080">
        <v>0.60191908561214946</v>
      </c>
      <c r="BI57" s="1080">
        <v>0.61185557989865835</v>
      </c>
      <c r="BJ57" s="1202">
        <v>-0.99364942865088901</v>
      </c>
      <c r="BK57" s="952"/>
      <c r="BL57" s="1208"/>
      <c r="BM57" s="1361">
        <v>0.60191908561214946</v>
      </c>
      <c r="BN57" s="1080">
        <v>0.61185557989865835</v>
      </c>
      <c r="BO57" s="1080">
        <v>0.61474442496469772</v>
      </c>
      <c r="BP57" s="1080">
        <v>0.64845615348975949</v>
      </c>
      <c r="BQ57" s="1080">
        <v>0.61452399794269286</v>
      </c>
      <c r="BR57" s="1080">
        <v>0.58980127308697872</v>
      </c>
      <c r="BS57" s="1080">
        <v>0.62129260012896392</v>
      </c>
      <c r="BT57" s="1080">
        <v>0.60977674320177755</v>
      </c>
      <c r="BU57" s="1080">
        <v>0.5642714131236849</v>
      </c>
      <c r="BV57" s="1080">
        <v>0.62073771896865482</v>
      </c>
      <c r="BW57" s="1036">
        <v>0.58355609236353434</v>
      </c>
      <c r="BX57" s="1036">
        <v>0.54900000000000004</v>
      </c>
      <c r="BY57" s="2517">
        <v>0.56899999999999995</v>
      </c>
      <c r="BZ57" s="1286">
        <v>0.58499999999999996</v>
      </c>
      <c r="CA57" s="1286">
        <v>0.61499999999999999</v>
      </c>
      <c r="CB57" s="1286">
        <v>0.63600000000000001</v>
      </c>
      <c r="CC57" s="1183"/>
      <c r="CD57" s="1183"/>
    </row>
    <row r="58" spans="1:82" ht="12.75" customHeight="1" x14ac:dyDescent="0.2">
      <c r="A58" s="1203" t="s">
        <v>75</v>
      </c>
      <c r="B58" s="1204"/>
      <c r="C58" s="1202">
        <v>-2.5638866985960296</v>
      </c>
      <c r="D58" s="952"/>
      <c r="E58" s="908"/>
      <c r="F58" s="1080">
        <v>0.2877532963859567</v>
      </c>
      <c r="G58" s="1080">
        <v>0.36516881548271118</v>
      </c>
      <c r="H58" s="1080">
        <v>0.28664656212303979</v>
      </c>
      <c r="I58" s="1080">
        <v>0.3210381420896159</v>
      </c>
      <c r="J58" s="1080">
        <v>0.313392163371917</v>
      </c>
      <c r="K58" s="1080">
        <v>0.42020305514157974</v>
      </c>
      <c r="L58" s="1080">
        <v>0.25009856451289741</v>
      </c>
      <c r="M58" s="1080">
        <v>0.39509363237221151</v>
      </c>
      <c r="N58" s="1080">
        <v>0.36469510730301091</v>
      </c>
      <c r="O58" s="1080">
        <v>0.27887107223841917</v>
      </c>
      <c r="P58" s="1080">
        <v>0.35746823764583774</v>
      </c>
      <c r="Q58" s="1080">
        <v>0.35191785208830489</v>
      </c>
      <c r="R58" s="1080">
        <v>0.32343098263653119</v>
      </c>
      <c r="S58" s="1080">
        <v>0.45239209206020548</v>
      </c>
      <c r="T58" s="1080">
        <v>2.2172220175211867</v>
      </c>
      <c r="U58" s="1080">
        <v>0.38778187007481557</v>
      </c>
      <c r="V58" s="1080">
        <v>0.34013354845328136</v>
      </c>
      <c r="W58" s="1080">
        <v>0.48067881186415157</v>
      </c>
      <c r="X58" s="1080">
        <v>0.50676694439271708</v>
      </c>
      <c r="Y58" s="1080">
        <v>0.30283388354897556</v>
      </c>
      <c r="Z58" s="1080">
        <v>0.31519490462460703</v>
      </c>
      <c r="AA58" s="1080">
        <v>0.28371455144474045</v>
      </c>
      <c r="AB58" s="1080">
        <v>0.30443498629626903</v>
      </c>
      <c r="AC58" s="1080">
        <v>0.4104884728268578</v>
      </c>
      <c r="AD58" s="1080">
        <v>0.36683562016973686</v>
      </c>
      <c r="AE58" s="1080">
        <v>0.34803712420459604</v>
      </c>
      <c r="AF58" s="1080">
        <v>0.35505189062751358</v>
      </c>
      <c r="AG58" s="1080">
        <v>0.47684607098644688</v>
      </c>
      <c r="AH58" s="1080">
        <v>0.485562543602237</v>
      </c>
      <c r="AI58" s="1080">
        <v>0.5315658555252909</v>
      </c>
      <c r="AJ58" s="1080">
        <v>0.39217250775919776</v>
      </c>
      <c r="AK58" s="1080">
        <v>0.42171548117154811</v>
      </c>
      <c r="AL58" s="1080">
        <v>0.30856223753465639</v>
      </c>
      <c r="AM58" s="1080">
        <v>0.21144611159352975</v>
      </c>
      <c r="AN58" s="1080">
        <v>0.20224538326910851</v>
      </c>
      <c r="AO58" s="1080">
        <v>0.32030009712965135</v>
      </c>
      <c r="AP58" s="1080">
        <v>0.3685236017035618</v>
      </c>
      <c r="AQ58" s="1080">
        <v>0.33667987116877313</v>
      </c>
      <c r="AR58" s="1080">
        <v>0.24290259069152467</v>
      </c>
      <c r="AS58" s="1080">
        <v>0.30655223687613137</v>
      </c>
      <c r="AT58" s="1080">
        <v>0.28518946916624838</v>
      </c>
      <c r="AU58" s="1080">
        <v>0.38311712587386443</v>
      </c>
      <c r="AV58" s="1080">
        <v>1.1871931917236318</v>
      </c>
      <c r="AW58" s="1080">
        <v>0.45685695982098551</v>
      </c>
      <c r="AX58" s="1285">
        <v>0.29634821780114412</v>
      </c>
      <c r="AY58" s="1285">
        <v>0.80700000000000005</v>
      </c>
      <c r="AZ58" s="1285">
        <v>0.30300000000000005</v>
      </c>
      <c r="BA58" s="1285">
        <v>0.35099999999999998</v>
      </c>
      <c r="BB58" s="1285">
        <v>0.20899999999999996</v>
      </c>
      <c r="BC58" s="1285">
        <v>0.23099999999999998</v>
      </c>
      <c r="BD58" s="1285">
        <v>0.24400000000000011</v>
      </c>
      <c r="BE58" s="1285">
        <v>0.28899999999999992</v>
      </c>
      <c r="BF58" s="1285">
        <v>0.24</v>
      </c>
      <c r="BG58" s="1208"/>
      <c r="BH58" s="1080">
        <v>0.32025581088674554</v>
      </c>
      <c r="BI58" s="1080">
        <v>0.35319789182863631</v>
      </c>
      <c r="BJ58" s="1202">
        <v>-3.2942080941890772</v>
      </c>
      <c r="BK58" s="952"/>
      <c r="BL58" s="1208"/>
      <c r="BM58" s="1361">
        <v>0.32025581088674554</v>
      </c>
      <c r="BN58" s="1080">
        <v>0.35319789182863631</v>
      </c>
      <c r="BO58" s="1080">
        <v>0.32399215049582397</v>
      </c>
      <c r="BP58" s="1080">
        <v>0.81355030749995239</v>
      </c>
      <c r="BQ58" s="1080">
        <v>0.39189884225381855</v>
      </c>
      <c r="BR58" s="1080">
        <v>0.33467875834264843</v>
      </c>
      <c r="BS58" s="1080">
        <v>0.40844186962597945</v>
      </c>
      <c r="BT58" s="1080">
        <v>0.41687222251613587</v>
      </c>
      <c r="BU58" s="1080">
        <v>0.25844324074108638</v>
      </c>
      <c r="BV58" s="1080" t="e">
        <v>#REF!</v>
      </c>
      <c r="BW58" s="1036">
        <v>0.51524425344500246</v>
      </c>
      <c r="BX58" s="1036">
        <v>0.38100000000000001</v>
      </c>
      <c r="BY58" s="2517">
        <v>0.248</v>
      </c>
      <c r="BZ58" s="1286">
        <v>0.21100000000000008</v>
      </c>
      <c r="CA58" s="1286">
        <v>0.21699999999999997</v>
      </c>
      <c r="CB58" s="1286">
        <v>0.20799999999999996</v>
      </c>
      <c r="CC58" s="1183"/>
      <c r="CD58" s="1183"/>
    </row>
    <row r="59" spans="1:82" ht="12.75" customHeight="1" x14ac:dyDescent="0.2">
      <c r="A59" s="1203" t="s">
        <v>76</v>
      </c>
      <c r="B59" s="1204"/>
      <c r="C59" s="1202">
        <v>-1.6491661404112734</v>
      </c>
      <c r="D59" s="952"/>
      <c r="E59" s="908"/>
      <c r="F59" s="930">
        <v>0.90368285879302501</v>
      </c>
      <c r="G59" s="930">
        <v>0.98053776579309571</v>
      </c>
      <c r="H59" s="1080">
        <v>0.8775361881785283</v>
      </c>
      <c r="I59" s="1080">
        <v>0.91793651428495249</v>
      </c>
      <c r="J59" s="1080">
        <v>0.92017452019713775</v>
      </c>
      <c r="K59" s="1080">
        <v>1.0071379781420764</v>
      </c>
      <c r="L59" s="1080">
        <v>0.84849180137150093</v>
      </c>
      <c r="M59" s="1080">
        <v>1.0368891185975244</v>
      </c>
      <c r="N59" s="1080">
        <v>1.0088685137732223</v>
      </c>
      <c r="O59" s="1080">
        <v>0.8623074771033955</v>
      </c>
      <c r="P59" s="1080">
        <v>0.97255751821169778</v>
      </c>
      <c r="Q59" s="1080">
        <v>0.99608991642648315</v>
      </c>
      <c r="R59" s="1080">
        <v>0.95144533902415362</v>
      </c>
      <c r="S59" s="1080">
        <v>1.1358704308353906</v>
      </c>
      <c r="T59" s="1080">
        <v>2.9282049307896632</v>
      </c>
      <c r="U59" s="1080">
        <v>0.99213544453888203</v>
      </c>
      <c r="V59" s="1080">
        <v>0.94195958107566191</v>
      </c>
      <c r="W59" s="1080">
        <v>1.1220398769707267</v>
      </c>
      <c r="X59" s="1080">
        <v>1.1532999741696752</v>
      </c>
      <c r="Y59" s="1080">
        <v>0.89442208311642135</v>
      </c>
      <c r="Z59" s="1080">
        <v>0.90516216260242066</v>
      </c>
      <c r="AA59" s="1080">
        <v>0.87384728155492852</v>
      </c>
      <c r="AB59" s="1080">
        <v>0.89426694781324823</v>
      </c>
      <c r="AC59" s="1080">
        <v>1.0052153230117944</v>
      </c>
      <c r="AD59" s="1080">
        <v>0.95132750452649406</v>
      </c>
      <c r="AE59" s="1080">
        <v>0.97253304338650559</v>
      </c>
      <c r="AF59" s="1080">
        <v>0.94295291800541736</v>
      </c>
      <c r="AG59" s="1080">
        <v>1.0981302150601022</v>
      </c>
      <c r="AH59" s="1080">
        <v>1.1511176297608701</v>
      </c>
      <c r="AI59" s="1080">
        <v>1.1690509420795534</v>
      </c>
      <c r="AJ59" s="1080">
        <v>0.96573781687617066</v>
      </c>
      <c r="AK59" s="1080">
        <v>1.0577071129707114</v>
      </c>
      <c r="AL59" s="1080">
        <v>0.90143507131547163</v>
      </c>
      <c r="AM59" s="1080">
        <v>0.76447020335628746</v>
      </c>
      <c r="AN59" s="1080">
        <v>0.75703399075476585</v>
      </c>
      <c r="AO59" s="1080">
        <v>0.90214020162775899</v>
      </c>
      <c r="AP59" s="1080">
        <v>0.94976862365633863</v>
      </c>
      <c r="AQ59" s="1080">
        <v>0.96174886294565198</v>
      </c>
      <c r="AR59" s="1080">
        <v>0.87118714527387886</v>
      </c>
      <c r="AS59" s="1080">
        <v>0.93747368761313676</v>
      </c>
      <c r="AT59" s="1080">
        <v>0.88264141623564163</v>
      </c>
      <c r="AU59" s="1080">
        <v>0.93752102882350741</v>
      </c>
      <c r="AV59" s="1080">
        <v>1.830813873468826</v>
      </c>
      <c r="AW59" s="1080">
        <v>1.0448979960118741</v>
      </c>
      <c r="AX59" s="959">
        <v>0.86376427264515832</v>
      </c>
      <c r="AY59" s="959">
        <v>1.3520000000000001</v>
      </c>
      <c r="AZ59" s="959">
        <v>0.86699999999999999</v>
      </c>
      <c r="BA59" s="959">
        <v>0.88</v>
      </c>
      <c r="BB59" s="959">
        <v>0.76100000000000001</v>
      </c>
      <c r="BC59" s="959">
        <v>0.81499999999999995</v>
      </c>
      <c r="BD59" s="959">
        <v>0.81100000000000005</v>
      </c>
      <c r="BE59" s="959">
        <v>0.83799999999999997</v>
      </c>
      <c r="BF59" s="959">
        <v>0.81</v>
      </c>
      <c r="BG59" s="946"/>
      <c r="BH59" s="1080">
        <v>0.92217489649889506</v>
      </c>
      <c r="BI59" s="1080">
        <v>0.96505347172729472</v>
      </c>
      <c r="BJ59" s="1202">
        <v>-4.2878575228399658</v>
      </c>
      <c r="BK59" s="952"/>
      <c r="BL59" s="946"/>
      <c r="BM59" s="1361">
        <v>0.92217489649889506</v>
      </c>
      <c r="BN59" s="1080">
        <v>0.96505347172729472</v>
      </c>
      <c r="BO59" s="1080">
        <v>0.93873657546052169</v>
      </c>
      <c r="BP59" s="1080">
        <v>1.4620064609897119</v>
      </c>
      <c r="BQ59" s="1080">
        <v>1.0064228401965114</v>
      </c>
      <c r="BR59" s="1080">
        <v>0.92398003142962715</v>
      </c>
      <c r="BS59" s="1080">
        <v>1.0297344697549433</v>
      </c>
      <c r="BT59" s="1080">
        <v>1.0266489657179134</v>
      </c>
      <c r="BU59" s="1080">
        <v>0.82271465386477127</v>
      </c>
      <c r="BV59" s="1080">
        <v>0.91058408379030265</v>
      </c>
      <c r="BW59" s="1036">
        <v>1.0988003458085367</v>
      </c>
      <c r="BX59" s="1036">
        <v>0.93</v>
      </c>
      <c r="BY59" s="2517">
        <v>0.81699999999999995</v>
      </c>
      <c r="BZ59" s="1286">
        <v>0.79600000000000004</v>
      </c>
      <c r="CA59" s="1286">
        <v>0.83199999999999996</v>
      </c>
      <c r="CB59" s="1286">
        <v>0.84399999999999997</v>
      </c>
      <c r="CC59" s="1183"/>
      <c r="CD59" s="1183"/>
    </row>
    <row r="60" spans="1:82" ht="12.75" customHeight="1" x14ac:dyDescent="0.2">
      <c r="A60" s="1203" t="s">
        <v>77</v>
      </c>
      <c r="B60" s="1204"/>
      <c r="C60" s="1202">
        <v>1.6491661404112734</v>
      </c>
      <c r="D60" s="952"/>
      <c r="E60" s="908"/>
      <c r="F60" s="929">
        <v>9.6317141206974946E-2</v>
      </c>
      <c r="G60" s="929">
        <v>1.9462234206904301E-2</v>
      </c>
      <c r="H60" s="959">
        <v>0.12246381182147165</v>
      </c>
      <c r="I60" s="959">
        <v>8.2063485715047527E-2</v>
      </c>
      <c r="J60" s="1874">
        <v>7.9825479802862212E-2</v>
      </c>
      <c r="K60" s="959">
        <v>-7.137978142076503E-3</v>
      </c>
      <c r="L60" s="959">
        <v>0.15150819862849904</v>
      </c>
      <c r="M60" s="959">
        <v>-3.6889118597524369E-2</v>
      </c>
      <c r="N60" s="1874">
        <v>-8.8685137732222932E-3</v>
      </c>
      <c r="O60" s="959">
        <v>0.13769252289660452</v>
      </c>
      <c r="P60" s="959">
        <v>2.7442481788302227E-2</v>
      </c>
      <c r="Q60" s="959">
        <v>3.9100835735168026E-3</v>
      </c>
      <c r="R60" s="959">
        <v>4.8554660975846348E-2</v>
      </c>
      <c r="S60" s="959">
        <v>-0.13587043083539063</v>
      </c>
      <c r="T60" s="959">
        <v>-1.9282049307896634</v>
      </c>
      <c r="U60" s="959">
        <v>7.8645554611179308E-3</v>
      </c>
      <c r="V60" s="959">
        <v>5.8040418924338089E-2</v>
      </c>
      <c r="W60" s="959">
        <v>-0.12203987697072678</v>
      </c>
      <c r="X60" s="959">
        <v>-0.1532999741696752</v>
      </c>
      <c r="Y60" s="959">
        <v>0.10557791688357861</v>
      </c>
      <c r="Z60" s="959">
        <v>9.4837837397579366E-2</v>
      </c>
      <c r="AA60" s="959">
        <v>0.12615271844507148</v>
      </c>
      <c r="AB60" s="959">
        <v>0.10573305218675176</v>
      </c>
      <c r="AC60" s="959">
        <v>-5.2153230117944855E-3</v>
      </c>
      <c r="AD60" s="959">
        <v>4.8672495473505988E-2</v>
      </c>
      <c r="AE60" s="959">
        <v>2.7466956613494457E-2</v>
      </c>
      <c r="AF60" s="959">
        <v>5.704708199458268E-2</v>
      </c>
      <c r="AG60" s="959">
        <v>-9.8130215060102138E-2</v>
      </c>
      <c r="AH60" s="959">
        <v>-0.15071762976087211</v>
      </c>
      <c r="AI60" s="959">
        <v>-0.16905094207955337</v>
      </c>
      <c r="AJ60" s="959">
        <v>3.4262183123829358E-2</v>
      </c>
      <c r="AK60" s="959">
        <v>-5.7707112970711294E-2</v>
      </c>
      <c r="AL60" s="959">
        <v>9.8564928684528388E-2</v>
      </c>
      <c r="AM60" s="959">
        <v>0.23552979664371251</v>
      </c>
      <c r="AN60" s="959">
        <v>0.24296600924523415</v>
      </c>
      <c r="AO60" s="959">
        <v>9.7859798372241014E-2</v>
      </c>
      <c r="AP60" s="959">
        <v>5.0231376343661344E-2</v>
      </c>
      <c r="AQ60" s="959">
        <v>3.8251137054348051E-2</v>
      </c>
      <c r="AR60" s="959">
        <v>0.12881285472612111</v>
      </c>
      <c r="AS60" s="959">
        <v>6.3526312386863196E-2</v>
      </c>
      <c r="AT60" s="959">
        <v>0.11635858376435841</v>
      </c>
      <c r="AU60" s="959">
        <v>6.2478971176492579E-2</v>
      </c>
      <c r="AV60" s="959">
        <v>-0.83081387346882596</v>
      </c>
      <c r="AW60" s="959">
        <v>-4.489799601187415E-2</v>
      </c>
      <c r="AX60" s="959">
        <v>0.13623572735484168</v>
      </c>
      <c r="AY60" s="959">
        <v>-0.35200000000000009</v>
      </c>
      <c r="AZ60" s="959">
        <v>0.13300000000000001</v>
      </c>
      <c r="BA60" s="959">
        <v>0.12</v>
      </c>
      <c r="BB60" s="959">
        <v>0.23899999999999999</v>
      </c>
      <c r="BC60" s="959">
        <v>0.185</v>
      </c>
      <c r="BD60" s="959">
        <v>0.18899999999999995</v>
      </c>
      <c r="BE60" s="959">
        <v>0.16200000000000003</v>
      </c>
      <c r="BF60" s="959">
        <v>0.19</v>
      </c>
      <c r="BG60" s="946"/>
      <c r="BH60" s="959">
        <v>7.7825103501104942E-2</v>
      </c>
      <c r="BI60" s="959">
        <v>3.4946528272705321E-2</v>
      </c>
      <c r="BJ60" s="1202">
        <v>4.2878575228399622</v>
      </c>
      <c r="BK60" s="952"/>
      <c r="BL60" s="946"/>
      <c r="BM60" s="1361">
        <v>7.7825103501104942E-2</v>
      </c>
      <c r="BN60" s="1080">
        <v>3.4946528272705321E-2</v>
      </c>
      <c r="BO60" s="1080">
        <v>6.126342453947832E-2</v>
      </c>
      <c r="BP60" s="959">
        <v>-0.46200646098971193</v>
      </c>
      <c r="BQ60" s="959">
        <v>-6.4228401965114338E-3</v>
      </c>
      <c r="BR60" s="959">
        <v>7.5519968570372895E-2</v>
      </c>
      <c r="BS60" s="959">
        <v>-2.9734469754943409E-2</v>
      </c>
      <c r="BT60" s="959">
        <v>-2.6648965717913448E-2</v>
      </c>
      <c r="BU60" s="1285">
        <v>0.17728534613522873</v>
      </c>
      <c r="BV60" s="1285">
        <v>8.9415916209697383E-2</v>
      </c>
      <c r="BW60" s="1036">
        <v>-9.8800345808536777E-2</v>
      </c>
      <c r="BX60" s="1036">
        <v>6.9999999999999951E-2</v>
      </c>
      <c r="BY60" s="2517">
        <v>0.18300000000000005</v>
      </c>
      <c r="BZ60" s="1286">
        <v>0.20399999999999996</v>
      </c>
      <c r="CA60" s="1286">
        <v>0.16800000000000004</v>
      </c>
      <c r="CB60" s="1286">
        <v>0.15600000000000003</v>
      </c>
      <c r="CC60" s="1183"/>
      <c r="CD60" s="1183"/>
    </row>
    <row r="61" spans="1:82" ht="12.75" customHeight="1" x14ac:dyDescent="0.2">
      <c r="A61" s="1204" t="s">
        <v>78</v>
      </c>
      <c r="B61" s="1204"/>
      <c r="C61" s="1202">
        <v>7.7501781283960627</v>
      </c>
      <c r="D61" s="952"/>
      <c r="E61" s="908"/>
      <c r="F61" s="929">
        <v>0.22524878795611125</v>
      </c>
      <c r="G61" s="929">
        <v>0.55691863611762582</v>
      </c>
      <c r="H61" s="959">
        <v>0.20071905242680194</v>
      </c>
      <c r="I61" s="959">
        <v>0.26817480302168795</v>
      </c>
      <c r="J61" s="1874">
        <v>0.14774700667215063</v>
      </c>
      <c r="K61" s="959">
        <v>-3.2205306655067423</v>
      </c>
      <c r="L61" s="959">
        <v>0.21937589318089712</v>
      </c>
      <c r="M61" s="959">
        <v>-2.7172374752335127E-2</v>
      </c>
      <c r="N61" s="1874">
        <v>-0.44469525959367945</v>
      </c>
      <c r="O61" s="959">
        <v>0.17158133939312925</v>
      </c>
      <c r="P61" s="959">
        <v>0.20434249693573805</v>
      </c>
      <c r="Q61" s="959">
        <v>0.73579920739762217</v>
      </c>
      <c r="R61" s="959">
        <v>0.25531914893617019</v>
      </c>
      <c r="S61" s="959">
        <v>0.16810755366693531</v>
      </c>
      <c r="T61" s="959">
        <v>1.2067229670953371E-2</v>
      </c>
      <c r="U61" s="959">
        <v>1.2875250166777852</v>
      </c>
      <c r="V61" s="959">
        <v>0.11938619747730377</v>
      </c>
      <c r="W61" s="959">
        <v>7.2188931970391265E-2</v>
      </c>
      <c r="X61" s="959">
        <v>0.15834639498432601</v>
      </c>
      <c r="Y61" s="959">
        <v>0.293886550410904</v>
      </c>
      <c r="Z61" s="959">
        <v>0.18975437993816557</v>
      </c>
      <c r="AA61" s="959">
        <v>0.19027834181999936</v>
      </c>
      <c r="AB61" s="959">
        <v>0.24922194922194923</v>
      </c>
      <c r="AC61" s="959">
        <v>0.91631799163179917</v>
      </c>
      <c r="AD61" s="959">
        <v>0.13497201799626907</v>
      </c>
      <c r="AE61" s="959">
        <v>-7.2991481543343908E-2</v>
      </c>
      <c r="AF61" s="959">
        <v>0.21774255011050986</v>
      </c>
      <c r="AG61" s="959">
        <v>0.18950357708481241</v>
      </c>
      <c r="AH61" s="959">
        <v>0.15825135719825298</v>
      </c>
      <c r="AI61" s="959">
        <v>-5.8424048736642364E-2</v>
      </c>
      <c r="AJ61" s="959">
        <v>0.50049338859285575</v>
      </c>
      <c r="AK61" s="959">
        <v>0.23462877030162413</v>
      </c>
      <c r="AL61" s="959">
        <v>0.16216902660486379</v>
      </c>
      <c r="AM61" s="959">
        <v>0.29139515741820426</v>
      </c>
      <c r="AN61" s="959">
        <v>0.30555914464758704</v>
      </c>
      <c r="AO61" s="959">
        <v>0.29830926141419672</v>
      </c>
      <c r="AP61" s="959">
        <v>0.32223823876294061</v>
      </c>
      <c r="AQ61" s="959">
        <v>-0.37461187214611874</v>
      </c>
      <c r="AR61" s="959">
        <v>0.3225907664724339</v>
      </c>
      <c r="AS61" s="959">
        <v>0.14183946062841879</v>
      </c>
      <c r="AT61" s="959">
        <v>0.43032197561738045</v>
      </c>
      <c r="AU61" s="959">
        <v>0.45160807778608825</v>
      </c>
      <c r="AV61" s="959">
        <v>0.13886549691456024</v>
      </c>
      <c r="AW61" s="959">
        <v>-8.4807073954983922E-2</v>
      </c>
      <c r="AX61" s="959">
        <v>0.30048025840452208</v>
      </c>
      <c r="AY61" s="959">
        <v>0.30467977372522648</v>
      </c>
      <c r="AZ61" s="959">
        <v>0.38100000000000001</v>
      </c>
      <c r="BA61" s="959">
        <v>0.35099999999999998</v>
      </c>
      <c r="BB61" s="959">
        <v>0.33500000000000002</v>
      </c>
      <c r="BC61" s="959">
        <v>0.35180386685270082</v>
      </c>
      <c r="BD61" s="959">
        <v>0.29599999999999999</v>
      </c>
      <c r="BE61" s="959">
        <v>0.29499999999999998</v>
      </c>
      <c r="BF61" s="959">
        <v>0.33800000000000002</v>
      </c>
      <c r="BG61" s="946"/>
      <c r="BH61" s="959">
        <v>0.22744344672768088</v>
      </c>
      <c r="BI61" s="959">
        <v>0.52226822581547583</v>
      </c>
      <c r="BJ61" s="1202">
        <v>-29.482477908779494</v>
      </c>
      <c r="BK61" s="952"/>
      <c r="BL61" s="946"/>
      <c r="BM61" s="1361">
        <v>0.22744344672768088</v>
      </c>
      <c r="BN61" s="1080">
        <v>0.52226822581547583</v>
      </c>
      <c r="BO61" s="1080">
        <v>0.19853759928735804</v>
      </c>
      <c r="BP61" s="959">
        <v>1.4847336738366518E-2</v>
      </c>
      <c r="BQ61" s="959">
        <v>-1.00070708856284</v>
      </c>
      <c r="BR61" s="959">
        <v>0.19401436799405461</v>
      </c>
      <c r="BS61" s="959">
        <v>0.20787275335414732</v>
      </c>
      <c r="BT61" s="959">
        <v>-0.32427569948507973</v>
      </c>
      <c r="BU61" s="959">
        <v>0.29991156156999271</v>
      </c>
      <c r="BV61" s="959">
        <v>0.25452644216804476</v>
      </c>
      <c r="BW61" s="1036">
        <v>-9.576474077840633E-3</v>
      </c>
      <c r="BX61" s="1036">
        <v>0.39193883293551457</v>
      </c>
      <c r="BY61" s="959">
        <v>0.32374798295187307</v>
      </c>
      <c r="BZ61" s="1286">
        <v>0.318</v>
      </c>
      <c r="CA61" s="1286">
        <v>0.33200000000000002</v>
      </c>
      <c r="CB61" s="1286">
        <v>0.35399999999999998</v>
      </c>
      <c r="CC61" s="940"/>
      <c r="CD61" s="940"/>
    </row>
    <row r="62" spans="1:82" ht="12.75" customHeight="1" x14ac:dyDescent="0.2">
      <c r="A62" s="1204" t="s">
        <v>79</v>
      </c>
      <c r="B62" s="1204"/>
      <c r="C62" s="1202">
        <v>0.65903177848851136</v>
      </c>
      <c r="D62" s="952"/>
      <c r="E62" s="908"/>
      <c r="F62" s="929">
        <v>7.4621821890706222E-2</v>
      </c>
      <c r="G62" s="929">
        <v>8.6233532765933544E-3</v>
      </c>
      <c r="H62" s="959">
        <v>9.7882991556091675E-2</v>
      </c>
      <c r="I62" s="959">
        <v>6.0056126598141558E-2</v>
      </c>
      <c r="J62" s="1874">
        <v>6.8031504105821108E-2</v>
      </c>
      <c r="K62" s="959">
        <v>-3.0126055638350722E-2</v>
      </c>
      <c r="L62" s="959">
        <v>0.11827095223014329</v>
      </c>
      <c r="M62" s="959">
        <v>-3.7891483552339636E-2</v>
      </c>
      <c r="N62" s="1874">
        <v>-1.2812299807815503E-2</v>
      </c>
      <c r="O62" s="959">
        <v>0.11406705539358601</v>
      </c>
      <c r="P62" s="959">
        <v>2.1834816537567033E-2</v>
      </c>
      <c r="Q62" s="959">
        <v>1.0330471792646769E-3</v>
      </c>
      <c r="R62" s="959">
        <v>3.6157726258608983E-2</v>
      </c>
      <c r="S62" s="959">
        <v>-0.11302958509198056</v>
      </c>
      <c r="T62" s="959">
        <v>-1.9049368390371597</v>
      </c>
      <c r="U62" s="959">
        <v>-2.2612564401212998E-3</v>
      </c>
      <c r="V62" s="959">
        <v>5.1111194008971621E-2</v>
      </c>
      <c r="W62" s="959">
        <v>-0.11322994859441206</v>
      </c>
      <c r="X62" s="959">
        <v>-0.12902547590871682</v>
      </c>
      <c r="Y62" s="959">
        <v>7.4549987091094547E-2</v>
      </c>
      <c r="Z62" s="959">
        <v>7.6841942367525132E-2</v>
      </c>
      <c r="AA62" s="959">
        <v>0.10214858836325803</v>
      </c>
      <c r="AB62" s="959">
        <v>7.9382054823583403E-2</v>
      </c>
      <c r="AC62" s="959">
        <v>-4.3642870391585653E-4</v>
      </c>
      <c r="AD62" s="959">
        <v>4.2103070538532614E-2</v>
      </c>
      <c r="AE62" s="959">
        <v>2.9471810470200165E-2</v>
      </c>
      <c r="AF62" s="959">
        <v>4.4625504884718892E-2</v>
      </c>
      <c r="AG62" s="959">
        <v>-7.9534188286110863E-2</v>
      </c>
      <c r="AH62" s="959">
        <v>-0.12686636029751028</v>
      </c>
      <c r="AI62" s="959">
        <v>-0.17892758255858451</v>
      </c>
      <c r="AJ62" s="959">
        <v>1.7114186991595049E-2</v>
      </c>
      <c r="AK62" s="959">
        <v>-4.4167364016736405E-2</v>
      </c>
      <c r="AL62" s="959">
        <v>8.2580750142380602E-2</v>
      </c>
      <c r="AM62" s="959">
        <v>0.16689755447404026</v>
      </c>
      <c r="AN62" s="959">
        <v>0.16872552328182266</v>
      </c>
      <c r="AO62" s="959">
        <v>6.8667314197675591E-2</v>
      </c>
      <c r="AP62" s="959">
        <v>3.4044906100041468E-2</v>
      </c>
      <c r="AQ62" s="959">
        <v>5.2580467117995154E-2</v>
      </c>
      <c r="AR62" s="959">
        <v>8.725901718851943E-2</v>
      </c>
      <c r="AS62" s="959">
        <v>5.4515774502198085E-2</v>
      </c>
      <c r="AT62" s="959">
        <v>6.6286928118839253E-2</v>
      </c>
      <c r="AU62" s="959">
        <v>3.4262963101424355E-2</v>
      </c>
      <c r="AV62" s="959">
        <v>-0.71544249208606692</v>
      </c>
      <c r="AW62" s="959">
        <v>-4.8705663680083736E-2</v>
      </c>
      <c r="AX62" s="959">
        <v>9.5299580795330852E-2</v>
      </c>
      <c r="AY62" s="959">
        <v>-0.245</v>
      </c>
      <c r="AZ62" s="959">
        <v>8.2000000000000003E-2</v>
      </c>
      <c r="BA62" s="959">
        <v>7.8E-2</v>
      </c>
      <c r="BB62" s="959">
        <v>0.159</v>
      </c>
      <c r="BC62" s="959">
        <v>0.12</v>
      </c>
      <c r="BD62" s="959">
        <v>0.13300000000000001</v>
      </c>
      <c r="BE62" s="959">
        <v>0.114</v>
      </c>
      <c r="BF62" s="959">
        <v>0.126</v>
      </c>
      <c r="BG62" s="946"/>
      <c r="BH62" s="959">
        <v>6.0124293718875121E-2</v>
      </c>
      <c r="BI62" s="959">
        <v>1.6695066953309148E-2</v>
      </c>
      <c r="BJ62" s="1202">
        <v>4.3429226765565971</v>
      </c>
      <c r="BK62" s="952"/>
      <c r="BL62" s="946"/>
      <c r="BM62" s="1361">
        <v>6.0124293718875121E-2</v>
      </c>
      <c r="BN62" s="1080">
        <v>1.6695066953309148E-2</v>
      </c>
      <c r="BO62" s="1080">
        <v>4.9100331307288081E-2</v>
      </c>
      <c r="BP62" s="959">
        <v>-0.45514689548809667</v>
      </c>
      <c r="BQ62" s="959">
        <v>-1.2850221909866786E-2</v>
      </c>
      <c r="BR62" s="959">
        <v>6.086800959726113E-2</v>
      </c>
      <c r="BS62" s="959">
        <v>-2.3553483657457703E-2</v>
      </c>
      <c r="BT62" s="959">
        <v>-3.5290577716643741E-2</v>
      </c>
      <c r="BU62" s="959">
        <v>0.12411542113233562</v>
      </c>
      <c r="BV62" s="959">
        <v>6.6657201183647111E-2</v>
      </c>
      <c r="BW62" s="1036">
        <v>-9.9746504759053931E-2</v>
      </c>
      <c r="BX62" s="1036">
        <v>4.2999999999999997E-2</v>
      </c>
      <c r="BY62" s="959">
        <v>0.12346977331638732</v>
      </c>
      <c r="BZ62" s="1286">
        <v>0.13900000000000001</v>
      </c>
      <c r="CA62" s="1286">
        <v>0.112</v>
      </c>
      <c r="CB62" s="1286">
        <v>0.10100000000000001</v>
      </c>
      <c r="CC62" s="940"/>
      <c r="CD62" s="940"/>
    </row>
    <row r="63" spans="1:82" ht="12.75" customHeight="1" x14ac:dyDescent="0.2">
      <c r="A63" s="1201"/>
      <c r="B63" s="1201"/>
      <c r="C63" s="1206"/>
      <c r="D63" s="952"/>
      <c r="E63" s="908"/>
      <c r="F63" s="908"/>
      <c r="G63" s="908"/>
      <c r="H63" s="952"/>
      <c r="I63" s="952"/>
      <c r="J63" s="946"/>
      <c r="K63" s="952"/>
      <c r="L63" s="952"/>
      <c r="M63" s="952"/>
      <c r="N63" s="946"/>
      <c r="O63" s="952"/>
      <c r="P63" s="952"/>
      <c r="Q63" s="952"/>
      <c r="R63" s="946"/>
      <c r="S63" s="952"/>
      <c r="T63" s="952"/>
      <c r="U63" s="952"/>
      <c r="V63" s="946"/>
      <c r="W63" s="952"/>
      <c r="X63" s="952"/>
      <c r="Y63" s="952"/>
      <c r="Z63" s="946"/>
      <c r="AA63" s="952"/>
      <c r="AB63" s="952"/>
      <c r="AC63" s="952"/>
      <c r="AD63" s="946"/>
      <c r="AE63" s="952"/>
      <c r="AF63" s="952"/>
      <c r="AG63" s="952"/>
      <c r="AH63" s="946"/>
      <c r="AI63" s="952"/>
      <c r="AJ63" s="952"/>
      <c r="AK63" s="952"/>
      <c r="AL63" s="946"/>
      <c r="AM63" s="952"/>
      <c r="AN63" s="952"/>
      <c r="AO63" s="952"/>
      <c r="AP63" s="946"/>
      <c r="AQ63" s="952"/>
      <c r="AR63" s="952"/>
      <c r="AS63" s="952"/>
      <c r="AT63" s="946"/>
      <c r="AU63" s="952"/>
      <c r="AV63" s="952"/>
      <c r="AW63" s="952"/>
      <c r="AX63" s="946"/>
      <c r="AY63" s="1061"/>
      <c r="AZ63" s="1061"/>
      <c r="BA63" s="1061"/>
      <c r="BB63" s="1061"/>
      <c r="BC63" s="1061"/>
      <c r="BD63" s="1061"/>
      <c r="BE63" s="1061"/>
      <c r="BF63" s="1061"/>
      <c r="BG63" s="946"/>
      <c r="BH63" s="946"/>
      <c r="BI63" s="946"/>
      <c r="BJ63" s="1006"/>
      <c r="BK63" s="952"/>
      <c r="BL63" s="946"/>
      <c r="BM63" s="946"/>
      <c r="BN63" s="946"/>
      <c r="BO63" s="946"/>
      <c r="BP63" s="1036"/>
      <c r="BQ63" s="1036"/>
      <c r="BR63" s="1036"/>
      <c r="BS63" s="1036"/>
      <c r="BT63" s="1036"/>
      <c r="BU63" s="1036"/>
      <c r="BV63" s="1036"/>
      <c r="BW63" s="1083"/>
      <c r="BX63" s="1083"/>
      <c r="BY63" s="1061"/>
      <c r="BZ63" s="1287"/>
      <c r="CA63" s="1287"/>
      <c r="CB63" s="1287"/>
      <c r="CC63" s="940"/>
      <c r="CD63" s="940"/>
    </row>
    <row r="64" spans="1:82" s="934" customFormat="1" ht="12.75" customHeight="1" x14ac:dyDescent="0.2">
      <c r="A64" s="1201" t="s">
        <v>624</v>
      </c>
      <c r="B64" s="1201"/>
      <c r="C64" s="1067">
        <v>0.06</v>
      </c>
      <c r="D64" s="952">
        <v>0.375</v>
      </c>
      <c r="E64" s="908"/>
      <c r="F64" s="1288">
        <v>0.22</v>
      </c>
      <c r="G64" s="1288">
        <v>0</v>
      </c>
      <c r="H64" s="1288">
        <v>0.31</v>
      </c>
      <c r="I64" s="1288">
        <v>0.11</v>
      </c>
      <c r="J64" s="1288">
        <v>0.16</v>
      </c>
      <c r="K64" s="1288">
        <v>-0.15</v>
      </c>
      <c r="L64" s="1288">
        <v>0.35</v>
      </c>
      <c r="M64" s="1288">
        <v>-0.11</v>
      </c>
      <c r="N64" s="1288">
        <v>-0.05</v>
      </c>
      <c r="O64" s="1288">
        <v>0.28999999999999998</v>
      </c>
      <c r="P64" s="1288">
        <v>0.01</v>
      </c>
      <c r="Q64" s="1288">
        <v>-0.05</v>
      </c>
      <c r="R64" s="1288">
        <v>0.04</v>
      </c>
      <c r="S64" s="1288">
        <v>-0.28999999999999998</v>
      </c>
      <c r="T64" s="1288">
        <v>-3.91</v>
      </c>
      <c r="U64" s="1288">
        <v>-0.03</v>
      </c>
      <c r="V64" s="1288">
        <v>0.08</v>
      </c>
      <c r="W64" s="1288">
        <v>-0.33</v>
      </c>
      <c r="X64" s="1288">
        <v>-0.27</v>
      </c>
      <c r="Y64" s="1288">
        <v>0.16</v>
      </c>
      <c r="Z64" s="1288">
        <v>0.16</v>
      </c>
      <c r="AA64" s="1288">
        <v>0.24</v>
      </c>
      <c r="AB64" s="1288">
        <v>0.15</v>
      </c>
      <c r="AC64" s="1288">
        <v>-0.03</v>
      </c>
      <c r="AD64" s="1288">
        <v>0.06</v>
      </c>
      <c r="AE64" s="1288">
        <v>0.04</v>
      </c>
      <c r="AF64" s="1288">
        <v>0.09</v>
      </c>
      <c r="AG64" s="1288">
        <v>-0.19</v>
      </c>
      <c r="AH64" s="1077">
        <v>-0.24</v>
      </c>
      <c r="AI64" s="1288">
        <v>-0.42</v>
      </c>
      <c r="AJ64" s="1021">
        <v>0.02</v>
      </c>
      <c r="AK64" s="1288">
        <v>-0.09</v>
      </c>
      <c r="AL64" s="1021">
        <v>0.17</v>
      </c>
      <c r="AM64" s="1021">
        <v>0.55000000000000004</v>
      </c>
      <c r="AN64" s="1021">
        <v>0.56999999999999995</v>
      </c>
      <c r="AO64" s="1021">
        <v>0.14000000000000001</v>
      </c>
      <c r="AP64" s="1021">
        <v>0.08</v>
      </c>
      <c r="AQ64" s="1288">
        <v>0.15</v>
      </c>
      <c r="AR64" s="1288">
        <v>0.31</v>
      </c>
      <c r="AS64" s="1288">
        <v>0.14000000000000001</v>
      </c>
      <c r="AT64" s="946">
        <v>0.19</v>
      </c>
      <c r="AU64" s="1288">
        <v>7.0000000000000007E-2</v>
      </c>
      <c r="AV64" s="1288">
        <v>-1.27</v>
      </c>
      <c r="AW64" s="1288">
        <v>-0.11</v>
      </c>
      <c r="AX64" s="946">
        <v>0.35</v>
      </c>
      <c r="AY64" s="1020">
        <v>-0.8</v>
      </c>
      <c r="AZ64" s="1020">
        <v>0.34</v>
      </c>
      <c r="BA64" s="1020">
        <v>0.28000000000000003</v>
      </c>
      <c r="BB64" s="1020">
        <v>0.86</v>
      </c>
      <c r="BC64" s="1020">
        <v>0.56999999999999995</v>
      </c>
      <c r="BD64" s="1020">
        <v>0.51</v>
      </c>
      <c r="BE64" s="1020">
        <v>0.39</v>
      </c>
      <c r="BF64" s="1020">
        <v>0.56999999999999995</v>
      </c>
      <c r="BG64" s="946"/>
      <c r="BH64" s="1288">
        <v>0.57999999999999996</v>
      </c>
      <c r="BI64" s="1013">
        <v>0.04</v>
      </c>
      <c r="BJ64" s="1067">
        <v>0.53999999999999992</v>
      </c>
      <c r="BK64" s="952" t="s">
        <v>41</v>
      </c>
      <c r="BL64" s="946"/>
      <c r="BM64" s="2882">
        <v>0.57999999999999996</v>
      </c>
      <c r="BN64" s="1288">
        <v>0.04</v>
      </c>
      <c r="BO64" s="1288">
        <v>0.28999999999999998</v>
      </c>
      <c r="BP64" s="1020">
        <v>-4.09</v>
      </c>
      <c r="BQ64" s="1020">
        <v>-0.27</v>
      </c>
      <c r="BR64" s="1020">
        <v>0.42</v>
      </c>
      <c r="BS64" s="1020">
        <v>-0.31</v>
      </c>
      <c r="BT64" s="1020">
        <v>-0.33</v>
      </c>
      <c r="BU64" s="1020">
        <v>1.37</v>
      </c>
      <c r="BV64" s="1020">
        <v>0.79</v>
      </c>
      <c r="BW64" s="1020">
        <v>-0.97</v>
      </c>
      <c r="BX64" s="1020">
        <v>0.7</v>
      </c>
      <c r="BY64" s="1020">
        <v>2.0299999999999998</v>
      </c>
      <c r="BZ64" s="1284">
        <v>1.82</v>
      </c>
      <c r="CA64" s="1284">
        <v>1.17</v>
      </c>
      <c r="CB64" s="1284">
        <v>1.43</v>
      </c>
      <c r="CC64" s="940"/>
      <c r="CD64" s="940"/>
    </row>
    <row r="65" spans="1:82" s="934" customFormat="1" ht="12.75" customHeight="1" x14ac:dyDescent="0.2">
      <c r="A65" s="1201" t="s">
        <v>625</v>
      </c>
      <c r="B65" s="1201"/>
      <c r="C65" s="1067">
        <v>3.999999999999998E-2</v>
      </c>
      <c r="D65" s="952">
        <v>0.28571428571428553</v>
      </c>
      <c r="E65" s="908"/>
      <c r="F65" s="1288">
        <v>0.18</v>
      </c>
      <c r="G65" s="1288">
        <v>0</v>
      </c>
      <c r="H65" s="1288">
        <v>0.25</v>
      </c>
      <c r="I65" s="1288">
        <v>0.09</v>
      </c>
      <c r="J65" s="1288">
        <v>0.14000000000000001</v>
      </c>
      <c r="K65" s="1288">
        <v>-0.15</v>
      </c>
      <c r="L65" s="1288">
        <v>0.28999999999999998</v>
      </c>
      <c r="M65" s="1288">
        <v>-0.11</v>
      </c>
      <c r="N65" s="1288">
        <v>-0.05</v>
      </c>
      <c r="O65" s="1288">
        <v>0.26</v>
      </c>
      <c r="P65" s="1288">
        <v>0.01</v>
      </c>
      <c r="Q65" s="1288">
        <v>-0.05</v>
      </c>
      <c r="R65" s="1288">
        <v>0.04</v>
      </c>
      <c r="S65" s="1288">
        <v>-0.28999999999999998</v>
      </c>
      <c r="T65" s="1288">
        <v>-3.91</v>
      </c>
      <c r="U65" s="1288">
        <v>-0.03</v>
      </c>
      <c r="V65" s="1288">
        <v>0.08</v>
      </c>
      <c r="W65" s="1288">
        <v>-0.33</v>
      </c>
      <c r="X65" s="1288">
        <v>-0.27</v>
      </c>
      <c r="Y65" s="1288">
        <v>0.14000000000000001</v>
      </c>
      <c r="Z65" s="1288">
        <v>0.15</v>
      </c>
      <c r="AA65" s="1288">
        <v>0.22</v>
      </c>
      <c r="AB65" s="1288">
        <v>0.14000000000000001</v>
      </c>
      <c r="AC65" s="1288">
        <v>-0.03</v>
      </c>
      <c r="AD65" s="1288">
        <v>0.06</v>
      </c>
      <c r="AE65" s="1288">
        <v>0.04</v>
      </c>
      <c r="AF65" s="1288">
        <v>0.08</v>
      </c>
      <c r="AG65" s="1288">
        <v>-0.19</v>
      </c>
      <c r="AH65" s="1077">
        <v>-0.24</v>
      </c>
      <c r="AI65" s="1288">
        <v>-0.42</v>
      </c>
      <c r="AJ65" s="1021">
        <v>0.01</v>
      </c>
      <c r="AK65" s="1288">
        <v>-0.09</v>
      </c>
      <c r="AL65" s="1021">
        <v>0.16</v>
      </c>
      <c r="AM65" s="1021">
        <v>0.49</v>
      </c>
      <c r="AN65" s="1021">
        <v>0.51</v>
      </c>
      <c r="AO65" s="1021">
        <v>0.12</v>
      </c>
      <c r="AP65" s="1021">
        <v>7.0000000000000007E-2</v>
      </c>
      <c r="AQ65" s="1288">
        <v>0.14000000000000001</v>
      </c>
      <c r="AR65" s="1288">
        <v>0.27</v>
      </c>
      <c r="AS65" s="1288">
        <v>0.12</v>
      </c>
      <c r="AT65" s="946">
        <v>0.16</v>
      </c>
      <c r="AU65" s="1288">
        <v>7.0000000000000007E-2</v>
      </c>
      <c r="AV65" s="1288">
        <v>-1.27</v>
      </c>
      <c r="AW65" s="1288">
        <v>-0.11</v>
      </c>
      <c r="AX65" s="946">
        <v>0.31</v>
      </c>
      <c r="AY65" s="1020">
        <v>-0.8</v>
      </c>
      <c r="AZ65" s="1020">
        <v>0.31</v>
      </c>
      <c r="BA65" s="1020">
        <v>0.26</v>
      </c>
      <c r="BB65" s="1020">
        <v>0.8</v>
      </c>
      <c r="BC65" s="1020">
        <v>0.54</v>
      </c>
      <c r="BD65" s="1020">
        <v>0.49</v>
      </c>
      <c r="BE65" s="1020">
        <v>0.37</v>
      </c>
      <c r="BF65" s="1020">
        <v>0.54</v>
      </c>
      <c r="BG65" s="946"/>
      <c r="BH65" s="1288">
        <v>0.48</v>
      </c>
      <c r="BI65" s="1013">
        <v>0.03</v>
      </c>
      <c r="BJ65" s="1067">
        <v>0.44999999999999996</v>
      </c>
      <c r="BK65" s="952" t="s">
        <v>41</v>
      </c>
      <c r="BL65" s="946"/>
      <c r="BM65" s="2882">
        <v>0.48</v>
      </c>
      <c r="BN65" s="1288">
        <v>0.03</v>
      </c>
      <c r="BO65" s="1288">
        <v>0.27</v>
      </c>
      <c r="BP65" s="1020">
        <v>-4.09</v>
      </c>
      <c r="BQ65" s="1020">
        <v>-0.27</v>
      </c>
      <c r="BR65" s="1020">
        <v>0.39</v>
      </c>
      <c r="BS65" s="1020">
        <v>-0.31</v>
      </c>
      <c r="BT65" s="1020">
        <v>-0.33</v>
      </c>
      <c r="BU65" s="1020">
        <v>1.22</v>
      </c>
      <c r="BV65" s="1020">
        <v>0.69</v>
      </c>
      <c r="BW65" s="1020">
        <v>-0.97</v>
      </c>
      <c r="BX65" s="1020">
        <v>0.64</v>
      </c>
      <c r="BY65" s="2830">
        <v>1.94</v>
      </c>
      <c r="BZ65" s="1284">
        <v>1.74</v>
      </c>
      <c r="CA65" s="1284">
        <v>1.1100000000000001</v>
      </c>
      <c r="CB65" s="1284">
        <v>1.1200000000000001</v>
      </c>
      <c r="CC65" s="940"/>
      <c r="CD65" s="940"/>
    </row>
    <row r="66" spans="1:82" s="934" customFormat="1" ht="12.75" customHeight="1" x14ac:dyDescent="0.2">
      <c r="A66" s="1201" t="s">
        <v>244</v>
      </c>
      <c r="B66" s="1201"/>
      <c r="C66" s="1067">
        <v>0.67960405277367464</v>
      </c>
      <c r="D66" s="952">
        <v>-0.12306532849947256</v>
      </c>
      <c r="E66" s="908"/>
      <c r="F66" s="1176">
        <v>6.2019072153300341</v>
      </c>
      <c r="G66" s="1176">
        <v>6.2482726164245834</v>
      </c>
      <c r="H66" s="1288">
        <v>6.0416730694648724</v>
      </c>
      <c r="I66" s="1288">
        <v>5.6938819959198783</v>
      </c>
      <c r="J66" s="1288">
        <v>5.5223031625563594</v>
      </c>
      <c r="K66" s="1288">
        <v>5.7118605886044378</v>
      </c>
      <c r="L66" s="1288">
        <v>5.1104589844536221</v>
      </c>
      <c r="M66" s="1288">
        <v>4.7418338824401287</v>
      </c>
      <c r="N66" s="1288">
        <v>4.9081597347945385</v>
      </c>
      <c r="O66" s="1288">
        <v>5.0842821672786878</v>
      </c>
      <c r="P66" s="1288">
        <v>4.8524520290158106</v>
      </c>
      <c r="Q66" s="1288">
        <v>4.7023745465275733</v>
      </c>
      <c r="R66" s="1288">
        <v>4.7513176517578817</v>
      </c>
      <c r="S66" s="1288">
        <v>4.990171629749157</v>
      </c>
      <c r="T66" s="1288">
        <v>5.3274116540838587</v>
      </c>
      <c r="U66" s="1288">
        <v>8.3842300334057658</v>
      </c>
      <c r="V66" s="1288">
        <v>8.34</v>
      </c>
      <c r="W66" s="1288">
        <v>8.7100000000000009</v>
      </c>
      <c r="X66" s="1288">
        <v>8.6300000000000008</v>
      </c>
      <c r="Y66" s="1288">
        <v>8.9</v>
      </c>
      <c r="Z66" s="1288">
        <v>8.6999999999999993</v>
      </c>
      <c r="AA66" s="1288">
        <v>9.0500000000000007</v>
      </c>
      <c r="AB66" s="1288">
        <v>8.43</v>
      </c>
      <c r="AC66" s="1288">
        <v>8</v>
      </c>
      <c r="AD66" s="1288">
        <v>7.8690965112156039</v>
      </c>
      <c r="AE66" s="1288">
        <v>7.6805825717690102</v>
      </c>
      <c r="AF66" s="1288">
        <v>7.619629128942214</v>
      </c>
      <c r="AG66" s="1288">
        <v>7.6129029043796193</v>
      </c>
      <c r="AH66" s="1021">
        <v>7.9026240300341399</v>
      </c>
      <c r="AI66" s="1021">
        <v>8.26</v>
      </c>
      <c r="AJ66" s="1021">
        <v>8.54362469180208</v>
      </c>
      <c r="AK66" s="1288">
        <v>8.7541612287663693</v>
      </c>
      <c r="AL66" s="1021">
        <v>8.7073727909457759</v>
      </c>
      <c r="AM66" s="1021">
        <v>8.7928854314765257</v>
      </c>
      <c r="AN66" s="1021">
        <v>8.4331234596167377</v>
      </c>
      <c r="AO66" s="1021">
        <v>8.047419145036363</v>
      </c>
      <c r="AP66" s="1021">
        <v>7.8610513978754888</v>
      </c>
      <c r="AQ66" s="1288">
        <v>6.96</v>
      </c>
      <c r="AR66" s="1288">
        <v>7</v>
      </c>
      <c r="AS66" s="1288">
        <v>6.78</v>
      </c>
      <c r="AT66" s="946">
        <v>6.73</v>
      </c>
      <c r="AU66" s="1288">
        <v>6.51</v>
      </c>
      <c r="AV66" s="1288">
        <v>6.37</v>
      </c>
      <c r="AW66" s="1288">
        <v>7.15</v>
      </c>
      <c r="AX66" s="946">
        <v>7.66</v>
      </c>
      <c r="AY66" s="1020">
        <v>7.21</v>
      </c>
      <c r="AZ66" s="1020">
        <v>7.95</v>
      </c>
      <c r="BA66" s="1020">
        <v>7.83</v>
      </c>
      <c r="BB66" s="1020">
        <v>7.96</v>
      </c>
      <c r="BC66" s="1020">
        <v>7.74</v>
      </c>
      <c r="BD66" s="1020">
        <v>7.43</v>
      </c>
      <c r="BE66" s="1020">
        <v>6.82</v>
      </c>
      <c r="BF66" s="1020">
        <v>6.49</v>
      </c>
      <c r="BG66" s="946"/>
      <c r="BH66" s="1288">
        <v>6.2482726164245834</v>
      </c>
      <c r="BI66" s="1013">
        <v>5.71</v>
      </c>
      <c r="BJ66" s="1067">
        <v>0.53827261642458346</v>
      </c>
      <c r="BK66" s="952">
        <v>9.4268409181187993E-2</v>
      </c>
      <c r="BL66" s="946"/>
      <c r="BM66" s="2882">
        <v>6.2482726164245834</v>
      </c>
      <c r="BN66" s="1067">
        <v>5.7118605886044378</v>
      </c>
      <c r="BO66" s="1067">
        <v>5.0842821672786878</v>
      </c>
      <c r="BP66" s="1020">
        <v>4.990171629749157</v>
      </c>
      <c r="BQ66" s="1020">
        <v>8.7100000000000009</v>
      </c>
      <c r="BR66" s="1020">
        <v>9.0500000000000007</v>
      </c>
      <c r="BS66" s="1020">
        <v>7.6805825717690102</v>
      </c>
      <c r="BT66" s="1020">
        <v>8.26</v>
      </c>
      <c r="BU66" s="1020">
        <v>8.7885987238297076</v>
      </c>
      <c r="BV66" s="1020">
        <v>6.96</v>
      </c>
      <c r="BW66" s="1020">
        <v>6.51</v>
      </c>
      <c r="BX66" s="1020">
        <v>7.21</v>
      </c>
      <c r="BY66" s="1020">
        <v>7.74</v>
      </c>
      <c r="BZ66" s="1284">
        <v>5.99</v>
      </c>
      <c r="CA66" s="1284">
        <v>4.82</v>
      </c>
      <c r="CB66" s="1284">
        <v>2.59</v>
      </c>
      <c r="CC66" s="940"/>
      <c r="CD66" s="940"/>
    </row>
    <row r="67" spans="1:82" s="934" customFormat="1" ht="12.75" customHeight="1" x14ac:dyDescent="0.2">
      <c r="A67" s="946"/>
      <c r="B67" s="946"/>
      <c r="C67" s="946"/>
      <c r="D67" s="946"/>
      <c r="E67" s="900"/>
      <c r="F67" s="900"/>
      <c r="G67" s="900"/>
      <c r="H67" s="946"/>
      <c r="I67" s="946"/>
      <c r="J67" s="946"/>
      <c r="K67" s="946"/>
      <c r="L67" s="946"/>
      <c r="M67" s="946"/>
      <c r="N67" s="946"/>
      <c r="O67" s="946"/>
      <c r="P67" s="946"/>
      <c r="Q67" s="946"/>
      <c r="R67" s="946"/>
      <c r="S67" s="946"/>
      <c r="T67" s="946"/>
      <c r="U67" s="946"/>
      <c r="V67" s="946"/>
      <c r="W67" s="946"/>
      <c r="X67" s="946"/>
      <c r="Y67" s="946"/>
      <c r="Z67" s="946"/>
      <c r="AA67" s="946"/>
      <c r="AB67" s="946"/>
      <c r="AC67" s="946"/>
      <c r="AD67" s="946"/>
      <c r="AE67" s="946"/>
      <c r="AF67" s="946"/>
      <c r="AG67" s="946"/>
      <c r="AH67" s="946"/>
      <c r="AI67" s="946"/>
      <c r="AJ67" s="946"/>
      <c r="AK67" s="946"/>
      <c r="AL67" s="946"/>
      <c r="AM67" s="946"/>
      <c r="AN67" s="946"/>
      <c r="AO67" s="946"/>
      <c r="AP67" s="946"/>
      <c r="AQ67" s="946"/>
      <c r="AR67" s="946"/>
      <c r="AS67" s="946"/>
      <c r="AT67" s="946"/>
      <c r="AU67" s="946"/>
      <c r="AV67" s="946"/>
      <c r="AW67" s="946"/>
      <c r="AX67" s="946"/>
      <c r="AY67" s="946"/>
      <c r="AZ67" s="946"/>
      <c r="BA67" s="946"/>
      <c r="BB67" s="946"/>
      <c r="BC67" s="946"/>
      <c r="BD67" s="946"/>
      <c r="BE67" s="946"/>
      <c r="BF67" s="946"/>
      <c r="BG67" s="946"/>
      <c r="BH67" s="946"/>
      <c r="BI67" s="946"/>
      <c r="BJ67" s="946"/>
      <c r="BK67" s="946"/>
      <c r="BL67" s="946"/>
      <c r="BM67" s="946"/>
      <c r="BN67" s="946"/>
      <c r="BO67" s="946"/>
      <c r="BP67" s="946"/>
      <c r="BQ67" s="946"/>
      <c r="BR67" s="946"/>
      <c r="BS67" s="946"/>
      <c r="BT67" s="946"/>
      <c r="BU67" s="946"/>
      <c r="BV67" s="946"/>
      <c r="BW67" s="946"/>
      <c r="BX67" s="946"/>
      <c r="BY67" s="946"/>
      <c r="BZ67" s="1201"/>
      <c r="CA67" s="1201"/>
      <c r="CB67" s="1201"/>
      <c r="CC67" s="940"/>
      <c r="CD67" s="940"/>
    </row>
    <row r="68" spans="1:82" s="934" customFormat="1" ht="18" customHeight="1" x14ac:dyDescent="0.2">
      <c r="A68" s="965" t="s">
        <v>626</v>
      </c>
      <c r="B68" s="946"/>
      <c r="C68" s="1201"/>
      <c r="D68" s="1201"/>
      <c r="E68" s="900"/>
      <c r="F68" s="900"/>
      <c r="G68" s="900"/>
      <c r="H68" s="946"/>
      <c r="I68" s="946"/>
      <c r="J68" s="946"/>
      <c r="K68" s="946"/>
      <c r="L68" s="946"/>
      <c r="M68" s="946"/>
      <c r="N68" s="946"/>
      <c r="O68" s="946"/>
      <c r="P68" s="946"/>
      <c r="Q68" s="946"/>
      <c r="R68" s="946"/>
      <c r="S68" s="946"/>
      <c r="T68" s="946"/>
      <c r="U68" s="946"/>
      <c r="V68" s="946"/>
      <c r="W68" s="946"/>
      <c r="X68" s="946"/>
      <c r="Y68" s="946"/>
      <c r="Z68" s="946"/>
      <c r="AA68" s="946"/>
      <c r="AB68" s="946"/>
      <c r="AC68" s="946"/>
      <c r="AD68" s="946"/>
      <c r="AE68" s="946"/>
      <c r="AF68" s="946"/>
      <c r="AG68" s="946"/>
      <c r="AH68" s="946"/>
      <c r="AI68" s="946"/>
      <c r="AJ68" s="946"/>
      <c r="AK68" s="946"/>
      <c r="AL68" s="946"/>
      <c r="AM68" s="946"/>
      <c r="AN68" s="946"/>
      <c r="AO68" s="946"/>
      <c r="AP68" s="946"/>
      <c r="AQ68" s="946"/>
      <c r="AR68" s="946"/>
      <c r="AS68" s="1262"/>
      <c r="AT68" s="946"/>
      <c r="AU68" s="946"/>
      <c r="AV68" s="946"/>
      <c r="AW68" s="946"/>
      <c r="AX68" s="946"/>
      <c r="AY68" s="946"/>
      <c r="AZ68" s="946"/>
      <c r="BA68" s="1201"/>
      <c r="BB68" s="1201"/>
      <c r="BC68" s="1201"/>
      <c r="BD68" s="1201"/>
      <c r="BE68" s="1201"/>
      <c r="BF68" s="1201"/>
      <c r="BG68" s="946"/>
      <c r="BH68" s="1289"/>
      <c r="BI68" s="1201"/>
      <c r="BJ68" s="1201"/>
      <c r="BK68" s="1201"/>
      <c r="BL68" s="1201"/>
      <c r="BM68" s="1289"/>
      <c r="BN68" s="1289"/>
      <c r="BO68" s="1289"/>
      <c r="BP68" s="1271"/>
      <c r="BQ68" s="1271"/>
      <c r="BR68" s="1271"/>
      <c r="BS68" s="1271"/>
      <c r="BT68" s="1271"/>
      <c r="BU68" s="1201"/>
      <c r="BV68" s="1201"/>
      <c r="BW68" s="1201"/>
      <c r="BX68" s="1201"/>
      <c r="BY68" s="1201"/>
      <c r="BZ68" s="1284"/>
      <c r="CA68" s="1284"/>
      <c r="CB68" s="1284"/>
      <c r="CC68" s="940"/>
      <c r="CD68" s="940"/>
    </row>
    <row r="69" spans="1:82" s="934" customFormat="1" ht="12.75" customHeight="1" x14ac:dyDescent="0.2">
      <c r="A69" s="961"/>
      <c r="B69" s="946"/>
      <c r="C69" s="1201"/>
      <c r="D69" s="1201"/>
      <c r="E69" s="900"/>
      <c r="F69" s="1181"/>
      <c r="G69" s="1181"/>
      <c r="H69" s="1290"/>
      <c r="I69" s="1290"/>
      <c r="J69" s="946"/>
      <c r="K69" s="1290"/>
      <c r="L69" s="1290"/>
      <c r="M69" s="1290"/>
      <c r="N69" s="946"/>
      <c r="O69" s="1290"/>
      <c r="P69" s="1290"/>
      <c r="Q69" s="1290"/>
      <c r="R69" s="946"/>
      <c r="S69" s="1290"/>
      <c r="T69" s="1290"/>
      <c r="U69" s="1290"/>
      <c r="V69" s="946"/>
      <c r="W69" s="1290"/>
      <c r="X69" s="1290"/>
      <c r="Y69" s="1290"/>
      <c r="Z69" s="946"/>
      <c r="AA69" s="1290"/>
      <c r="AB69" s="1290"/>
      <c r="AC69" s="1290"/>
      <c r="AD69" s="946"/>
      <c r="AE69" s="1290"/>
      <c r="AF69" s="1290"/>
      <c r="AG69" s="1290"/>
      <c r="AH69" s="946"/>
      <c r="AI69" s="1290"/>
      <c r="AJ69" s="946"/>
      <c r="AK69" s="1290"/>
      <c r="AL69" s="946"/>
      <c r="AM69" s="1290"/>
      <c r="AN69" s="946"/>
      <c r="AO69" s="946"/>
      <c r="AP69" s="946"/>
      <c r="AQ69" s="1290"/>
      <c r="AR69" s="1290"/>
      <c r="AS69" s="1290"/>
      <c r="AT69" s="946"/>
      <c r="AU69" s="1290"/>
      <c r="AV69" s="1290"/>
      <c r="AW69" s="946"/>
      <c r="AX69" s="946"/>
      <c r="AY69" s="946"/>
      <c r="AZ69" s="946"/>
      <c r="BA69" s="1201"/>
      <c r="BB69" s="1201"/>
      <c r="BC69" s="1201"/>
      <c r="BD69" s="1201"/>
      <c r="BE69" s="1201"/>
      <c r="BF69" s="1201"/>
      <c r="BG69" s="946"/>
      <c r="BH69" s="1181"/>
      <c r="BI69" s="1201"/>
      <c r="BJ69" s="1201"/>
      <c r="BK69" s="1201"/>
      <c r="BL69" s="1201"/>
      <c r="BM69" s="1201"/>
      <c r="BN69" s="1201"/>
      <c r="BO69" s="1201"/>
      <c r="BP69" s="1201"/>
      <c r="BQ69" s="1201"/>
      <c r="BR69" s="1201"/>
      <c r="BS69" s="1201"/>
      <c r="BT69" s="1201"/>
      <c r="BU69" s="1201"/>
      <c r="BV69" s="1201"/>
      <c r="BW69" s="1201"/>
      <c r="BX69" s="1201"/>
      <c r="BY69" s="1201"/>
      <c r="BZ69" s="1284"/>
      <c r="CA69" s="1284"/>
      <c r="CB69" s="1284"/>
      <c r="CC69" s="940"/>
      <c r="CD69" s="940"/>
    </row>
    <row r="70" spans="1:82" s="934" customFormat="1" ht="12.75" customHeight="1" x14ac:dyDescent="0.2">
      <c r="A70" s="945"/>
      <c r="B70" s="946"/>
      <c r="C70" s="3073" t="s">
        <v>671</v>
      </c>
      <c r="D70" s="3074"/>
      <c r="E70" s="901"/>
      <c r="F70" s="1992"/>
      <c r="G70" s="1178"/>
      <c r="H70" s="2918"/>
      <c r="I70" s="2918"/>
      <c r="J70" s="1291"/>
      <c r="K70" s="2918"/>
      <c r="L70" s="2918"/>
      <c r="M70" s="2918"/>
      <c r="N70" s="1291"/>
      <c r="O70" s="2918"/>
      <c r="P70" s="2918"/>
      <c r="Q70" s="2918"/>
      <c r="R70" s="1291"/>
      <c r="S70" s="2918"/>
      <c r="T70" s="2918"/>
      <c r="U70" s="2918"/>
      <c r="V70" s="1291"/>
      <c r="W70" s="2918"/>
      <c r="X70" s="2918"/>
      <c r="Y70" s="2918"/>
      <c r="Z70" s="1291"/>
      <c r="AA70" s="2918"/>
      <c r="AB70" s="2918"/>
      <c r="AC70" s="2918"/>
      <c r="AD70" s="1291"/>
      <c r="AE70" s="2918"/>
      <c r="AF70" s="2918"/>
      <c r="AG70" s="2918"/>
      <c r="AH70" s="1291"/>
      <c r="AI70" s="2915"/>
      <c r="AJ70" s="982"/>
      <c r="AK70" s="2918"/>
      <c r="AL70" s="1291"/>
      <c r="AM70" s="2915"/>
      <c r="AN70" s="982"/>
      <c r="AO70" s="982"/>
      <c r="AP70" s="1291"/>
      <c r="AQ70" s="2915"/>
      <c r="AR70" s="2918"/>
      <c r="AS70" s="941"/>
      <c r="AT70" s="1291"/>
      <c r="AU70" s="2918"/>
      <c r="AV70" s="990"/>
      <c r="AW70" s="982"/>
      <c r="AX70" s="1291"/>
      <c r="AY70" s="1292"/>
      <c r="AZ70" s="1292"/>
      <c r="BA70" s="1292"/>
      <c r="BB70" s="1292"/>
      <c r="BC70" s="998"/>
      <c r="BD70" s="1291"/>
      <c r="BE70" s="1291"/>
      <c r="BF70" s="1291"/>
      <c r="BG70" s="1034"/>
      <c r="BH70" s="988" t="s">
        <v>660</v>
      </c>
      <c r="BI70" s="988"/>
      <c r="BJ70" s="988" t="s">
        <v>563</v>
      </c>
      <c r="BK70" s="989"/>
      <c r="BL70" s="990"/>
      <c r="BM70" s="2310"/>
      <c r="BN70" s="2310"/>
      <c r="BO70" s="2310"/>
      <c r="BP70" s="991"/>
      <c r="BQ70" s="991"/>
      <c r="BR70" s="991"/>
      <c r="BS70" s="991"/>
      <c r="BT70" s="991"/>
      <c r="BU70" s="991"/>
      <c r="BV70" s="991"/>
      <c r="BW70" s="991"/>
      <c r="BX70" s="2831"/>
      <c r="BY70" s="998"/>
      <c r="BZ70" s="991"/>
      <c r="CA70" s="991"/>
      <c r="CB70" s="991"/>
      <c r="CC70" s="949"/>
      <c r="CD70" s="941"/>
    </row>
    <row r="71" spans="1:82" ht="12.75" customHeight="1" x14ac:dyDescent="0.2">
      <c r="A71" s="945" t="s">
        <v>2</v>
      </c>
      <c r="B71" s="946"/>
      <c r="C71" s="3078" t="s">
        <v>38</v>
      </c>
      <c r="D71" s="3079"/>
      <c r="E71" s="1179"/>
      <c r="F71" s="1993" t="s">
        <v>670</v>
      </c>
      <c r="G71" s="907" t="s">
        <v>558</v>
      </c>
      <c r="H71" s="992" t="s">
        <v>559</v>
      </c>
      <c r="I71" s="992" t="s">
        <v>560</v>
      </c>
      <c r="J71" s="993" t="s">
        <v>561</v>
      </c>
      <c r="K71" s="992" t="s">
        <v>508</v>
      </c>
      <c r="L71" s="992" t="s">
        <v>507</v>
      </c>
      <c r="M71" s="992" t="s">
        <v>506</v>
      </c>
      <c r="N71" s="993" t="s">
        <v>505</v>
      </c>
      <c r="O71" s="992" t="s">
        <v>382</v>
      </c>
      <c r="P71" s="992" t="s">
        <v>383</v>
      </c>
      <c r="Q71" s="992" t="s">
        <v>384</v>
      </c>
      <c r="R71" s="993" t="s">
        <v>385</v>
      </c>
      <c r="S71" s="992" t="s">
        <v>368</v>
      </c>
      <c r="T71" s="992" t="s">
        <v>367</v>
      </c>
      <c r="U71" s="992" t="s">
        <v>366</v>
      </c>
      <c r="V71" s="993" t="s">
        <v>364</v>
      </c>
      <c r="W71" s="992" t="s">
        <v>348</v>
      </c>
      <c r="X71" s="992" t="s">
        <v>349</v>
      </c>
      <c r="Y71" s="992" t="s">
        <v>350</v>
      </c>
      <c r="Z71" s="993" t="s">
        <v>351</v>
      </c>
      <c r="AA71" s="992" t="s">
        <v>315</v>
      </c>
      <c r="AB71" s="992" t="s">
        <v>314</v>
      </c>
      <c r="AC71" s="992" t="s">
        <v>313</v>
      </c>
      <c r="AD71" s="993" t="s">
        <v>311</v>
      </c>
      <c r="AE71" s="992" t="s">
        <v>270</v>
      </c>
      <c r="AF71" s="992" t="s">
        <v>271</v>
      </c>
      <c r="AG71" s="992" t="s">
        <v>272</v>
      </c>
      <c r="AH71" s="993" t="s">
        <v>273</v>
      </c>
      <c r="AI71" s="994" t="s">
        <v>223</v>
      </c>
      <c r="AJ71" s="992" t="s">
        <v>224</v>
      </c>
      <c r="AK71" s="992" t="s">
        <v>225</v>
      </c>
      <c r="AL71" s="993" t="s">
        <v>222</v>
      </c>
      <c r="AM71" s="994" t="s">
        <v>189</v>
      </c>
      <c r="AN71" s="992" t="s">
        <v>190</v>
      </c>
      <c r="AO71" s="992" t="s">
        <v>191</v>
      </c>
      <c r="AP71" s="993" t="s">
        <v>192</v>
      </c>
      <c r="AQ71" s="994" t="s">
        <v>121</v>
      </c>
      <c r="AR71" s="992" t="s">
        <v>120</v>
      </c>
      <c r="AS71" s="992" t="s">
        <v>119</v>
      </c>
      <c r="AT71" s="993" t="s">
        <v>118</v>
      </c>
      <c r="AU71" s="992" t="s">
        <v>81</v>
      </c>
      <c r="AV71" s="992" t="s">
        <v>82</v>
      </c>
      <c r="AW71" s="992" t="s">
        <v>83</v>
      </c>
      <c r="AX71" s="993" t="s">
        <v>29</v>
      </c>
      <c r="AY71" s="992" t="s">
        <v>30</v>
      </c>
      <c r="AZ71" s="992" t="s">
        <v>31</v>
      </c>
      <c r="BA71" s="992" t="s">
        <v>32</v>
      </c>
      <c r="BB71" s="992" t="s">
        <v>33</v>
      </c>
      <c r="BC71" s="995" t="s">
        <v>34</v>
      </c>
      <c r="BD71" s="993" t="s">
        <v>35</v>
      </c>
      <c r="BE71" s="993" t="s">
        <v>36</v>
      </c>
      <c r="BF71" s="993" t="s">
        <v>37</v>
      </c>
      <c r="BG71" s="996"/>
      <c r="BH71" s="992" t="s">
        <v>558</v>
      </c>
      <c r="BI71" s="992" t="s">
        <v>508</v>
      </c>
      <c r="BJ71" s="3071" t="s">
        <v>38</v>
      </c>
      <c r="BK71" s="3072"/>
      <c r="BL71" s="1293"/>
      <c r="BM71" s="995" t="s">
        <v>562</v>
      </c>
      <c r="BN71" s="995" t="s">
        <v>509</v>
      </c>
      <c r="BO71" s="995" t="s">
        <v>502</v>
      </c>
      <c r="BP71" s="994" t="s">
        <v>379</v>
      </c>
      <c r="BQ71" s="994" t="s">
        <v>360</v>
      </c>
      <c r="BR71" s="994" t="s">
        <v>317</v>
      </c>
      <c r="BS71" s="994" t="s">
        <v>275</v>
      </c>
      <c r="BT71" s="994" t="s">
        <v>227</v>
      </c>
      <c r="BU71" s="994" t="s">
        <v>123</v>
      </c>
      <c r="BV71" s="994" t="s">
        <v>122</v>
      </c>
      <c r="BW71" s="994" t="s">
        <v>42</v>
      </c>
      <c r="BX71" s="994" t="s">
        <v>39</v>
      </c>
      <c r="BY71" s="995" t="s">
        <v>40</v>
      </c>
      <c r="BZ71" s="995" t="s">
        <v>142</v>
      </c>
      <c r="CA71" s="995" t="s">
        <v>143</v>
      </c>
      <c r="CB71" s="995" t="s">
        <v>144</v>
      </c>
      <c r="CC71" s="949"/>
      <c r="CD71" s="941"/>
    </row>
    <row r="72" spans="1:82" ht="12.75" customHeight="1" x14ac:dyDescent="0.2">
      <c r="A72" s="1207"/>
      <c r="B72" s="946" t="s">
        <v>4</v>
      </c>
      <c r="C72" s="1341">
        <v>51385</v>
      </c>
      <c r="D72" s="1210">
        <v>0.18745234803354699</v>
      </c>
      <c r="E72" s="2529"/>
      <c r="F72" s="2961">
        <v>325508</v>
      </c>
      <c r="G72" s="1167">
        <v>284808</v>
      </c>
      <c r="H72" s="1269">
        <v>331600</v>
      </c>
      <c r="I72" s="1269">
        <v>300036</v>
      </c>
      <c r="J72" s="1245">
        <v>274123</v>
      </c>
      <c r="K72" s="1269">
        <v>322080</v>
      </c>
      <c r="L72" s="1269">
        <v>309442</v>
      </c>
      <c r="M72" s="1269">
        <v>191547</v>
      </c>
      <c r="N72" s="1245">
        <v>199808</v>
      </c>
      <c r="O72" s="1269">
        <v>271656</v>
      </c>
      <c r="P72" s="1269">
        <v>208108</v>
      </c>
      <c r="Q72" s="1269">
        <v>193602</v>
      </c>
      <c r="R72" s="1245">
        <v>204987</v>
      </c>
      <c r="S72" s="1269">
        <v>200912</v>
      </c>
      <c r="T72" s="1269">
        <v>181837</v>
      </c>
      <c r="U72" s="1269">
        <v>190602</v>
      </c>
      <c r="V72" s="1245">
        <v>214454</v>
      </c>
      <c r="W72" s="1269">
        <v>232465</v>
      </c>
      <c r="X72" s="1269">
        <v>166471</v>
      </c>
      <c r="Y72" s="1269">
        <v>236271</v>
      </c>
      <c r="Z72" s="1245">
        <v>245556</v>
      </c>
      <c r="AA72" s="1269">
        <v>253748</v>
      </c>
      <c r="AB72" s="1269">
        <v>230959</v>
      </c>
      <c r="AC72" s="1269">
        <v>183306</v>
      </c>
      <c r="AD72" s="1245">
        <v>187231</v>
      </c>
      <c r="AE72" s="1269">
        <v>217971</v>
      </c>
      <c r="AF72" s="1269">
        <v>230003</v>
      </c>
      <c r="AG72" s="1269">
        <v>186599</v>
      </c>
      <c r="AH72" s="1245">
        <v>162549</v>
      </c>
      <c r="AI72" s="1269">
        <v>177692</v>
      </c>
      <c r="AJ72" s="1269">
        <v>147889</v>
      </c>
      <c r="AK72" s="1269">
        <v>119500</v>
      </c>
      <c r="AL72" s="1245">
        <v>159783</v>
      </c>
      <c r="AM72" s="1269">
        <v>247595</v>
      </c>
      <c r="AN72" s="1269">
        <v>254834</v>
      </c>
      <c r="AO72" s="1269">
        <v>149285</v>
      </c>
      <c r="AP72" s="1245">
        <v>151917</v>
      </c>
      <c r="AQ72" s="2778">
        <v>143133</v>
      </c>
      <c r="AR72" s="1780">
        <v>173197</v>
      </c>
      <c r="AS72" s="1269">
        <v>123744</v>
      </c>
      <c r="AT72" s="1245">
        <v>137463</v>
      </c>
      <c r="AU72" s="1455">
        <v>106996</v>
      </c>
      <c r="AV72" s="1269">
        <v>87188</v>
      </c>
      <c r="AW72" s="1269">
        <v>110829</v>
      </c>
      <c r="AX72" s="1245">
        <v>172708</v>
      </c>
      <c r="AY72" s="1269">
        <v>143446</v>
      </c>
      <c r="AZ72" s="1269">
        <v>183354</v>
      </c>
      <c r="BA72" s="1269">
        <v>158869</v>
      </c>
      <c r="BB72" s="1780">
        <v>245870</v>
      </c>
      <c r="BC72" s="1265">
        <v>216443</v>
      </c>
      <c r="BD72" s="1245">
        <v>178313</v>
      </c>
      <c r="BE72" s="1245">
        <v>156031</v>
      </c>
      <c r="BF72" s="1780">
        <v>206127</v>
      </c>
      <c r="BG72" s="1265"/>
      <c r="BH72" s="2778">
        <v>1190567</v>
      </c>
      <c r="BI72" s="1455">
        <v>1022877</v>
      </c>
      <c r="BJ72" s="1455">
        <v>167690</v>
      </c>
      <c r="BK72" s="2816">
        <v>0.16393955480473213</v>
      </c>
      <c r="BL72" s="1271"/>
      <c r="BM72" s="2560">
        <v>1190567</v>
      </c>
      <c r="BN72" s="1265">
        <v>1022877</v>
      </c>
      <c r="BO72" s="1265">
        <v>878353</v>
      </c>
      <c r="BP72" s="2554">
        <v>787805</v>
      </c>
      <c r="BQ72" s="1265">
        <v>880763</v>
      </c>
      <c r="BR72" s="1265">
        <v>855244</v>
      </c>
      <c r="BS72" s="1264">
        <v>797122</v>
      </c>
      <c r="BT72" s="1264">
        <v>604864</v>
      </c>
      <c r="BU72" s="1273">
        <v>803631</v>
      </c>
      <c r="BV72" s="1273">
        <v>577537</v>
      </c>
      <c r="BW72" s="1249">
        <v>477721</v>
      </c>
      <c r="BX72" s="1261">
        <v>731539</v>
      </c>
      <c r="BY72" s="1033">
        <v>756914</v>
      </c>
      <c r="BZ72" s="1297">
        <v>583415</v>
      </c>
      <c r="CA72" s="1297">
        <v>432778</v>
      </c>
      <c r="CB72" s="1297">
        <v>402157</v>
      </c>
      <c r="CC72" s="1223"/>
      <c r="CD72" s="1184"/>
    </row>
    <row r="73" spans="1:82" ht="12.75" customHeight="1" x14ac:dyDescent="0.2">
      <c r="A73" s="1193"/>
      <c r="B73" s="946" t="s">
        <v>80</v>
      </c>
      <c r="C73" s="957">
        <v>42204</v>
      </c>
      <c r="D73" s="1035">
        <v>0.17242027339505012</v>
      </c>
      <c r="E73" s="2564"/>
      <c r="F73" s="2961">
        <v>286978</v>
      </c>
      <c r="G73" s="1167">
        <v>262587</v>
      </c>
      <c r="H73" s="1269">
        <v>285702</v>
      </c>
      <c r="I73" s="1269">
        <v>261918</v>
      </c>
      <c r="J73" s="1245">
        <v>244774</v>
      </c>
      <c r="K73" s="1269">
        <v>269914</v>
      </c>
      <c r="L73" s="1269">
        <v>259160</v>
      </c>
      <c r="M73" s="1269">
        <v>186152</v>
      </c>
      <c r="N73" s="1245">
        <v>197044</v>
      </c>
      <c r="O73" s="1269">
        <v>232161</v>
      </c>
      <c r="P73" s="1269">
        <v>200294</v>
      </c>
      <c r="Q73" s="1269">
        <v>190695</v>
      </c>
      <c r="R73" s="1245">
        <v>193946</v>
      </c>
      <c r="S73" s="1269">
        <v>204257</v>
      </c>
      <c r="T73" s="1269">
        <v>204249</v>
      </c>
      <c r="U73" s="1269">
        <v>186226</v>
      </c>
      <c r="V73" s="1245">
        <v>199130</v>
      </c>
      <c r="W73" s="1269">
        <v>220047</v>
      </c>
      <c r="X73" s="1269">
        <v>184112</v>
      </c>
      <c r="Y73" s="1269">
        <v>207395</v>
      </c>
      <c r="Z73" s="1245">
        <v>215904</v>
      </c>
      <c r="AA73" s="1269">
        <v>217779</v>
      </c>
      <c r="AB73" s="1269">
        <v>202914</v>
      </c>
      <c r="AC73" s="1269">
        <v>175367</v>
      </c>
      <c r="AD73" s="1245">
        <v>174527</v>
      </c>
      <c r="AE73" s="1269">
        <v>200481</v>
      </c>
      <c r="AF73" s="1269">
        <v>205025</v>
      </c>
      <c r="AG73" s="1269">
        <v>179710</v>
      </c>
      <c r="AH73" s="1245">
        <v>181677</v>
      </c>
      <c r="AI73" s="1269">
        <v>166505</v>
      </c>
      <c r="AJ73" s="1269">
        <v>132063</v>
      </c>
      <c r="AK73" s="1269">
        <v>122510</v>
      </c>
      <c r="AL73" s="1245">
        <v>143104</v>
      </c>
      <c r="AM73" s="1269">
        <v>188349</v>
      </c>
      <c r="AN73" s="1269">
        <v>190238</v>
      </c>
      <c r="AO73" s="1269">
        <v>132849</v>
      </c>
      <c r="AP73" s="1245">
        <v>131857</v>
      </c>
      <c r="AQ73" s="1198">
        <v>132658</v>
      </c>
      <c r="AR73" s="1245">
        <v>150887</v>
      </c>
      <c r="AS73" s="1269">
        <v>115883</v>
      </c>
      <c r="AT73" s="1245">
        <v>121468</v>
      </c>
      <c r="AU73" s="1269">
        <v>100169</v>
      </c>
      <c r="AV73" s="1269">
        <v>108534</v>
      </c>
      <c r="AW73" s="1269">
        <v>115805</v>
      </c>
      <c r="AX73" s="1245">
        <v>149179</v>
      </c>
      <c r="AY73" s="1269">
        <v>131632</v>
      </c>
      <c r="AZ73" s="1269">
        <v>154817</v>
      </c>
      <c r="BA73" s="1269">
        <v>135342</v>
      </c>
      <c r="BB73" s="1245">
        <v>187220</v>
      </c>
      <c r="BC73" s="1265">
        <v>176307</v>
      </c>
      <c r="BD73" s="1245">
        <v>144677</v>
      </c>
      <c r="BE73" s="1245">
        <v>130781</v>
      </c>
      <c r="BF73" s="1245">
        <v>166952</v>
      </c>
      <c r="BG73" s="1265"/>
      <c r="BH73" s="1198">
        <v>1054981</v>
      </c>
      <c r="BI73" s="1269">
        <v>912270</v>
      </c>
      <c r="BJ73" s="1269">
        <v>142711</v>
      </c>
      <c r="BK73" s="1064">
        <v>0.15643504664189331</v>
      </c>
      <c r="BL73" s="1271"/>
      <c r="BM73" s="1265">
        <v>1054981</v>
      </c>
      <c r="BN73" s="1265">
        <v>912270</v>
      </c>
      <c r="BO73" s="1265">
        <v>817096</v>
      </c>
      <c r="BP73" s="2554">
        <v>793862</v>
      </c>
      <c r="BQ73" s="1265">
        <v>827458</v>
      </c>
      <c r="BR73" s="1265">
        <v>770587</v>
      </c>
      <c r="BS73" s="1264">
        <v>766893</v>
      </c>
      <c r="BT73" s="1264">
        <v>564182</v>
      </c>
      <c r="BU73" s="1273">
        <v>643293</v>
      </c>
      <c r="BV73" s="1273">
        <v>520896</v>
      </c>
      <c r="BW73" s="1249">
        <v>473687</v>
      </c>
      <c r="BX73" s="1261">
        <v>609011</v>
      </c>
      <c r="BY73" s="1033">
        <v>618717</v>
      </c>
      <c r="BZ73" s="1033">
        <v>466018</v>
      </c>
      <c r="CA73" s="1033">
        <v>360022</v>
      </c>
      <c r="CB73" s="1033">
        <v>339600</v>
      </c>
      <c r="CC73" s="1223"/>
      <c r="CD73" s="1184"/>
    </row>
    <row r="74" spans="1:82" ht="12.75" customHeight="1" x14ac:dyDescent="0.2">
      <c r="A74" s="1193"/>
      <c r="B74" s="946" t="s">
        <v>213</v>
      </c>
      <c r="C74" s="957">
        <v>9181</v>
      </c>
      <c r="D74" s="1035">
        <v>0.31282156121162563</v>
      </c>
      <c r="E74" s="2564"/>
      <c r="F74" s="2010">
        <v>38530</v>
      </c>
      <c r="G74" s="1169">
        <v>22221</v>
      </c>
      <c r="H74" s="1269">
        <v>45898</v>
      </c>
      <c r="I74" s="1269">
        <v>38118</v>
      </c>
      <c r="J74" s="1245">
        <v>29349</v>
      </c>
      <c r="K74" s="1269">
        <v>52166</v>
      </c>
      <c r="L74" s="1269">
        <v>50282</v>
      </c>
      <c r="M74" s="1269">
        <v>5395</v>
      </c>
      <c r="N74" s="1245">
        <v>2764</v>
      </c>
      <c r="O74" s="1269">
        <v>39495</v>
      </c>
      <c r="P74" s="1269">
        <v>7814</v>
      </c>
      <c r="Q74" s="1269">
        <v>2907</v>
      </c>
      <c r="R74" s="1245">
        <v>11041</v>
      </c>
      <c r="S74" s="1269">
        <v>-3345</v>
      </c>
      <c r="T74" s="1269">
        <v>-22412</v>
      </c>
      <c r="U74" s="1269">
        <v>4376</v>
      </c>
      <c r="V74" s="1245">
        <v>15324</v>
      </c>
      <c r="W74" s="1269">
        <v>12418</v>
      </c>
      <c r="X74" s="1269">
        <v>-17641</v>
      </c>
      <c r="Y74" s="1269">
        <v>28876</v>
      </c>
      <c r="Z74" s="1245">
        <v>29652</v>
      </c>
      <c r="AA74" s="1269">
        <v>35969</v>
      </c>
      <c r="AB74" s="1269">
        <v>28045</v>
      </c>
      <c r="AC74" s="1269">
        <v>7939</v>
      </c>
      <c r="AD74" s="1245">
        <v>12704</v>
      </c>
      <c r="AE74" s="1269">
        <v>17490</v>
      </c>
      <c r="AF74" s="1269">
        <v>24978</v>
      </c>
      <c r="AG74" s="1269">
        <v>6889</v>
      </c>
      <c r="AH74" s="1245">
        <v>-19128</v>
      </c>
      <c r="AI74" s="1269">
        <v>11187</v>
      </c>
      <c r="AJ74" s="1269">
        <v>15826</v>
      </c>
      <c r="AK74" s="1269">
        <v>-3010</v>
      </c>
      <c r="AL74" s="1245">
        <v>16679</v>
      </c>
      <c r="AM74" s="1269">
        <v>59246</v>
      </c>
      <c r="AN74" s="1269">
        <v>64596</v>
      </c>
      <c r="AO74" s="1269">
        <v>16436</v>
      </c>
      <c r="AP74" s="1245">
        <v>20060</v>
      </c>
      <c r="AQ74" s="1198">
        <v>10475</v>
      </c>
      <c r="AR74" s="1245">
        <v>22310</v>
      </c>
      <c r="AS74" s="1269">
        <v>7861</v>
      </c>
      <c r="AT74" s="1245">
        <v>15995</v>
      </c>
      <c r="AU74" s="1269">
        <v>6827</v>
      </c>
      <c r="AV74" s="1269">
        <v>-21346</v>
      </c>
      <c r="AW74" s="1269">
        <v>-4976</v>
      </c>
      <c r="AX74" s="1245">
        <v>23529</v>
      </c>
      <c r="AY74" s="1269">
        <v>11814</v>
      </c>
      <c r="AZ74" s="1269">
        <v>28537</v>
      </c>
      <c r="BA74" s="1269">
        <v>23527</v>
      </c>
      <c r="BB74" s="1245">
        <v>58650</v>
      </c>
      <c r="BC74" s="1265">
        <v>40136</v>
      </c>
      <c r="BD74" s="1245">
        <v>33636</v>
      </c>
      <c r="BE74" s="1245">
        <v>25250</v>
      </c>
      <c r="BF74" s="1245">
        <v>39175</v>
      </c>
      <c r="BG74" s="1265"/>
      <c r="BH74" s="1198">
        <v>135586</v>
      </c>
      <c r="BI74" s="1269">
        <v>110607</v>
      </c>
      <c r="BJ74" s="1269">
        <v>24979</v>
      </c>
      <c r="BK74" s="2794">
        <v>0.22583561619065701</v>
      </c>
      <c r="BL74" s="1271"/>
      <c r="BM74" s="1265">
        <v>135586</v>
      </c>
      <c r="BN74" s="1265">
        <v>110607</v>
      </c>
      <c r="BO74" s="1265">
        <v>61257</v>
      </c>
      <c r="BP74" s="2554">
        <v>-6057</v>
      </c>
      <c r="BQ74" s="1265">
        <v>53305</v>
      </c>
      <c r="BR74" s="1265">
        <v>84657</v>
      </c>
      <c r="BS74" s="1264">
        <v>30229</v>
      </c>
      <c r="BT74" s="1264">
        <v>40682</v>
      </c>
      <c r="BU74" s="1273">
        <v>160338</v>
      </c>
      <c r="BV74" s="1273">
        <v>56641</v>
      </c>
      <c r="BW74" s="1249">
        <v>4034</v>
      </c>
      <c r="BX74" s="1261">
        <v>122528</v>
      </c>
      <c r="BY74" s="1033">
        <v>138197</v>
      </c>
      <c r="BZ74" s="1033">
        <v>117397</v>
      </c>
      <c r="CA74" s="1033">
        <v>72756</v>
      </c>
      <c r="CB74" s="1033">
        <v>62557</v>
      </c>
      <c r="CC74" s="1223"/>
      <c r="CD74" s="1184"/>
    </row>
    <row r="75" spans="1:82" ht="12.75" customHeight="1" x14ac:dyDescent="0.2">
      <c r="A75" s="1193"/>
      <c r="B75" s="946" t="s">
        <v>7</v>
      </c>
      <c r="C75" s="957">
        <v>5619</v>
      </c>
      <c r="D75" s="1035">
        <v>0.22444577591372078</v>
      </c>
      <c r="E75" s="2564"/>
      <c r="F75" s="2010">
        <v>30654</v>
      </c>
      <c r="G75" s="1169">
        <v>16610</v>
      </c>
      <c r="H75" s="1269">
        <v>36843</v>
      </c>
      <c r="I75" s="1269">
        <v>28867</v>
      </c>
      <c r="J75" s="1245">
        <v>25035</v>
      </c>
      <c r="K75" s="1269">
        <v>37312</v>
      </c>
      <c r="L75" s="1269">
        <v>39182</v>
      </c>
      <c r="M75" s="1269">
        <v>3548</v>
      </c>
      <c r="N75" s="1245">
        <v>1615</v>
      </c>
      <c r="O75" s="1269">
        <v>32740</v>
      </c>
      <c r="P75" s="1269">
        <v>6309</v>
      </c>
      <c r="Q75" s="1269">
        <v>2008</v>
      </c>
      <c r="R75" s="1245">
        <v>8139</v>
      </c>
      <c r="S75" s="1269">
        <v>-2113</v>
      </c>
      <c r="T75" s="1269">
        <v>-19144</v>
      </c>
      <c r="U75" s="1269">
        <v>1943</v>
      </c>
      <c r="V75" s="1245">
        <v>13319</v>
      </c>
      <c r="W75" s="1269">
        <v>8820</v>
      </c>
      <c r="X75" s="1269">
        <v>-14253</v>
      </c>
      <c r="Y75" s="1269">
        <v>20746</v>
      </c>
      <c r="Z75" s="1245">
        <v>24017</v>
      </c>
      <c r="AA75" s="1269">
        <v>29075</v>
      </c>
      <c r="AB75" s="1269">
        <v>21227</v>
      </c>
      <c r="AC75" s="1269">
        <v>6734</v>
      </c>
      <c r="AD75" s="1245">
        <v>11810</v>
      </c>
      <c r="AE75" s="1269">
        <v>15579</v>
      </c>
      <c r="AF75" s="1269">
        <v>20453</v>
      </c>
      <c r="AG75" s="1269">
        <v>5907</v>
      </c>
      <c r="AH75" s="1245">
        <v>-16295</v>
      </c>
      <c r="AI75" s="1198">
        <v>2089</v>
      </c>
      <c r="AJ75" s="1269">
        <v>10644</v>
      </c>
      <c r="AK75" s="1269">
        <v>-1665</v>
      </c>
      <c r="AL75" s="1245">
        <v>14125</v>
      </c>
      <c r="AM75" s="1198">
        <v>42253</v>
      </c>
      <c r="AN75" s="1269">
        <v>45604</v>
      </c>
      <c r="AO75" s="1269">
        <v>12078</v>
      </c>
      <c r="AP75" s="1245">
        <v>14191.4503</v>
      </c>
      <c r="AQ75" s="1198">
        <v>11072</v>
      </c>
      <c r="AR75" s="1245">
        <v>15113</v>
      </c>
      <c r="AS75" s="1269">
        <v>6746</v>
      </c>
      <c r="AT75" s="1253">
        <v>9112</v>
      </c>
      <c r="AU75" s="1304">
        <v>3764</v>
      </c>
      <c r="AV75" s="1304">
        <v>-16242</v>
      </c>
      <c r="AW75" s="1304">
        <v>-5398</v>
      </c>
      <c r="AX75" s="1253">
        <v>16459</v>
      </c>
      <c r="AY75" s="1304">
        <v>7174.52</v>
      </c>
      <c r="AZ75" s="1304">
        <v>17832.934000000001</v>
      </c>
      <c r="BA75" s="1304">
        <v>15309.940999999999</v>
      </c>
      <c r="BB75" s="1253">
        <v>39029</v>
      </c>
      <c r="BC75" s="1274">
        <v>26016</v>
      </c>
      <c r="BD75" s="1253">
        <v>23692</v>
      </c>
      <c r="BE75" s="1253">
        <v>17806</v>
      </c>
      <c r="BF75" s="1253">
        <v>25942</v>
      </c>
      <c r="BG75" s="1265"/>
      <c r="BH75" s="1198">
        <v>107355</v>
      </c>
      <c r="BI75" s="1269">
        <v>81657</v>
      </c>
      <c r="BJ75" s="1269">
        <v>25698</v>
      </c>
      <c r="BK75" s="2794">
        <v>0.31470663874499433</v>
      </c>
      <c r="BL75" s="1271"/>
      <c r="BM75" s="1265">
        <v>107355</v>
      </c>
      <c r="BN75" s="1265">
        <v>81657</v>
      </c>
      <c r="BO75" s="1265">
        <v>49196</v>
      </c>
      <c r="BP75" s="2554">
        <v>-5995</v>
      </c>
      <c r="BQ75" s="1265">
        <v>39330</v>
      </c>
      <c r="BR75" s="1265">
        <v>68846</v>
      </c>
      <c r="BS75" s="1264">
        <v>25644</v>
      </c>
      <c r="BT75" s="1264">
        <v>25193</v>
      </c>
      <c r="BU75" s="1273">
        <v>114126.4503</v>
      </c>
      <c r="BV75" s="1273">
        <v>42043</v>
      </c>
      <c r="BW75" s="1249">
        <v>-1417</v>
      </c>
      <c r="BX75" s="1261">
        <v>79346.395000000004</v>
      </c>
      <c r="BY75" s="1033">
        <v>93256</v>
      </c>
      <c r="BZ75" s="1275">
        <v>79517</v>
      </c>
      <c r="CA75" s="1275">
        <v>48579</v>
      </c>
      <c r="CB75" s="1275">
        <v>40429</v>
      </c>
      <c r="CC75" s="1183"/>
      <c r="CD75" s="1183"/>
    </row>
    <row r="76" spans="1:82" ht="12.75" customHeight="1" x14ac:dyDescent="0.2">
      <c r="A76" s="946"/>
      <c r="B76" s="946" t="s">
        <v>343</v>
      </c>
      <c r="C76" s="957">
        <v>6567</v>
      </c>
      <c r="D76" s="1035">
        <v>0.27360219981668193</v>
      </c>
      <c r="E76" s="2853"/>
      <c r="F76" s="2940">
        <v>30569</v>
      </c>
      <c r="G76" s="898">
        <v>16817</v>
      </c>
      <c r="H76" s="1116">
        <v>36842</v>
      </c>
      <c r="I76" s="1116">
        <v>28642</v>
      </c>
      <c r="J76" s="1117">
        <v>24002</v>
      </c>
      <c r="K76" s="1116">
        <v>35354</v>
      </c>
      <c r="L76" s="1269">
        <v>37016</v>
      </c>
      <c r="M76" s="1116">
        <v>3321</v>
      </c>
      <c r="N76" s="1117">
        <v>1913</v>
      </c>
      <c r="O76" s="1116">
        <v>30639</v>
      </c>
      <c r="P76" s="1269">
        <v>5446.5</v>
      </c>
      <c r="Q76" s="1116">
        <v>518.28</v>
      </c>
      <c r="R76" s="1117">
        <v>7299.08</v>
      </c>
      <c r="S76" s="1116">
        <v>-2106.92</v>
      </c>
      <c r="T76" s="1116">
        <v>-19229.559999999998</v>
      </c>
      <c r="U76" s="1116">
        <v>2187</v>
      </c>
      <c r="V76" s="1117">
        <v>12529</v>
      </c>
      <c r="W76" s="1116">
        <v>7899.85</v>
      </c>
      <c r="X76" s="1116">
        <v>-14400.4</v>
      </c>
      <c r="Y76" s="1116">
        <v>19986.2</v>
      </c>
      <c r="Z76" s="1117">
        <v>22962.3</v>
      </c>
      <c r="AA76" s="1116">
        <v>28636.65</v>
      </c>
      <c r="AB76" s="1116">
        <v>19967.95</v>
      </c>
      <c r="AC76" s="1116">
        <v>6192.3</v>
      </c>
      <c r="AD76" s="1117">
        <v>12413.9</v>
      </c>
      <c r="AE76" s="1116">
        <v>15657.05</v>
      </c>
      <c r="AF76" s="1116">
        <v>20745.599999999999</v>
      </c>
      <c r="AG76" s="1116">
        <v>5864</v>
      </c>
      <c r="AH76" s="1117">
        <v>-16059.3</v>
      </c>
      <c r="AI76" s="1116">
        <v>2306.1</v>
      </c>
      <c r="AJ76" s="1116">
        <v>10825.125</v>
      </c>
      <c r="AK76" s="1116">
        <v>-1665</v>
      </c>
      <c r="AL76" s="1117">
        <v>14125</v>
      </c>
      <c r="AM76" s="1116">
        <v>42253</v>
      </c>
      <c r="AN76" s="1116">
        <v>45604</v>
      </c>
      <c r="AO76" s="1116">
        <v>12078</v>
      </c>
      <c r="AP76" s="1117">
        <v>14191.4503</v>
      </c>
      <c r="AQ76" s="1116">
        <v>11072</v>
      </c>
      <c r="AR76" s="1116">
        <v>15113</v>
      </c>
      <c r="AS76" s="1116"/>
      <c r="AT76" s="1117"/>
      <c r="AU76" s="1116"/>
      <c r="AV76" s="1116"/>
      <c r="AW76" s="1116"/>
      <c r="AX76" s="1117"/>
      <c r="AY76" s="1116"/>
      <c r="AZ76" s="1116"/>
      <c r="BA76" s="1116"/>
      <c r="BB76" s="1116"/>
      <c r="BC76" s="2554"/>
      <c r="BD76" s="1117"/>
      <c r="BE76" s="1117"/>
      <c r="BF76" s="1117"/>
      <c r="BG76" s="2554"/>
      <c r="BH76" s="1198">
        <v>106303</v>
      </c>
      <c r="BI76" s="1269">
        <v>77604</v>
      </c>
      <c r="BJ76" s="1116">
        <v>28699</v>
      </c>
      <c r="BK76" s="2794">
        <v>0.3698134116798103</v>
      </c>
      <c r="BL76" s="1116"/>
      <c r="BM76" s="1265">
        <v>106303</v>
      </c>
      <c r="BN76" s="1265">
        <v>77604</v>
      </c>
      <c r="BO76" s="1265">
        <v>43902.86</v>
      </c>
      <c r="BP76" s="2554">
        <v>-6620.4799999999959</v>
      </c>
      <c r="BQ76" s="2554">
        <v>36447.949999999997</v>
      </c>
      <c r="BR76" s="2554">
        <v>67210.8</v>
      </c>
      <c r="BS76" s="1000">
        <v>26207.349999999995</v>
      </c>
      <c r="BT76" s="1000">
        <v>25591.224999999999</v>
      </c>
      <c r="BU76" s="1000">
        <v>114126.4503</v>
      </c>
      <c r="BV76" s="1000">
        <v>42043</v>
      </c>
      <c r="BW76" s="2554">
        <v>-1417</v>
      </c>
      <c r="BX76" s="1000">
        <v>79346.395000000004</v>
      </c>
      <c r="BY76" s="1000">
        <v>93256</v>
      </c>
      <c r="BZ76" s="1000"/>
      <c r="CA76" s="1000"/>
      <c r="CB76" s="1000"/>
      <c r="CC76" s="1183"/>
      <c r="CD76" s="1183"/>
    </row>
    <row r="77" spans="1:82" ht="12.75" customHeight="1" x14ac:dyDescent="0.2">
      <c r="A77" s="1193"/>
      <c r="B77" s="946" t="s">
        <v>347</v>
      </c>
      <c r="C77" s="1191">
        <v>6567</v>
      </c>
      <c r="D77" s="1192">
        <v>0.30331162532908412</v>
      </c>
      <c r="E77" s="2564"/>
      <c r="F77" s="2962">
        <v>28218</v>
      </c>
      <c r="G77" s="1181">
        <v>14466</v>
      </c>
      <c r="H77" s="1304">
        <v>34491</v>
      </c>
      <c r="I77" s="1304">
        <v>26291</v>
      </c>
      <c r="J77" s="1253">
        <v>21651</v>
      </c>
      <c r="K77" s="1304">
        <v>33003</v>
      </c>
      <c r="L77" s="1304">
        <v>34665</v>
      </c>
      <c r="M77" s="1304">
        <v>970</v>
      </c>
      <c r="N77" s="1253">
        <v>-627</v>
      </c>
      <c r="O77" s="1304">
        <v>28099</v>
      </c>
      <c r="P77" s="1304">
        <v>2906.5</v>
      </c>
      <c r="Q77" s="1304">
        <v>-2480.7200000000003</v>
      </c>
      <c r="R77" s="1253">
        <v>4300.08</v>
      </c>
      <c r="S77" s="1304">
        <v>-5104.92</v>
      </c>
      <c r="T77" s="1304">
        <v>-22227.559999999998</v>
      </c>
      <c r="U77" s="1304">
        <v>-811</v>
      </c>
      <c r="V77" s="1253">
        <v>9531</v>
      </c>
      <c r="W77" s="1304">
        <v>4901.8500000000004</v>
      </c>
      <c r="X77" s="1304">
        <v>-17360.400000000001</v>
      </c>
      <c r="Y77" s="1304">
        <v>17065.2</v>
      </c>
      <c r="Z77" s="1253">
        <v>19964.3</v>
      </c>
      <c r="AA77" s="1304">
        <v>25676.65</v>
      </c>
      <c r="AB77" s="1304">
        <v>17046.95</v>
      </c>
      <c r="AC77" s="1304">
        <v>3271.3</v>
      </c>
      <c r="AD77" s="1253">
        <v>9453.9</v>
      </c>
      <c r="AE77" s="1304">
        <v>12770.05</v>
      </c>
      <c r="AF77" s="1304">
        <v>17747.599999999999</v>
      </c>
      <c r="AG77" s="1304">
        <v>2866</v>
      </c>
      <c r="AH77" s="1253">
        <v>-18896.3</v>
      </c>
      <c r="AI77" s="1307">
        <v>1199.0999999999999</v>
      </c>
      <c r="AJ77" s="1304">
        <v>9007.125</v>
      </c>
      <c r="AK77" s="1304">
        <v>-3465</v>
      </c>
      <c r="AL77" s="1253">
        <v>14035</v>
      </c>
      <c r="AM77" s="1307">
        <v>42253</v>
      </c>
      <c r="AN77" s="1304">
        <v>45604</v>
      </c>
      <c r="AO77" s="1304">
        <v>12078</v>
      </c>
      <c r="AP77" s="1253">
        <v>14191.4503</v>
      </c>
      <c r="AQ77" s="1274">
        <v>11072</v>
      </c>
      <c r="AR77" s="1253">
        <v>15113</v>
      </c>
      <c r="AS77" s="1253">
        <v>6746</v>
      </c>
      <c r="AT77" s="1269"/>
      <c r="AU77" s="1269"/>
      <c r="AV77" s="1269"/>
      <c r="AW77" s="1269"/>
      <c r="AX77" s="1269"/>
      <c r="AY77" s="1269"/>
      <c r="AZ77" s="1269"/>
      <c r="BA77" s="1269"/>
      <c r="BB77" s="1269"/>
      <c r="BC77" s="1269"/>
      <c r="BD77" s="1269"/>
      <c r="BE77" s="1269"/>
      <c r="BF77" s="1269"/>
      <c r="BG77" s="1265"/>
      <c r="BH77" s="1307">
        <v>96899</v>
      </c>
      <c r="BI77" s="1304">
        <v>68011</v>
      </c>
      <c r="BJ77" s="1304">
        <v>28888</v>
      </c>
      <c r="BK77" s="2817">
        <v>0.42475481907338519</v>
      </c>
      <c r="BL77" s="1271"/>
      <c r="BM77" s="1274">
        <v>96899</v>
      </c>
      <c r="BN77" s="1274">
        <v>68011</v>
      </c>
      <c r="BO77" s="1274">
        <v>32824.86</v>
      </c>
      <c r="BP77" s="2788">
        <v>-18612.479999999996</v>
      </c>
      <c r="BQ77" s="1274">
        <v>24570.949999999997</v>
      </c>
      <c r="BR77" s="1274">
        <v>55448.80000000001</v>
      </c>
      <c r="BS77" s="1306">
        <v>14487.349999999995</v>
      </c>
      <c r="BT77" s="1306">
        <v>20776.224999999999</v>
      </c>
      <c r="BU77" s="1306">
        <v>114126.4503</v>
      </c>
      <c r="BV77" s="1306">
        <v>42043</v>
      </c>
      <c r="BW77" s="1274">
        <v>-1417</v>
      </c>
      <c r="BX77" s="1306">
        <v>79346.395000000004</v>
      </c>
      <c r="BY77" s="1306">
        <v>93256</v>
      </c>
      <c r="BZ77" s="1006"/>
      <c r="CA77" s="1006"/>
      <c r="CB77" s="1006"/>
      <c r="CC77" s="1183"/>
      <c r="CD77" s="1183"/>
    </row>
    <row r="78" spans="1:82" ht="12.75" customHeight="1" x14ac:dyDescent="0.2">
      <c r="A78" s="1193"/>
      <c r="B78" s="946"/>
      <c r="C78" s="1007"/>
      <c r="D78" s="959"/>
      <c r="E78" s="929"/>
      <c r="F78" s="929"/>
      <c r="G78" s="929"/>
      <c r="H78" s="959"/>
      <c r="I78" s="959"/>
      <c r="J78" s="946"/>
      <c r="K78" s="959"/>
      <c r="L78" s="959"/>
      <c r="M78" s="959"/>
      <c r="N78" s="946"/>
      <c r="O78" s="959"/>
      <c r="P78" s="959"/>
      <c r="Q78" s="959"/>
      <c r="R78" s="946"/>
      <c r="S78" s="959"/>
      <c r="T78" s="959"/>
      <c r="U78" s="959"/>
      <c r="V78" s="946"/>
      <c r="W78" s="959"/>
      <c r="X78" s="959"/>
      <c r="Y78" s="959"/>
      <c r="Z78" s="946"/>
      <c r="AA78" s="959"/>
      <c r="AB78" s="959"/>
      <c r="AC78" s="959"/>
      <c r="AD78" s="946"/>
      <c r="AE78" s="959"/>
      <c r="AF78" s="959"/>
      <c r="AG78" s="959"/>
      <c r="AH78" s="946"/>
      <c r="AI78" s="959"/>
      <c r="AJ78" s="959"/>
      <c r="AK78" s="959"/>
      <c r="AL78" s="946"/>
      <c r="AM78" s="959"/>
      <c r="AN78" s="959"/>
      <c r="AO78" s="959"/>
      <c r="AP78" s="946"/>
      <c r="AQ78" s="959"/>
      <c r="AR78" s="959"/>
      <c r="AS78" s="959"/>
      <c r="AT78" s="946"/>
      <c r="AU78" s="959"/>
      <c r="AV78" s="959"/>
      <c r="AW78" s="959"/>
      <c r="AX78" s="946"/>
      <c r="AY78" s="1007"/>
      <c r="AZ78" s="1007"/>
      <c r="BA78" s="1007"/>
      <c r="BB78" s="1007"/>
      <c r="BC78" s="1007"/>
      <c r="BD78" s="1007"/>
      <c r="BE78" s="1007"/>
      <c r="BF78" s="1007"/>
      <c r="BG78" s="946"/>
      <c r="BH78" s="946"/>
      <c r="BI78" s="946"/>
      <c r="BJ78" s="1007"/>
      <c r="BK78" s="959"/>
      <c r="BL78" s="946"/>
      <c r="BM78" s="946"/>
      <c r="BN78" s="946"/>
      <c r="BO78" s="946"/>
      <c r="BP78" s="946"/>
      <c r="BQ78" s="946"/>
      <c r="BR78" s="946"/>
      <c r="BS78" s="946"/>
      <c r="BT78" s="946"/>
      <c r="BU78" s="1208"/>
      <c r="BV78" s="1208"/>
      <c r="BW78" s="1208"/>
      <c r="BX78" s="1007"/>
      <c r="BY78" s="1007"/>
      <c r="BZ78" s="1006"/>
      <c r="CA78" s="1006"/>
      <c r="CB78" s="1006"/>
      <c r="CC78" s="1183"/>
      <c r="CD78" s="1183"/>
    </row>
    <row r="79" spans="1:82" ht="12.75" customHeight="1" x14ac:dyDescent="0.2">
      <c r="A79" s="1193"/>
      <c r="B79" s="946" t="s">
        <v>718</v>
      </c>
      <c r="C79" s="1202">
        <v>-0.80013744837729162</v>
      </c>
      <c r="D79" s="959"/>
      <c r="E79" s="929"/>
      <c r="F79" s="929">
        <v>0.59878098234144783</v>
      </c>
      <c r="G79" s="929">
        <v>0.61536895031038452</v>
      </c>
      <c r="H79" s="959">
        <v>0.59088962605548856</v>
      </c>
      <c r="I79" s="959">
        <v>0.59689837219533659</v>
      </c>
      <c r="J79" s="959">
        <v>0.60678235682522075</v>
      </c>
      <c r="K79" s="959">
        <v>0.58693492300049677</v>
      </c>
      <c r="L79" s="959">
        <v>0.59839323685860357</v>
      </c>
      <c r="M79" s="959">
        <v>0.64179548622531279</v>
      </c>
      <c r="N79" s="959">
        <v>0.64417340647021137</v>
      </c>
      <c r="O79" s="959">
        <v>0.58343640486497628</v>
      </c>
      <c r="P79" s="959">
        <v>0.61508928056585999</v>
      </c>
      <c r="Q79" s="959">
        <v>0.64417206433817831</v>
      </c>
      <c r="R79" s="959">
        <v>0.62801435638762249</v>
      </c>
      <c r="S79" s="959">
        <v>0.68347833877518516</v>
      </c>
      <c r="T79" s="959"/>
      <c r="U79" s="959"/>
      <c r="V79" s="946"/>
      <c r="W79" s="959"/>
      <c r="X79" s="959"/>
      <c r="Y79" s="959"/>
      <c r="Z79" s="946"/>
      <c r="AA79" s="959"/>
      <c r="AB79" s="959"/>
      <c r="AC79" s="959"/>
      <c r="AD79" s="946"/>
      <c r="AE79" s="959"/>
      <c r="AF79" s="959"/>
      <c r="AG79" s="959"/>
      <c r="AH79" s="946"/>
      <c r="AI79" s="959"/>
      <c r="AJ79" s="959"/>
      <c r="AK79" s="959"/>
      <c r="AL79" s="946"/>
      <c r="AM79" s="959"/>
      <c r="AN79" s="959"/>
      <c r="AO79" s="959"/>
      <c r="AP79" s="946"/>
      <c r="AQ79" s="959"/>
      <c r="AR79" s="959"/>
      <c r="AS79" s="959"/>
      <c r="AT79" s="946"/>
      <c r="AU79" s="959"/>
      <c r="AV79" s="959"/>
      <c r="AW79" s="959"/>
      <c r="AX79" s="946"/>
      <c r="AY79" s="1007"/>
      <c r="AZ79" s="1007"/>
      <c r="BA79" s="1007"/>
      <c r="BB79" s="1007"/>
      <c r="BC79" s="1007"/>
      <c r="BD79" s="1007"/>
      <c r="BE79" s="1007"/>
      <c r="BF79" s="1007"/>
      <c r="BG79" s="946"/>
      <c r="BH79" s="959">
        <v>0.60191908561214946</v>
      </c>
      <c r="BI79" s="959">
        <v>0.61185557989865835</v>
      </c>
      <c r="BJ79" s="1202">
        <v>-0.99364942865088901</v>
      </c>
      <c r="BK79" s="959"/>
      <c r="BL79" s="946"/>
      <c r="BM79" s="959">
        <v>0.60191908561214946</v>
      </c>
      <c r="BN79" s="959">
        <v>0.61185557989865835</v>
      </c>
      <c r="BO79" s="959">
        <v>0.61474442496469772</v>
      </c>
      <c r="BP79" s="959">
        <v>0.64845615348975949</v>
      </c>
      <c r="BQ79" s="959">
        <v>0.61452399794269286</v>
      </c>
      <c r="BR79" s="959">
        <v>0.58980127308697872</v>
      </c>
      <c r="BS79" s="946"/>
      <c r="BT79" s="946"/>
      <c r="BU79" s="1208"/>
      <c r="BV79" s="1208"/>
      <c r="BW79" s="1208"/>
      <c r="BX79" s="1007"/>
      <c r="BY79" s="1007"/>
      <c r="BZ79" s="1006"/>
      <c r="CA79" s="1006"/>
      <c r="CB79" s="1006"/>
      <c r="CC79" s="1183"/>
      <c r="CD79" s="1183"/>
    </row>
    <row r="80" spans="1:82" ht="12.75" customHeight="1" x14ac:dyDescent="0.2">
      <c r="A80" s="1193"/>
      <c r="B80" s="1204" t="s">
        <v>75</v>
      </c>
      <c r="C80" s="1202">
        <v>-0.33023754626598234</v>
      </c>
      <c r="D80" s="959"/>
      <c r="E80" s="929"/>
      <c r="F80" s="929">
        <v>0.28285019108593334</v>
      </c>
      <c r="G80" s="929">
        <v>0.3066100671329457</v>
      </c>
      <c r="H80" s="959">
        <v>0.2706966224366707</v>
      </c>
      <c r="I80" s="959">
        <v>0.27605687317521899</v>
      </c>
      <c r="J80" s="1874">
        <v>0.28615256654859317</v>
      </c>
      <c r="K80" s="959">
        <v>0.25109910581222056</v>
      </c>
      <c r="L80" s="959">
        <v>0.23911427666574026</v>
      </c>
      <c r="M80" s="959">
        <v>0.3300391026745394</v>
      </c>
      <c r="N80" s="1874">
        <v>0.34199331358103779</v>
      </c>
      <c r="O80" s="959">
        <v>0.27117751862649819</v>
      </c>
      <c r="P80" s="959">
        <v>0.34736290772099104</v>
      </c>
      <c r="Q80" s="959">
        <v>0.34081259491120958</v>
      </c>
      <c r="R80" s="959">
        <v>0.31264914152682122</v>
      </c>
      <c r="S80" s="959">
        <v>0.33317074141912878</v>
      </c>
      <c r="T80" s="959">
        <v>0.41227033002084285</v>
      </c>
      <c r="U80" s="959">
        <v>0.37268758984690614</v>
      </c>
      <c r="V80" s="959">
        <v>0.32671808406464792</v>
      </c>
      <c r="W80" s="959">
        <v>0.30522014066633685</v>
      </c>
      <c r="X80" s="959">
        <v>0.45943737948351365</v>
      </c>
      <c r="Y80" s="959">
        <v>0.28669620901422521</v>
      </c>
      <c r="Z80" s="959">
        <v>0.28927820945120464</v>
      </c>
      <c r="AA80" s="959">
        <v>0.2681163989469868</v>
      </c>
      <c r="AB80" s="959">
        <v>0.28873955983529542</v>
      </c>
      <c r="AC80" s="959">
        <v>0.36196305631021353</v>
      </c>
      <c r="AD80" s="959">
        <v>0.34765610395714386</v>
      </c>
      <c r="AE80" s="959">
        <v>0.29526404888723728</v>
      </c>
      <c r="AF80" s="959">
        <v>0.30350038912535926</v>
      </c>
      <c r="AG80" s="959">
        <v>0.34179711574017008</v>
      </c>
      <c r="AH80" s="959">
        <v>0.45342019944755119</v>
      </c>
      <c r="AI80" s="959">
        <v>0.29955766157170832</v>
      </c>
      <c r="AJ80" s="959">
        <v>0.31942199893163115</v>
      </c>
      <c r="AK80" s="959">
        <v>0.38919665271966525</v>
      </c>
      <c r="AL80" s="959">
        <v>0.30274184362541695</v>
      </c>
      <c r="AM80" s="959">
        <v>0.20768997758436156</v>
      </c>
      <c r="AN80" s="959">
        <v>0.19172873321456321</v>
      </c>
      <c r="AO80" s="959">
        <v>0.3080617610610577</v>
      </c>
      <c r="AP80" s="959">
        <v>0.28670918988658278</v>
      </c>
      <c r="AQ80" s="959">
        <v>0.30174732591366071</v>
      </c>
      <c r="AR80" s="959">
        <v>0.24290259069152467</v>
      </c>
      <c r="AS80" s="959">
        <v>0.30655223687613137</v>
      </c>
      <c r="AT80" s="959">
        <v>0.28518946916624838</v>
      </c>
      <c r="AU80" s="959">
        <v>0.38178997345695165</v>
      </c>
      <c r="AV80" s="959">
        <v>0.60120658806257743</v>
      </c>
      <c r="AW80" s="1080">
        <v>0.45685695982098551</v>
      </c>
      <c r="AX80" s="959">
        <v>0.29534821780114412</v>
      </c>
      <c r="AY80" s="959">
        <v>0.37250951577597147</v>
      </c>
      <c r="AZ80" s="959">
        <v>0.28022841061553061</v>
      </c>
      <c r="BA80" s="959">
        <v>0.32276277939686154</v>
      </c>
      <c r="BB80" s="959">
        <v>0.20899999999999996</v>
      </c>
      <c r="BC80" s="959">
        <v>0.23099999999999998</v>
      </c>
      <c r="BD80" s="959">
        <v>0.24400000000000011</v>
      </c>
      <c r="BE80" s="959">
        <v>0.28899999999999992</v>
      </c>
      <c r="BF80" s="959">
        <v>0.24</v>
      </c>
      <c r="BG80" s="946"/>
      <c r="BH80" s="959">
        <v>0.28419736142527047</v>
      </c>
      <c r="BI80" s="959">
        <v>0.28001118414041964</v>
      </c>
      <c r="BJ80" s="1202">
        <v>0.41861772848508227</v>
      </c>
      <c r="BK80" s="959"/>
      <c r="BL80" s="946"/>
      <c r="BM80" s="959">
        <v>0.28419736142527047</v>
      </c>
      <c r="BN80" s="959">
        <v>0.28001118414041964</v>
      </c>
      <c r="BO80" s="959">
        <v>0.31425303508855706</v>
      </c>
      <c r="BP80" s="959">
        <v>0.3592322973324617</v>
      </c>
      <c r="BQ80" s="959">
        <v>0.32495461321604108</v>
      </c>
      <c r="BR80" s="959">
        <v>0.31121294040063419</v>
      </c>
      <c r="BS80" s="959">
        <v>0.34078472304114049</v>
      </c>
      <c r="BT80" s="959">
        <v>0.3229651624166755</v>
      </c>
      <c r="BU80" s="959">
        <v>0.23621164439898412</v>
      </c>
      <c r="BV80" s="959">
        <v>0.28118891084034442</v>
      </c>
      <c r="BW80" s="959">
        <v>0.40799964833030156</v>
      </c>
      <c r="BX80" s="959">
        <v>0.28383722535640615</v>
      </c>
      <c r="BY80" s="959">
        <v>0.248</v>
      </c>
      <c r="BZ80" s="1036">
        <v>0.21100000000000008</v>
      </c>
      <c r="CA80" s="1036">
        <v>0.21699999999999997</v>
      </c>
      <c r="CB80" s="1036">
        <v>0.20799999999999996</v>
      </c>
      <c r="CC80" s="1183"/>
      <c r="CD80" s="1183"/>
    </row>
    <row r="81" spans="1:82" ht="12.75" customHeight="1" x14ac:dyDescent="0.2">
      <c r="A81" s="1193"/>
      <c r="B81" s="1204" t="s">
        <v>76</v>
      </c>
      <c r="C81" s="1202">
        <v>-1.1303749946432795</v>
      </c>
      <c r="D81" s="959"/>
      <c r="E81" s="929"/>
      <c r="F81" s="929">
        <v>0.88163117342738118</v>
      </c>
      <c r="G81" s="929">
        <v>0.92197901744333022</v>
      </c>
      <c r="H81" s="959">
        <v>0.86158624849215926</v>
      </c>
      <c r="I81" s="959">
        <v>0.87295524537055558</v>
      </c>
      <c r="J81" s="1874">
        <v>0.89293492337381397</v>
      </c>
      <c r="K81" s="959">
        <v>0.83803402881271738</v>
      </c>
      <c r="L81" s="959">
        <v>0.83750751352434383</v>
      </c>
      <c r="M81" s="959">
        <v>0.9718345888998523</v>
      </c>
      <c r="N81" s="1874">
        <v>0.98616672005124917</v>
      </c>
      <c r="O81" s="959">
        <v>0.85461392349147447</v>
      </c>
      <c r="P81" s="959">
        <v>0.96245218828685108</v>
      </c>
      <c r="Q81" s="959">
        <v>0.98498465924938794</v>
      </c>
      <c r="R81" s="959">
        <v>0.94613804777863963</v>
      </c>
      <c r="S81" s="959">
        <v>1.016649080194314</v>
      </c>
      <c r="T81" s="959">
        <v>1.1232532432893196</v>
      </c>
      <c r="U81" s="959">
        <v>0.97704116431097265</v>
      </c>
      <c r="V81" s="959">
        <v>0.92854411668702841</v>
      </c>
      <c r="W81" s="959">
        <v>0.94658120577291205</v>
      </c>
      <c r="X81" s="959">
        <v>1.1059704092604719</v>
      </c>
      <c r="Y81" s="959">
        <v>0.87778440858167106</v>
      </c>
      <c r="Z81" s="959">
        <v>0.87924546742901821</v>
      </c>
      <c r="AA81" s="959">
        <v>0.85824912905717488</v>
      </c>
      <c r="AB81" s="959">
        <v>0.87857152135227468</v>
      </c>
      <c r="AC81" s="959">
        <v>0.95668990649515018</v>
      </c>
      <c r="AD81" s="959">
        <v>0.932147988313901</v>
      </c>
      <c r="AE81" s="959">
        <v>0.91975996806914684</v>
      </c>
      <c r="AF81" s="959">
        <v>0.89140141650326299</v>
      </c>
      <c r="AG81" s="959">
        <v>0.96308125981382542</v>
      </c>
      <c r="AH81" s="959">
        <v>1.1176752856061865</v>
      </c>
      <c r="AI81" s="959">
        <v>0.93704274812597077</v>
      </c>
      <c r="AJ81" s="959">
        <v>0.89298730804860404</v>
      </c>
      <c r="AK81" s="959">
        <v>1.0251882845188285</v>
      </c>
      <c r="AL81" s="959">
        <v>0.89561467740623224</v>
      </c>
      <c r="AM81" s="959">
        <v>0.76071406934711927</v>
      </c>
      <c r="AN81" s="959">
        <v>0.74651734070022058</v>
      </c>
      <c r="AO81" s="959">
        <v>0.88990186555916539</v>
      </c>
      <c r="AP81" s="959">
        <v>0.86795421183935961</v>
      </c>
      <c r="AQ81" s="959">
        <v>0.92681631769053952</v>
      </c>
      <c r="AR81" s="959">
        <v>0.87118714527387886</v>
      </c>
      <c r="AS81" s="959">
        <v>0.93647368761313676</v>
      </c>
      <c r="AT81" s="959">
        <v>0.88264141623564163</v>
      </c>
      <c r="AU81" s="959">
        <v>0.93619387640659468</v>
      </c>
      <c r="AV81" s="959">
        <v>1.2448272698077718</v>
      </c>
      <c r="AW81" s="1080">
        <v>1.0448979960118741</v>
      </c>
      <c r="AX81" s="959">
        <v>0.86376427264515832</v>
      </c>
      <c r="AY81" s="959">
        <v>0.91764148181197103</v>
      </c>
      <c r="AZ81" s="959">
        <v>0.84436118110322111</v>
      </c>
      <c r="BA81" s="959">
        <v>0.85190943481736525</v>
      </c>
      <c r="BB81" s="959">
        <v>0.76100000000000001</v>
      </c>
      <c r="BC81" s="959">
        <v>0.81499999999999995</v>
      </c>
      <c r="BD81" s="959">
        <v>0.81100000000000005</v>
      </c>
      <c r="BE81" s="959">
        <v>0.83799999999999997</v>
      </c>
      <c r="BF81" s="959">
        <v>0.81</v>
      </c>
      <c r="BG81" s="946"/>
      <c r="BH81" s="959">
        <v>0.88611644703741999</v>
      </c>
      <c r="BI81" s="959">
        <v>0.89186676403907805</v>
      </c>
      <c r="BJ81" s="1202">
        <v>-0.57503170016580674</v>
      </c>
      <c r="BK81" s="959"/>
      <c r="BL81" s="946"/>
      <c r="BM81" s="959">
        <v>0.88611644703741999</v>
      </c>
      <c r="BN81" s="959">
        <v>0.89186676403907805</v>
      </c>
      <c r="BO81" s="959">
        <v>0.93025924656715464</v>
      </c>
      <c r="BP81" s="959">
        <v>1.0076884508222212</v>
      </c>
      <c r="BQ81" s="959">
        <v>0.93947861115873399</v>
      </c>
      <c r="BR81" s="959">
        <v>0.9010142134876129</v>
      </c>
      <c r="BS81" s="959">
        <v>0.96207732317010441</v>
      </c>
      <c r="BT81" s="959">
        <v>0.93274190561845305</v>
      </c>
      <c r="BU81" s="959">
        <v>0.80048305752266902</v>
      </c>
      <c r="BV81" s="959">
        <v>0.90192662980899929</v>
      </c>
      <c r="BW81" s="959">
        <v>0.9915557406938359</v>
      </c>
      <c r="BX81" s="959">
        <v>0.83250653758719628</v>
      </c>
      <c r="BY81" s="959">
        <v>0.81699999999999995</v>
      </c>
      <c r="BZ81" s="1036">
        <v>0.79600000000000004</v>
      </c>
      <c r="CA81" s="1036">
        <v>0.83199999999999996</v>
      </c>
      <c r="CB81" s="1036">
        <v>0.84399999999999997</v>
      </c>
      <c r="CC81" s="1183"/>
      <c r="CD81" s="1183"/>
    </row>
    <row r="82" spans="1:82" ht="12.75" customHeight="1" x14ac:dyDescent="0.2">
      <c r="A82" s="1193"/>
      <c r="B82" s="1204" t="s">
        <v>77</v>
      </c>
      <c r="C82" s="1202">
        <v>1.130374994643274</v>
      </c>
      <c r="D82" s="959"/>
      <c r="E82" s="929"/>
      <c r="F82" s="929">
        <v>0.1183688265726188</v>
      </c>
      <c r="G82" s="929">
        <v>7.8020982556669755E-2</v>
      </c>
      <c r="H82" s="959">
        <v>0.13841375150784077</v>
      </c>
      <c r="I82" s="959">
        <v>0.12704475462944448</v>
      </c>
      <c r="J82" s="1874">
        <v>0.10706507662618606</v>
      </c>
      <c r="K82" s="959">
        <v>0.16196597118728268</v>
      </c>
      <c r="L82" s="959">
        <v>0.16249248647565617</v>
      </c>
      <c r="M82" s="959">
        <v>2.8165411100147746E-2</v>
      </c>
      <c r="N82" s="1874">
        <v>1.3833279948750801E-2</v>
      </c>
      <c r="O82" s="959">
        <v>0.14538607650852547</v>
      </c>
      <c r="P82" s="959">
        <v>3.7547811713148943E-2</v>
      </c>
      <c r="Q82" s="959">
        <v>1.501534075061208E-2</v>
      </c>
      <c r="R82" s="959">
        <v>5.3861952221360379E-2</v>
      </c>
      <c r="S82" s="959">
        <v>-1.664908019431393E-2</v>
      </c>
      <c r="T82" s="959">
        <v>-0.12325324328931955</v>
      </c>
      <c r="U82" s="959">
        <v>2.2958835689027398E-2</v>
      </c>
      <c r="V82" s="959">
        <v>7.1455883312971549E-2</v>
      </c>
      <c r="W82" s="959">
        <v>5.3418794227087951E-2</v>
      </c>
      <c r="X82" s="959">
        <v>-0.1059704092604718</v>
      </c>
      <c r="Y82" s="959">
        <v>0.12221559141832895</v>
      </c>
      <c r="Z82" s="959">
        <v>0.12075453257098177</v>
      </c>
      <c r="AA82" s="959">
        <v>0.14175087094282515</v>
      </c>
      <c r="AB82" s="959">
        <v>0.12142847864772535</v>
      </c>
      <c r="AC82" s="959">
        <v>4.3310093504849816E-2</v>
      </c>
      <c r="AD82" s="959">
        <v>6.7852011686098987E-2</v>
      </c>
      <c r="AE82" s="959">
        <v>8.024003193085319E-2</v>
      </c>
      <c r="AF82" s="959">
        <v>0.108598583496737</v>
      </c>
      <c r="AG82" s="959">
        <v>3.691874018617463E-2</v>
      </c>
      <c r="AH82" s="959">
        <v>-0.11767528560618644</v>
      </c>
      <c r="AI82" s="959">
        <v>6.2957251874029216E-2</v>
      </c>
      <c r="AJ82" s="959">
        <v>0.10701269195139598</v>
      </c>
      <c r="AK82" s="959">
        <v>-2.5188284518828451E-2</v>
      </c>
      <c r="AL82" s="959">
        <v>0.1043853225937678</v>
      </c>
      <c r="AM82" s="959">
        <v>0.2392859306528807</v>
      </c>
      <c r="AN82" s="959">
        <v>0.25348265929977948</v>
      </c>
      <c r="AO82" s="959">
        <v>0.11009813444083465</v>
      </c>
      <c r="AP82" s="959">
        <v>0.13204578816064036</v>
      </c>
      <c r="AQ82" s="959">
        <v>7.3183682309460429E-2</v>
      </c>
      <c r="AR82" s="959">
        <v>0.12881285472612111</v>
      </c>
      <c r="AS82" s="959">
        <v>6.3526312386863196E-2</v>
      </c>
      <c r="AT82" s="959">
        <v>0.11635858376435841</v>
      </c>
      <c r="AU82" s="959">
        <v>6.3806123593405359E-2</v>
      </c>
      <c r="AV82" s="959">
        <v>-0.24482726980777172</v>
      </c>
      <c r="AW82" s="959">
        <v>-4.489799601187415E-2</v>
      </c>
      <c r="AX82" s="959">
        <v>0.13623572735484168</v>
      </c>
      <c r="AY82" s="959">
        <v>8.2358518188028945E-2</v>
      </c>
      <c r="AZ82" s="959">
        <v>0.15563881889677891</v>
      </c>
      <c r="BA82" s="959">
        <v>0.14809056518263475</v>
      </c>
      <c r="BB82" s="959">
        <v>0.23899999999999999</v>
      </c>
      <c r="BC82" s="959">
        <v>0.185</v>
      </c>
      <c r="BD82" s="959">
        <v>0.18899999999999995</v>
      </c>
      <c r="BE82" s="959">
        <v>0.16200000000000003</v>
      </c>
      <c r="BF82" s="959">
        <v>0.19</v>
      </c>
      <c r="BG82" s="946"/>
      <c r="BH82" s="959">
        <v>0.11388355296258001</v>
      </c>
      <c r="BI82" s="959">
        <v>0.10813323596092199</v>
      </c>
      <c r="BJ82" s="1202">
        <v>0.57503170016580252</v>
      </c>
      <c r="BK82" s="959"/>
      <c r="BL82" s="946"/>
      <c r="BM82" s="959">
        <v>0.11388355296258001</v>
      </c>
      <c r="BN82" s="959">
        <v>0.10813323596092199</v>
      </c>
      <c r="BO82" s="959">
        <v>6.9740753432845332E-2</v>
      </c>
      <c r="BP82" s="959">
        <v>-7.688450822221235E-3</v>
      </c>
      <c r="BQ82" s="959">
        <v>6.0521388841266038E-2</v>
      </c>
      <c r="BR82" s="959">
        <v>9.8985786512387111E-2</v>
      </c>
      <c r="BS82" s="959">
        <v>3.792267682989555E-2</v>
      </c>
      <c r="BT82" s="959">
        <v>6.7258094381546923E-2</v>
      </c>
      <c r="BU82" s="959">
        <v>0.19951694247733101</v>
      </c>
      <c r="BV82" s="959">
        <v>9.807337019100075E-2</v>
      </c>
      <c r="BW82" s="959">
        <v>8.4442593061640585E-3</v>
      </c>
      <c r="BX82" s="959">
        <v>0.16749346241280369</v>
      </c>
      <c r="BY82" s="959">
        <v>0.18300000000000005</v>
      </c>
      <c r="BZ82" s="1036">
        <v>0.20399999999999996</v>
      </c>
      <c r="CA82" s="1036">
        <v>0.16800000000000004</v>
      </c>
      <c r="CB82" s="1036">
        <v>0.15600000000000003</v>
      </c>
      <c r="CC82" s="1183"/>
      <c r="CD82" s="1183"/>
    </row>
    <row r="83" spans="1:82" ht="12.75" customHeight="1" x14ac:dyDescent="0.2">
      <c r="A83" s="1193"/>
      <c r="B83" s="1204" t="s">
        <v>78</v>
      </c>
      <c r="C83" s="1202">
        <v>5.7422470410927771</v>
      </c>
      <c r="D83" s="959"/>
      <c r="E83" s="929"/>
      <c r="F83" s="929">
        <v>0.20441214637944458</v>
      </c>
      <c r="G83" s="929">
        <v>0.25250888798883936</v>
      </c>
      <c r="H83" s="959">
        <v>0.19728528476186327</v>
      </c>
      <c r="I83" s="959">
        <v>0.24269374049005718</v>
      </c>
      <c r="J83" s="959">
        <v>0.14698967596851681</v>
      </c>
      <c r="K83" s="959">
        <v>0.28474485296936702</v>
      </c>
      <c r="L83" s="959">
        <v>0.22075494212640706</v>
      </c>
      <c r="M83" s="959">
        <v>0.34235403151065802</v>
      </c>
      <c r="N83" s="959">
        <v>0.41570188133140379</v>
      </c>
      <c r="O83" s="959">
        <v>0.17103430814027093</v>
      </c>
      <c r="P83" s="959">
        <v>0.19260302022011774</v>
      </c>
      <c r="Q83" s="959">
        <v>0.30925352597179223</v>
      </c>
      <c r="R83" s="959">
        <v>0.262838511004438</v>
      </c>
      <c r="S83" s="959">
        <v>0.36831091180866965</v>
      </c>
      <c r="T83" s="959"/>
      <c r="U83" s="959"/>
      <c r="V83" s="959"/>
      <c r="W83" s="959"/>
      <c r="X83" s="959"/>
      <c r="Y83" s="959"/>
      <c r="Z83" s="959"/>
      <c r="AA83" s="959"/>
      <c r="AB83" s="959"/>
      <c r="AC83" s="959"/>
      <c r="AD83" s="959"/>
      <c r="AE83" s="959"/>
      <c r="AF83" s="959"/>
      <c r="AG83" s="959"/>
      <c r="AH83" s="959"/>
      <c r="AI83" s="959"/>
      <c r="AJ83" s="959"/>
      <c r="AK83" s="959"/>
      <c r="AL83" s="959"/>
      <c r="AM83" s="959"/>
      <c r="AN83" s="959"/>
      <c r="AO83" s="959"/>
      <c r="AP83" s="959"/>
      <c r="AQ83" s="959"/>
      <c r="AR83" s="959"/>
      <c r="AS83" s="959"/>
      <c r="AT83" s="959"/>
      <c r="AU83" s="959"/>
      <c r="AV83" s="959"/>
      <c r="AW83" s="959"/>
      <c r="AX83" s="959"/>
      <c r="AY83" s="959"/>
      <c r="AZ83" s="959"/>
      <c r="BA83" s="959"/>
      <c r="BB83" s="959"/>
      <c r="BC83" s="959"/>
      <c r="BD83" s="959"/>
      <c r="BE83" s="959"/>
      <c r="BF83" s="959"/>
      <c r="BG83" s="946"/>
      <c r="BH83" s="959">
        <v>0.20821471243343709</v>
      </c>
      <c r="BI83" s="959">
        <v>0.26173750305134397</v>
      </c>
      <c r="BJ83" s="1202">
        <v>-5.3522790617906875</v>
      </c>
      <c r="BK83" s="959"/>
      <c r="BL83" s="946"/>
      <c r="BM83" s="959">
        <v>0.20821471243343709</v>
      </c>
      <c r="BN83" s="959">
        <v>0.26173750305134397</v>
      </c>
      <c r="BO83" s="959">
        <v>0.19689178379613759</v>
      </c>
      <c r="BP83" s="959">
        <v>1.023609047383193E-2</v>
      </c>
      <c r="BQ83" s="959">
        <v>0.26217052809304942</v>
      </c>
      <c r="BR83" s="959">
        <v>0.18676541809891681</v>
      </c>
      <c r="BS83" s="959"/>
      <c r="BT83" s="959"/>
      <c r="BU83" s="959"/>
      <c r="BV83" s="959"/>
      <c r="BW83" s="959"/>
      <c r="BX83" s="959"/>
      <c r="BY83" s="959"/>
      <c r="BZ83" s="1036"/>
      <c r="CA83" s="1036"/>
      <c r="CB83" s="1036"/>
      <c r="CC83" s="1183"/>
      <c r="CD83" s="1183"/>
    </row>
    <row r="84" spans="1:82" ht="12.75" customHeight="1" x14ac:dyDescent="0.2">
      <c r="A84" s="1193"/>
      <c r="B84" s="1204" t="s">
        <v>79</v>
      </c>
      <c r="C84" s="1202">
        <v>0.28451849631350029</v>
      </c>
      <c r="D84" s="1212"/>
      <c r="E84" s="908"/>
      <c r="F84" s="908">
        <v>9.4172800668493553E-2</v>
      </c>
      <c r="G84" s="908">
        <v>5.8319991011488444E-2</v>
      </c>
      <c r="H84" s="952">
        <v>0.11110675512665863</v>
      </c>
      <c r="I84" s="952">
        <v>9.6211787918783084E-2</v>
      </c>
      <c r="J84" s="952">
        <v>9.132761570535855E-2</v>
      </c>
      <c r="K84" s="952">
        <v>0.11584699453551912</v>
      </c>
      <c r="L84" s="952">
        <v>0.12662146702774671</v>
      </c>
      <c r="M84" s="952">
        <v>1.8522869060857126E-2</v>
      </c>
      <c r="N84" s="952">
        <v>8.0827594490711085E-3</v>
      </c>
      <c r="O84" s="952">
        <v>0.12052006949966133</v>
      </c>
      <c r="P84" s="952">
        <v>3.0315989774540142E-2</v>
      </c>
      <c r="Q84" s="952">
        <v>1.0371793679817358E-2</v>
      </c>
      <c r="R84" s="952">
        <v>3.9704956899705837E-2</v>
      </c>
      <c r="S84" s="952">
        <v>-1.0517042287170502E-2</v>
      </c>
      <c r="T84" s="952">
        <v>-0.10528110340579749</v>
      </c>
      <c r="U84" s="952">
        <v>1.0194016851869341E-2</v>
      </c>
      <c r="V84" s="952">
        <v>6.2106558982345864E-2</v>
      </c>
      <c r="W84" s="952">
        <v>3.7941195448777235E-2</v>
      </c>
      <c r="X84" s="952">
        <v>-8.5618516137945952E-2</v>
      </c>
      <c r="Y84" s="952">
        <v>8.7805951640277477E-2</v>
      </c>
      <c r="Z84" s="952">
        <v>9.7806610304777733E-2</v>
      </c>
      <c r="AA84" s="952">
        <v>0.11458218389898639</v>
      </c>
      <c r="AB84" s="952">
        <v>9.1908087582644543E-2</v>
      </c>
      <c r="AC84" s="952">
        <v>3.6736386152117224E-2</v>
      </c>
      <c r="AD84" s="952">
        <v>6.3077161367508586E-2</v>
      </c>
      <c r="AE84" s="952">
        <v>7.1472810603245382E-2</v>
      </c>
      <c r="AF84" s="952">
        <v>8.8924927066168696E-2</v>
      </c>
      <c r="AG84" s="952">
        <v>3.1656118199990355E-2</v>
      </c>
      <c r="AH84" s="952">
        <v>-0.10024669484278587</v>
      </c>
      <c r="AI84" s="952">
        <v>1.1756297413502015E-2</v>
      </c>
      <c r="AJ84" s="952">
        <v>7.1972898592863571E-2</v>
      </c>
      <c r="AK84" s="952">
        <v>-1.3933054393305439E-2</v>
      </c>
      <c r="AL84" s="952">
        <v>8.8401144051620015E-2</v>
      </c>
      <c r="AM84" s="952">
        <v>0.17065368848320847</v>
      </c>
      <c r="AN84" s="952">
        <v>0.17895571234607627</v>
      </c>
      <c r="AO84" s="952">
        <v>8.0905650266269211E-2</v>
      </c>
      <c r="AP84" s="952">
        <v>9.3415814556632906E-2</v>
      </c>
      <c r="AQ84" s="952">
        <v>7.7354628212920856E-2</v>
      </c>
      <c r="AR84" s="952">
        <v>8.725901718851943E-2</v>
      </c>
      <c r="AS84" s="952">
        <v>5.4515774502198085E-2</v>
      </c>
      <c r="AT84" s="952">
        <v>6.6286928118839253E-2</v>
      </c>
      <c r="AU84" s="952">
        <v>3.5178885191969794E-2</v>
      </c>
      <c r="AV84" s="952">
        <v>-0.18628710372987109</v>
      </c>
      <c r="AW84" s="959">
        <v>-4.8705663680083736E-2</v>
      </c>
      <c r="AX84" s="959">
        <v>9.5299580795330852E-2</v>
      </c>
      <c r="AY84" s="959">
        <v>5.0015476207074444E-2</v>
      </c>
      <c r="AZ84" s="959">
        <v>9.7259585283113542E-2</v>
      </c>
      <c r="BA84" s="959">
        <v>9.6368334917447701E-2</v>
      </c>
      <c r="BB84" s="959">
        <v>0.159</v>
      </c>
      <c r="BC84" s="959">
        <v>0.12</v>
      </c>
      <c r="BD84" s="959">
        <v>0.13300000000000001</v>
      </c>
      <c r="BE84" s="959">
        <v>0.114</v>
      </c>
      <c r="BF84" s="959">
        <v>0.126</v>
      </c>
      <c r="BG84" s="946"/>
      <c r="BH84" s="952">
        <v>9.0171321731578311E-2</v>
      </c>
      <c r="BI84" s="952">
        <v>7.9830712783648478E-2</v>
      </c>
      <c r="BJ84" s="1202">
        <v>1.0340608947929832</v>
      </c>
      <c r="BK84" s="952"/>
      <c r="BL84" s="946"/>
      <c r="BM84" s="959">
        <v>9.0171321731578311E-2</v>
      </c>
      <c r="BN84" s="952">
        <v>7.9830712783648478E-2</v>
      </c>
      <c r="BO84" s="952">
        <v>5.6009372086165812E-2</v>
      </c>
      <c r="BP84" s="952">
        <v>-7.6097511440013713E-3</v>
      </c>
      <c r="BQ84" s="952">
        <v>4.4654464367826531E-2</v>
      </c>
      <c r="BR84" s="952">
        <v>8.0498664708551007E-2</v>
      </c>
      <c r="BS84" s="952">
        <v>3.2170734216343297E-2</v>
      </c>
      <c r="BT84" s="952">
        <v>4.1650685112686485E-2</v>
      </c>
      <c r="BU84" s="952">
        <v>0.14201349910593294</v>
      </c>
      <c r="BV84" s="952">
        <v>7.2797067547187455E-2</v>
      </c>
      <c r="BW84" s="959">
        <v>-2.9661664444309544E-3</v>
      </c>
      <c r="BX84" s="959">
        <v>0.10846502373762712</v>
      </c>
      <c r="BY84" s="959">
        <v>0.1232055425054894</v>
      </c>
      <c r="BZ84" s="1036">
        <v>0.13900000000000001</v>
      </c>
      <c r="CA84" s="1036">
        <v>0.112</v>
      </c>
      <c r="CB84" s="1036">
        <v>0.10100000000000001</v>
      </c>
      <c r="CC84" s="1183"/>
      <c r="CD84" s="1183"/>
    </row>
    <row r="85" spans="1:82" s="934" customFormat="1" ht="12.75" customHeight="1" x14ac:dyDescent="0.2">
      <c r="A85" s="1201"/>
      <c r="B85" s="1201" t="s">
        <v>624</v>
      </c>
      <c r="C85" s="1067">
        <v>5.0000000000000017E-2</v>
      </c>
      <c r="D85" s="952">
        <v>0.21739130434782614</v>
      </c>
      <c r="E85" s="908"/>
      <c r="F85" s="939">
        <v>0.28000000000000003</v>
      </c>
      <c r="G85" s="939">
        <v>0.15</v>
      </c>
      <c r="H85" s="1142">
        <v>0.35</v>
      </c>
      <c r="I85" s="1142">
        <v>0.27</v>
      </c>
      <c r="J85" s="1142">
        <v>0.23</v>
      </c>
      <c r="K85" s="1142">
        <v>0.36</v>
      </c>
      <c r="L85" s="1142">
        <v>0.38</v>
      </c>
      <c r="M85" s="1142">
        <v>0.01</v>
      </c>
      <c r="N85" s="1142">
        <v>-0.01</v>
      </c>
      <c r="O85" s="1142">
        <v>0.31</v>
      </c>
      <c r="P85" s="1142">
        <v>0.03</v>
      </c>
      <c r="Q85" s="1142">
        <v>-0.03</v>
      </c>
      <c r="R85" s="1142">
        <v>0.05</v>
      </c>
      <c r="S85" s="1142">
        <v>-0.06</v>
      </c>
      <c r="T85" s="1142">
        <v>-0.25</v>
      </c>
      <c r="U85" s="1142">
        <v>-0.01</v>
      </c>
      <c r="V85" s="1142">
        <v>0.1</v>
      </c>
      <c r="W85" s="1142">
        <v>0.05</v>
      </c>
      <c r="X85" s="1142">
        <v>-0.19</v>
      </c>
      <c r="Y85" s="1142">
        <v>0.19</v>
      </c>
      <c r="Z85" s="1142">
        <v>0.22</v>
      </c>
      <c r="AA85" s="1142">
        <v>0.28000000000000003</v>
      </c>
      <c r="AB85" s="1142">
        <v>0.18</v>
      </c>
      <c r="AC85" s="1142">
        <v>0.03</v>
      </c>
      <c r="AD85" s="1142">
        <v>0.1</v>
      </c>
      <c r="AE85" s="1142">
        <v>0.14000000000000001</v>
      </c>
      <c r="AF85" s="1142">
        <v>0.19</v>
      </c>
      <c r="AG85" s="1142">
        <v>0.03</v>
      </c>
      <c r="AH85" s="1142">
        <v>-0.2</v>
      </c>
      <c r="AI85" s="1142">
        <v>0.02</v>
      </c>
      <c r="AJ85" s="1142">
        <v>0.12</v>
      </c>
      <c r="AK85" s="1288">
        <v>-0.05</v>
      </c>
      <c r="AL85" s="1142">
        <v>0.19</v>
      </c>
      <c r="AM85" s="1142">
        <v>0.56000000000000005</v>
      </c>
      <c r="AN85" s="1142">
        <v>0.61</v>
      </c>
      <c r="AO85" s="1142">
        <v>0.16</v>
      </c>
      <c r="AP85" s="1142">
        <v>0.21</v>
      </c>
      <c r="AQ85" s="1288">
        <v>0.22</v>
      </c>
      <c r="AR85" s="1288">
        <v>0.31</v>
      </c>
      <c r="AS85" s="1288">
        <v>0.14000000000000001</v>
      </c>
      <c r="AT85" s="1142">
        <v>0.19</v>
      </c>
      <c r="AU85" s="1288">
        <v>0.08</v>
      </c>
      <c r="AV85" s="1288">
        <v>-0.33</v>
      </c>
      <c r="AW85" s="1288">
        <v>-0.11</v>
      </c>
      <c r="AX85" s="1142">
        <v>0.35</v>
      </c>
      <c r="AY85" s="1142">
        <v>0.16</v>
      </c>
      <c r="AZ85" s="1142">
        <v>0.40129999999999999</v>
      </c>
      <c r="BA85" s="1142">
        <v>0.34039999999999998</v>
      </c>
      <c r="BB85" s="1142">
        <v>0.86</v>
      </c>
      <c r="BC85" s="1142">
        <v>0.56999999999999995</v>
      </c>
      <c r="BD85" s="1142">
        <v>0.51</v>
      </c>
      <c r="BE85" s="1142">
        <v>0.39</v>
      </c>
      <c r="BF85" s="1142">
        <v>0.56999999999999995</v>
      </c>
      <c r="BG85" s="946"/>
      <c r="BH85" s="1288">
        <v>1.01</v>
      </c>
      <c r="BI85" s="1288">
        <v>0.73</v>
      </c>
      <c r="BJ85" s="1067">
        <v>0.28000000000000003</v>
      </c>
      <c r="BK85" s="952">
        <v>0.38356164383561647</v>
      </c>
      <c r="BL85" s="946"/>
      <c r="BM85" s="1021">
        <v>1.01</v>
      </c>
      <c r="BN85" s="1310">
        <v>0.73</v>
      </c>
      <c r="BO85" s="1310">
        <v>0.36</v>
      </c>
      <c r="BP85" s="1310">
        <v>-0.21</v>
      </c>
      <c r="BQ85" s="1142">
        <v>0.27</v>
      </c>
      <c r="BR85" s="1142">
        <v>0.59</v>
      </c>
      <c r="BS85" s="1288">
        <v>0.16</v>
      </c>
      <c r="BT85" s="1288">
        <v>0.28000000000000003</v>
      </c>
      <c r="BU85" s="1288">
        <v>1.56</v>
      </c>
      <c r="BV85" s="1020">
        <v>0.86</v>
      </c>
      <c r="BW85" s="1020">
        <v>-0.03</v>
      </c>
      <c r="BX85" s="1020">
        <v>1.77</v>
      </c>
      <c r="BY85" s="1020">
        <v>2.0299999999999998</v>
      </c>
      <c r="BZ85" s="1020">
        <v>1.82</v>
      </c>
      <c r="CA85" s="1020">
        <v>1.17</v>
      </c>
      <c r="CB85" s="1020">
        <v>1.43</v>
      </c>
      <c r="CC85" s="940"/>
      <c r="CD85" s="940"/>
    </row>
    <row r="86" spans="1:82" s="934" customFormat="1" ht="12.75" customHeight="1" x14ac:dyDescent="0.2">
      <c r="A86" s="1201"/>
      <c r="B86" s="1201" t="s">
        <v>627</v>
      </c>
      <c r="C86" s="1067">
        <v>4.0000000000000008E-2</v>
      </c>
      <c r="D86" s="952">
        <v>0.21052631578947373</v>
      </c>
      <c r="E86" s="908"/>
      <c r="F86" s="939">
        <v>0.23</v>
      </c>
      <c r="G86" s="939">
        <v>0.12</v>
      </c>
      <c r="H86" s="1142">
        <v>0.28000000000000003</v>
      </c>
      <c r="I86" s="1142">
        <v>0.23</v>
      </c>
      <c r="J86" s="1142">
        <v>0.19</v>
      </c>
      <c r="K86" s="1142">
        <v>0.28000000000000003</v>
      </c>
      <c r="L86" s="1142">
        <v>0.31</v>
      </c>
      <c r="M86" s="1142">
        <v>0.01</v>
      </c>
      <c r="N86" s="1142">
        <v>-0.01</v>
      </c>
      <c r="O86" s="1142">
        <v>0.27</v>
      </c>
      <c r="P86" s="1142">
        <v>0.03</v>
      </c>
      <c r="Q86" s="1142">
        <v>-0.03</v>
      </c>
      <c r="R86" s="1142">
        <v>0.05</v>
      </c>
      <c r="S86" s="1142">
        <v>-0.06</v>
      </c>
      <c r="T86" s="1142">
        <v>-0.25</v>
      </c>
      <c r="U86" s="1142">
        <v>-0.01</v>
      </c>
      <c r="V86" s="1142">
        <v>0.1</v>
      </c>
      <c r="W86" s="1142">
        <v>0.05</v>
      </c>
      <c r="X86" s="1142">
        <v>-0.19</v>
      </c>
      <c r="Y86" s="1142">
        <v>0.17</v>
      </c>
      <c r="Z86" s="1142">
        <v>0.2</v>
      </c>
      <c r="AA86" s="1142">
        <v>0.25</v>
      </c>
      <c r="AB86" s="1142">
        <v>0.17</v>
      </c>
      <c r="AC86" s="1142">
        <v>0.03</v>
      </c>
      <c r="AD86" s="1142">
        <v>0.09</v>
      </c>
      <c r="AE86" s="1142">
        <v>0.12</v>
      </c>
      <c r="AF86" s="1142">
        <v>0.17</v>
      </c>
      <c r="AG86" s="1142">
        <v>0.03</v>
      </c>
      <c r="AH86" s="1142">
        <v>-0.2</v>
      </c>
      <c r="AI86" s="1142">
        <v>0.02</v>
      </c>
      <c r="AJ86" s="1142">
        <v>0.11</v>
      </c>
      <c r="AK86" s="1288">
        <v>-0.05</v>
      </c>
      <c r="AL86" s="1142">
        <v>0.17</v>
      </c>
      <c r="AM86" s="1142">
        <v>0.5</v>
      </c>
      <c r="AN86" s="1142">
        <v>0.55000000000000004</v>
      </c>
      <c r="AO86" s="1142">
        <v>0.15</v>
      </c>
      <c r="AP86" s="1142">
        <v>0.19</v>
      </c>
      <c r="AQ86" s="1288">
        <v>0.21</v>
      </c>
      <c r="AR86" s="1288">
        <v>0.27</v>
      </c>
      <c r="AS86" s="1288">
        <v>0.12</v>
      </c>
      <c r="AT86" s="1142">
        <v>0.16</v>
      </c>
      <c r="AU86" s="1288">
        <v>7.0000000000000007E-2</v>
      </c>
      <c r="AV86" s="1288">
        <v>-0.33</v>
      </c>
      <c r="AW86" s="1288">
        <v>-0.11</v>
      </c>
      <c r="AX86" s="1142">
        <v>0.31</v>
      </c>
      <c r="AY86" s="1020">
        <v>0.15</v>
      </c>
      <c r="AZ86" s="1020">
        <v>0.35899999999999999</v>
      </c>
      <c r="BA86" s="1020">
        <v>0.3135</v>
      </c>
      <c r="BB86" s="1020">
        <v>0.8</v>
      </c>
      <c r="BC86" s="1020">
        <v>0.54</v>
      </c>
      <c r="BD86" s="1020">
        <v>0.49</v>
      </c>
      <c r="BE86" s="1020">
        <v>0.37</v>
      </c>
      <c r="BF86" s="1020">
        <v>0.54</v>
      </c>
      <c r="BG86" s="946"/>
      <c r="BH86" s="1288">
        <v>0.8</v>
      </c>
      <c r="BI86" s="1288">
        <v>0.59</v>
      </c>
      <c r="BJ86" s="1067">
        <v>0.21000000000000008</v>
      </c>
      <c r="BK86" s="952">
        <v>0.35593220338983067</v>
      </c>
      <c r="BL86" s="946"/>
      <c r="BM86" s="1021">
        <v>0.8</v>
      </c>
      <c r="BN86" s="1310">
        <v>0.59</v>
      </c>
      <c r="BO86" s="1310">
        <v>0.32</v>
      </c>
      <c r="BP86" s="1310">
        <v>-0.21</v>
      </c>
      <c r="BQ86" s="1142">
        <v>0.25</v>
      </c>
      <c r="BR86" s="1142">
        <v>0.54</v>
      </c>
      <c r="BS86" s="1288">
        <v>0.14000000000000001</v>
      </c>
      <c r="BT86" s="1288">
        <v>0.25</v>
      </c>
      <c r="BU86" s="1288">
        <v>1.4</v>
      </c>
      <c r="BV86" s="1020">
        <v>0.76</v>
      </c>
      <c r="BW86" s="1020">
        <v>-0.03</v>
      </c>
      <c r="BX86" s="1020">
        <v>1.63</v>
      </c>
      <c r="BY86" s="1020">
        <v>1.94</v>
      </c>
      <c r="BZ86" s="1020">
        <v>1.74</v>
      </c>
      <c r="CA86" s="1020">
        <v>1.1100000000000001</v>
      </c>
      <c r="CB86" s="1020">
        <v>1.1200000000000001</v>
      </c>
      <c r="CC86" s="940"/>
      <c r="CD86" s="940"/>
    </row>
    <row r="87" spans="1:82" s="934" customFormat="1" ht="12.75" customHeight="1" x14ac:dyDescent="0.2">
      <c r="A87" s="961"/>
      <c r="B87" s="946"/>
      <c r="C87" s="1077"/>
      <c r="D87" s="1077"/>
      <c r="E87" s="1929"/>
      <c r="F87" s="1929"/>
      <c r="G87" s="1929"/>
      <c r="H87" s="1077"/>
      <c r="I87" s="1077"/>
      <c r="J87" s="1077"/>
      <c r="K87" s="1077"/>
      <c r="L87" s="1077"/>
      <c r="M87" s="1077"/>
      <c r="N87" s="1077"/>
      <c r="O87" s="1077"/>
      <c r="P87" s="1077"/>
      <c r="Q87" s="1077"/>
      <c r="R87" s="1077"/>
      <c r="S87" s="1077"/>
      <c r="T87" s="1077"/>
      <c r="U87" s="1077"/>
      <c r="V87" s="1077"/>
      <c r="W87" s="1077"/>
      <c r="X87" s="1077"/>
      <c r="Y87" s="1077"/>
      <c r="Z87" s="1077"/>
      <c r="AA87" s="1077"/>
      <c r="AB87" s="1077"/>
      <c r="AC87" s="1077"/>
      <c r="AD87" s="1077"/>
      <c r="AE87" s="1077"/>
      <c r="AF87" s="1077"/>
      <c r="AG87" s="1077"/>
      <c r="AH87" s="1077"/>
      <c r="AI87" s="1077"/>
      <c r="AJ87" s="1077"/>
      <c r="AK87" s="1077"/>
      <c r="AL87" s="1077"/>
      <c r="AM87" s="1077"/>
      <c r="AN87" s="1077"/>
      <c r="AO87" s="1077"/>
      <c r="AP87" s="1077"/>
      <c r="AQ87" s="1077"/>
      <c r="AR87" s="1077"/>
      <c r="AS87" s="1077"/>
      <c r="AT87" s="1077"/>
      <c r="AU87" s="1077"/>
      <c r="AV87" s="1077"/>
      <c r="AW87" s="1077"/>
      <c r="AX87" s="1077"/>
      <c r="AY87" s="1077"/>
      <c r="AZ87" s="1077"/>
      <c r="BA87" s="1077"/>
      <c r="BB87" s="1077"/>
      <c r="BC87" s="1077"/>
      <c r="BD87" s="1077"/>
      <c r="BE87" s="1077"/>
      <c r="BF87" s="1077"/>
      <c r="BG87" s="1077"/>
      <c r="BH87" s="1077"/>
      <c r="BI87" s="1077"/>
      <c r="BJ87" s="1077"/>
      <c r="BK87" s="1077"/>
      <c r="BL87" s="1077"/>
      <c r="BM87" s="1077"/>
      <c r="BN87" s="1077"/>
      <c r="BO87" s="1077"/>
      <c r="BP87" s="1077"/>
      <c r="BQ87" s="1077"/>
      <c r="BR87" s="1077"/>
      <c r="BS87" s="1077"/>
      <c r="BT87" s="1077"/>
      <c r="BU87" s="1077"/>
      <c r="BV87" s="1077"/>
      <c r="BW87" s="1077"/>
      <c r="BX87" s="1077"/>
      <c r="BY87" s="1077"/>
      <c r="BZ87" s="1077"/>
      <c r="CA87" s="1077"/>
      <c r="CB87" s="1289"/>
      <c r="CC87" s="2728"/>
      <c r="CD87" s="2728"/>
    </row>
    <row r="88" spans="1:82" x14ac:dyDescent="0.2">
      <c r="A88" s="946" t="s">
        <v>357</v>
      </c>
      <c r="B88" s="972"/>
      <c r="C88" s="2728"/>
      <c r="D88" s="2728"/>
      <c r="E88" s="2568"/>
      <c r="F88" s="2568"/>
      <c r="G88" s="1169"/>
      <c r="H88" s="1311"/>
      <c r="I88" s="1311"/>
      <c r="J88" s="1311"/>
      <c r="K88" s="1311"/>
      <c r="L88" s="1311"/>
      <c r="M88" s="1311"/>
      <c r="N88" s="1311"/>
      <c r="O88" s="1311"/>
      <c r="P88" s="1311"/>
      <c r="Q88" s="1311"/>
      <c r="R88" s="1311"/>
      <c r="S88" s="1311"/>
      <c r="T88" s="1311"/>
      <c r="U88" s="1311"/>
      <c r="V88" s="1311"/>
      <c r="W88" s="1311"/>
      <c r="X88" s="1311"/>
      <c r="Y88" s="1311"/>
      <c r="Z88" s="1311"/>
      <c r="AA88" s="1311"/>
      <c r="AB88" s="1311"/>
      <c r="AC88" s="1311"/>
      <c r="AD88" s="1311"/>
      <c r="AE88" s="1311"/>
      <c r="AF88" s="1311"/>
      <c r="AG88" s="1311"/>
      <c r="AH88" s="1311"/>
      <c r="AI88" s="1311"/>
      <c r="AJ88" s="1311"/>
      <c r="AK88" s="1311"/>
      <c r="AL88" s="1311"/>
      <c r="AM88" s="1311"/>
      <c r="AN88" s="1311"/>
      <c r="AO88" s="1311"/>
      <c r="AP88" s="1311"/>
      <c r="AQ88" s="1311"/>
      <c r="AR88" s="1311"/>
      <c r="AS88" s="1311"/>
      <c r="AT88" s="1311"/>
      <c r="AU88" s="1311"/>
      <c r="AV88" s="1311"/>
      <c r="AW88" s="1311"/>
      <c r="AX88" s="1077"/>
      <c r="AY88" s="2728"/>
      <c r="AZ88" s="2728"/>
      <c r="BA88" s="2728"/>
      <c r="BB88" s="2728"/>
      <c r="BC88" s="2728"/>
      <c r="BD88" s="2728"/>
      <c r="BE88" s="2728"/>
      <c r="BF88" s="1077"/>
      <c r="BG88" s="1311"/>
      <c r="BH88" s="1311"/>
      <c r="BI88" s="1311"/>
      <c r="BJ88" s="2728"/>
      <c r="BK88" s="2728"/>
      <c r="BL88" s="2728"/>
      <c r="BM88" s="2728"/>
      <c r="BN88" s="1311"/>
      <c r="BO88" s="1311"/>
      <c r="BP88" s="1311"/>
      <c r="BQ88" s="2728"/>
      <c r="BR88" s="2728"/>
      <c r="BS88" s="2728"/>
      <c r="BT88" s="2728"/>
      <c r="BX88" s="1077"/>
      <c r="BY88" s="1077"/>
      <c r="BZ88" s="2832"/>
    </row>
    <row r="89" spans="1:82" x14ac:dyDescent="0.2">
      <c r="A89" s="971" t="s">
        <v>28</v>
      </c>
      <c r="B89" s="940"/>
      <c r="C89" s="2728"/>
      <c r="D89" s="2728"/>
      <c r="E89" s="2568"/>
      <c r="F89" s="2568"/>
      <c r="G89" s="2568"/>
      <c r="H89" s="1311"/>
      <c r="I89" s="1311"/>
      <c r="J89" s="2194"/>
      <c r="K89" s="1311"/>
      <c r="L89" s="1311"/>
      <c r="M89" s="1311"/>
      <c r="N89" s="2194"/>
      <c r="O89" s="1311"/>
      <c r="P89" s="1311"/>
      <c r="Q89" s="1311"/>
      <c r="R89" s="2194"/>
      <c r="S89" s="1311"/>
      <c r="T89" s="1311"/>
      <c r="U89" s="1311"/>
      <c r="V89" s="1311"/>
      <c r="W89" s="1311"/>
      <c r="X89" s="1311"/>
      <c r="Y89" s="1311"/>
      <c r="Z89" s="1311"/>
      <c r="AA89" s="1311"/>
      <c r="AB89" s="1311"/>
      <c r="AC89" s="1311"/>
      <c r="AD89" s="1311"/>
      <c r="AE89" s="1311"/>
      <c r="AF89" s="1311"/>
      <c r="AG89" s="1311"/>
      <c r="AH89" s="1311"/>
      <c r="AI89" s="1311"/>
      <c r="AJ89" s="1311"/>
      <c r="AK89" s="1311"/>
      <c r="AL89" s="1311"/>
      <c r="AM89" s="1311"/>
      <c r="AN89" s="1311"/>
      <c r="AO89" s="1311"/>
      <c r="AP89" s="1311"/>
      <c r="AQ89" s="1311"/>
      <c r="AR89" s="1311"/>
      <c r="AS89" s="1311"/>
      <c r="AT89" s="1311"/>
      <c r="AU89" s="1311"/>
      <c r="AV89" s="1311"/>
      <c r="AW89" s="1311"/>
      <c r="AX89" s="1077"/>
      <c r="AY89" s="2728"/>
      <c r="AZ89" s="2728"/>
      <c r="BA89" s="2728"/>
      <c r="BB89" s="2728"/>
      <c r="BC89" s="2728"/>
      <c r="BD89" s="2728"/>
      <c r="BE89" s="2728"/>
      <c r="BF89" s="1077"/>
      <c r="BG89" s="1311"/>
      <c r="BH89" s="1311"/>
      <c r="BI89" s="1311"/>
      <c r="BJ89" s="2728"/>
      <c r="BK89" s="2728"/>
      <c r="BL89" s="2728"/>
      <c r="BM89" s="2728"/>
      <c r="BN89" s="1311"/>
      <c r="BO89" s="1311"/>
      <c r="BP89" s="2728"/>
      <c r="BQ89" s="2728"/>
      <c r="BR89" s="2728"/>
      <c r="BS89" s="2728"/>
      <c r="BT89" s="2728"/>
      <c r="BX89" s="1077"/>
      <c r="BY89" s="1077"/>
      <c r="BZ89" s="2832"/>
    </row>
    <row r="90" spans="1:82" x14ac:dyDescent="0.2">
      <c r="A90" s="946" t="s">
        <v>709</v>
      </c>
      <c r="B90" s="940"/>
      <c r="C90" s="2728"/>
      <c r="D90" s="2728"/>
      <c r="E90" s="2568"/>
      <c r="F90" s="2568"/>
      <c r="G90" s="2568"/>
      <c r="H90" s="1311"/>
      <c r="I90" s="1311"/>
      <c r="J90" s="1311"/>
      <c r="K90" s="1311"/>
      <c r="L90" s="1311"/>
      <c r="M90" s="1311"/>
      <c r="N90" s="1311"/>
      <c r="O90" s="1311"/>
      <c r="P90" s="1311"/>
      <c r="Q90" s="1311"/>
      <c r="R90" s="1311"/>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1"/>
      <c r="AU90" s="1311"/>
      <c r="AV90" s="1311"/>
      <c r="AW90" s="1311"/>
      <c r="AX90" s="2728"/>
      <c r="AY90" s="2728"/>
      <c r="AZ90" s="2728"/>
      <c r="BA90" s="2728"/>
      <c r="BB90" s="2728"/>
      <c r="BC90" s="2728"/>
      <c r="BD90" s="2728"/>
      <c r="BE90" s="2728"/>
      <c r="BF90" s="2728"/>
      <c r="BG90" s="1311"/>
      <c r="BH90" s="1311"/>
      <c r="BI90" s="2728"/>
      <c r="BJ90" s="2728"/>
      <c r="BK90" s="2728"/>
      <c r="BL90" s="2728"/>
      <c r="BM90" s="2728"/>
      <c r="BN90" s="1311"/>
      <c r="BO90" s="1311"/>
      <c r="BP90" s="2728"/>
      <c r="BQ90" s="2728"/>
      <c r="BR90" s="2728"/>
      <c r="BS90" s="2728"/>
      <c r="BT90" s="2728"/>
      <c r="BX90" s="1077"/>
      <c r="BY90" s="1077"/>
    </row>
    <row r="91" spans="1:82" x14ac:dyDescent="0.2">
      <c r="B91" s="940"/>
      <c r="C91" s="2728"/>
      <c r="D91" s="2728"/>
      <c r="E91" s="2568"/>
      <c r="F91" s="2568"/>
      <c r="G91" s="2568"/>
      <c r="H91" s="1311"/>
      <c r="I91" s="1311"/>
      <c r="J91" s="1311"/>
      <c r="K91" s="1311"/>
      <c r="L91" s="1311"/>
      <c r="M91" s="1311"/>
      <c r="N91" s="1311"/>
      <c r="O91" s="1311"/>
      <c r="P91" s="1311"/>
      <c r="Q91" s="1311"/>
      <c r="R91" s="1311"/>
      <c r="S91" s="1311"/>
      <c r="T91" s="1311"/>
      <c r="U91" s="1311"/>
      <c r="V91" s="1311"/>
      <c r="W91" s="1311"/>
      <c r="X91" s="1311"/>
      <c r="Y91" s="1311"/>
      <c r="Z91" s="1311"/>
      <c r="AA91" s="1311"/>
      <c r="AB91" s="1311"/>
      <c r="AC91" s="1311"/>
      <c r="AD91" s="1311"/>
      <c r="AE91" s="1311"/>
      <c r="AF91" s="1311"/>
      <c r="AG91" s="1311"/>
      <c r="AH91" s="1311"/>
      <c r="AI91" s="1311"/>
      <c r="AJ91" s="1311"/>
      <c r="AK91" s="1311"/>
      <c r="AL91" s="1311"/>
      <c r="AM91" s="1311"/>
      <c r="AN91" s="1311"/>
      <c r="AO91" s="1311"/>
      <c r="AP91" s="1311"/>
      <c r="AQ91" s="1311"/>
      <c r="AR91" s="1311"/>
      <c r="AS91" s="1311"/>
      <c r="AT91" s="1311"/>
      <c r="AU91" s="1311"/>
      <c r="AV91" s="1311"/>
      <c r="AW91" s="1311"/>
      <c r="AX91" s="2728"/>
      <c r="AY91" s="2728"/>
      <c r="AZ91" s="2728"/>
      <c r="BA91" s="2728"/>
      <c r="BB91" s="2728"/>
      <c r="BC91" s="2728"/>
      <c r="BD91" s="2728"/>
      <c r="BE91" s="2728"/>
      <c r="BF91" s="2728"/>
      <c r="BG91" s="1311"/>
      <c r="BH91" s="2728"/>
      <c r="BI91" s="2728"/>
      <c r="BJ91" s="2728"/>
      <c r="BK91" s="2728"/>
      <c r="BL91" s="2728"/>
      <c r="BM91" s="2728"/>
      <c r="BN91" s="2728"/>
      <c r="BO91" s="2728"/>
      <c r="BP91" s="2728"/>
      <c r="BQ91" s="2728"/>
      <c r="BR91" s="2728"/>
      <c r="BS91" s="2728"/>
      <c r="BT91" s="2728"/>
      <c r="BX91" s="1311"/>
      <c r="BY91" s="1311"/>
    </row>
    <row r="92" spans="1:82" x14ac:dyDescent="0.2">
      <c r="B92" s="940"/>
      <c r="C92" s="2728"/>
      <c r="D92" s="2728"/>
      <c r="E92" s="2568"/>
      <c r="F92" s="2568"/>
      <c r="G92" s="2568"/>
      <c r="H92" s="1311"/>
      <c r="I92" s="1311"/>
      <c r="J92" s="1311"/>
      <c r="K92" s="1311"/>
      <c r="L92" s="1311"/>
      <c r="M92" s="1311"/>
      <c r="N92" s="1311"/>
      <c r="O92" s="1311"/>
      <c r="P92" s="1311"/>
      <c r="Q92" s="1311"/>
      <c r="R92" s="1311"/>
      <c r="S92" s="1311"/>
      <c r="T92" s="1311"/>
      <c r="U92" s="1311"/>
      <c r="V92" s="1311"/>
      <c r="W92" s="1311"/>
      <c r="X92" s="1311"/>
      <c r="Y92" s="1311"/>
      <c r="Z92" s="1311"/>
      <c r="AA92" s="1311"/>
      <c r="AB92" s="1311"/>
      <c r="AC92" s="1311"/>
      <c r="AD92" s="1311"/>
      <c r="AE92" s="1311"/>
      <c r="AF92" s="1311"/>
      <c r="AG92" s="1311"/>
      <c r="AH92" s="1311"/>
      <c r="AI92" s="1311"/>
      <c r="AJ92" s="1311"/>
      <c r="AK92" s="1311"/>
      <c r="AL92" s="1311"/>
      <c r="AM92" s="1311"/>
      <c r="AN92" s="1311"/>
      <c r="AO92" s="1311"/>
      <c r="AP92" s="1311"/>
      <c r="AQ92" s="1311"/>
      <c r="AR92" s="1311"/>
      <c r="AS92" s="1311"/>
      <c r="AT92" s="1311"/>
      <c r="AU92" s="1311"/>
      <c r="AV92" s="1311"/>
      <c r="AW92" s="1311"/>
      <c r="AX92" s="2728"/>
      <c r="AY92" s="2728"/>
      <c r="AZ92" s="2728"/>
      <c r="BA92" s="2728"/>
      <c r="BB92" s="2728"/>
      <c r="BC92" s="2728"/>
      <c r="BD92" s="2728"/>
      <c r="BE92" s="2728"/>
      <c r="BF92" s="2728"/>
      <c r="BG92" s="1311"/>
      <c r="BH92" s="2728"/>
      <c r="BI92" s="2728"/>
      <c r="BJ92" s="2728"/>
      <c r="BK92" s="2728"/>
      <c r="BL92" s="2728"/>
      <c r="BM92" s="2728"/>
      <c r="BN92" s="2728"/>
      <c r="BO92" s="2728"/>
      <c r="BP92" s="2728"/>
      <c r="BQ92" s="2728"/>
      <c r="BR92" s="2728"/>
      <c r="BS92" s="2728"/>
      <c r="BT92" s="2728"/>
      <c r="BX92" s="1311"/>
      <c r="BY92" s="1311"/>
    </row>
    <row r="93" spans="1:82" x14ac:dyDescent="0.2">
      <c r="B93" s="940"/>
      <c r="C93" s="2728"/>
      <c r="D93" s="2728"/>
      <c r="E93" s="934"/>
      <c r="F93" s="934"/>
      <c r="G93" s="934"/>
      <c r="H93" s="2728"/>
      <c r="I93" s="2728"/>
      <c r="J93" s="2728"/>
      <c r="K93" s="2728"/>
      <c r="L93" s="2728"/>
      <c r="M93" s="2936"/>
      <c r="N93" s="2728"/>
      <c r="O93" s="2728"/>
      <c r="P93" s="2728"/>
      <c r="Q93" s="2728"/>
      <c r="R93" s="2728"/>
      <c r="S93" s="1311"/>
      <c r="T93" s="2728"/>
      <c r="U93" s="2728"/>
      <c r="V93" s="1311"/>
      <c r="W93" s="1311"/>
      <c r="X93" s="2728"/>
      <c r="Y93" s="2728"/>
      <c r="Z93" s="1311"/>
      <c r="AA93" s="1311"/>
      <c r="AB93" s="1311"/>
      <c r="AC93" s="1311"/>
      <c r="AD93" s="1311"/>
      <c r="AE93" s="1311"/>
      <c r="AF93" s="1311"/>
      <c r="AG93" s="1311"/>
      <c r="AH93" s="1311"/>
      <c r="AI93" s="1311"/>
      <c r="AJ93" s="1311"/>
      <c r="AK93" s="1311"/>
      <c r="AL93" s="1311"/>
      <c r="AM93" s="1311"/>
      <c r="AN93" s="1311"/>
      <c r="AO93" s="1311"/>
      <c r="AP93" s="1311"/>
      <c r="AQ93" s="1311"/>
      <c r="AR93" s="1311"/>
      <c r="AS93" s="1311"/>
      <c r="AT93" s="1311"/>
      <c r="AU93" s="1311"/>
      <c r="AV93" s="1311"/>
      <c r="AW93" s="1311"/>
      <c r="AX93" s="2728"/>
      <c r="AY93" s="2728"/>
      <c r="AZ93" s="2728"/>
      <c r="BA93" s="2728"/>
      <c r="BB93" s="2728"/>
      <c r="BC93" s="2728"/>
      <c r="BD93" s="2728"/>
      <c r="BE93" s="2728"/>
      <c r="BF93" s="2728"/>
      <c r="BG93" s="1311"/>
      <c r="BH93" s="2728"/>
      <c r="BI93" s="2728"/>
      <c r="BJ93" s="2728"/>
      <c r="BK93" s="2728"/>
      <c r="BL93" s="2728"/>
      <c r="BM93" s="2728"/>
      <c r="BN93" s="2728"/>
      <c r="BO93" s="2728"/>
      <c r="BP93" s="2728"/>
      <c r="BQ93" s="2728"/>
      <c r="BR93" s="2728"/>
      <c r="BS93" s="2728"/>
      <c r="BT93" s="2728"/>
      <c r="BX93" s="2194"/>
      <c r="BY93" s="2194"/>
    </row>
    <row r="94" spans="1:82" x14ac:dyDescent="0.2">
      <c r="B94" s="940"/>
      <c r="C94" s="2728"/>
      <c r="D94" s="2728"/>
      <c r="E94" s="934"/>
      <c r="F94" s="934"/>
      <c r="G94" s="934"/>
      <c r="H94" s="2728"/>
      <c r="I94" s="2728"/>
      <c r="J94" s="2728"/>
      <c r="K94" s="2728"/>
      <c r="L94" s="2728"/>
      <c r="M94" s="2936"/>
      <c r="N94" s="2728"/>
      <c r="O94" s="2728"/>
      <c r="P94" s="2728"/>
      <c r="Q94" s="2728"/>
      <c r="R94" s="2728"/>
      <c r="S94" s="1311"/>
      <c r="T94" s="2728"/>
      <c r="U94" s="2728"/>
      <c r="V94" s="2728"/>
      <c r="W94" s="1311"/>
      <c r="X94" s="2728"/>
      <c r="Y94" s="2728"/>
      <c r="Z94" s="2728"/>
      <c r="AA94" s="2728"/>
      <c r="AB94" s="2728"/>
      <c r="AC94" s="2728"/>
      <c r="AD94" s="2728"/>
      <c r="AE94" s="2728"/>
      <c r="AF94" s="2728"/>
      <c r="AG94" s="2728">
        <v>0.36886049764468193</v>
      </c>
      <c r="AH94" s="2728">
        <v>0.48646254360223684</v>
      </c>
      <c r="AI94" s="2728">
        <v>0.3100533507417329</v>
      </c>
      <c r="AJ94" s="2728">
        <v>0.3313701492335468</v>
      </c>
      <c r="AK94" s="2728">
        <v>0.39697907949790795</v>
      </c>
      <c r="AL94" s="2728">
        <v>0.30856223753465639</v>
      </c>
      <c r="AM94" s="2728">
        <v>0.21144611159352975</v>
      </c>
      <c r="AN94" s="2728">
        <v>0.19537816774841663</v>
      </c>
      <c r="AO94" s="2728">
        <v>0.32030009712965135</v>
      </c>
      <c r="AP94" s="2728">
        <v>0.29618146751186503</v>
      </c>
      <c r="AQ94" s="2728">
        <v>0.30174732591366071</v>
      </c>
      <c r="AR94" s="2728">
        <v>0.24290259069152467</v>
      </c>
      <c r="AS94" s="2728">
        <v>0.30655223687613137</v>
      </c>
      <c r="AT94" s="2728">
        <v>0.28518946916624838</v>
      </c>
      <c r="AU94" s="2728">
        <v>0.38178997345695165</v>
      </c>
      <c r="AV94" s="2728">
        <v>0.60120658806257743</v>
      </c>
      <c r="AW94" s="2728">
        <v>0.45685695982098551</v>
      </c>
      <c r="AX94" s="2728">
        <v>0.29534821780114412</v>
      </c>
      <c r="AY94" s="2728">
        <v>0.37250951577597147</v>
      </c>
      <c r="AZ94" s="2728">
        <v>0.28022841061553061</v>
      </c>
      <c r="BA94" s="2728">
        <v>0.32276277939686154</v>
      </c>
      <c r="BB94" s="2728">
        <v>0.20964330743889048</v>
      </c>
      <c r="BC94" s="2728">
        <v>0.23074435301672958</v>
      </c>
      <c r="BD94" s="2728">
        <v>0.24451946857492163</v>
      </c>
      <c r="BE94" s="2728">
        <v>0.28945530054924984</v>
      </c>
      <c r="BF94" s="2728">
        <v>0.24016261819169735</v>
      </c>
      <c r="BG94" s="1311"/>
      <c r="BH94" s="2728"/>
      <c r="BI94" s="2728"/>
      <c r="BJ94" s="2728"/>
      <c r="BK94" s="2728"/>
      <c r="BL94" s="2728"/>
      <c r="BM94" s="2728"/>
      <c r="BN94" s="2728"/>
      <c r="BO94" s="2728"/>
      <c r="BP94" s="2728"/>
      <c r="BQ94" s="2728"/>
      <c r="BR94" s="2728"/>
      <c r="BS94" s="2728"/>
      <c r="BT94" s="2728"/>
      <c r="BX94" s="1077"/>
      <c r="BY94" s="1077"/>
      <c r="BZ94" s="2728"/>
    </row>
    <row r="95" spans="1:82" x14ac:dyDescent="0.2">
      <c r="B95" s="940"/>
      <c r="C95" s="2728"/>
      <c r="D95" s="2728"/>
      <c r="E95" s="934"/>
      <c r="F95" s="934"/>
      <c r="G95" s="934"/>
      <c r="H95" s="2728"/>
      <c r="I95" s="2728"/>
      <c r="J95" s="2728"/>
      <c r="K95" s="2728"/>
      <c r="L95" s="2728"/>
      <c r="M95" s="2936"/>
      <c r="N95" s="2728"/>
      <c r="O95" s="2728"/>
      <c r="P95" s="2728"/>
      <c r="Q95" s="2728"/>
      <c r="R95" s="2728"/>
      <c r="S95" s="1311"/>
      <c r="T95" s="2728"/>
      <c r="U95" s="2728"/>
      <c r="V95" s="1311"/>
      <c r="W95" s="1311"/>
      <c r="X95" s="2728"/>
      <c r="Y95" s="2728"/>
      <c r="Z95" s="1311"/>
      <c r="AA95" s="1311"/>
      <c r="AB95" s="1311"/>
      <c r="AC95" s="1311"/>
      <c r="AD95" s="1311"/>
      <c r="AE95" s="1311"/>
      <c r="AF95" s="2730"/>
      <c r="AG95" s="2730"/>
      <c r="AH95" s="2730"/>
      <c r="AI95" s="1311"/>
      <c r="AJ95" s="1311"/>
      <c r="AK95" s="1311"/>
      <c r="AL95" s="1311"/>
      <c r="AM95" s="1311"/>
      <c r="AN95" s="1311"/>
      <c r="AO95" s="1311"/>
      <c r="AP95" s="1311"/>
      <c r="AQ95" s="1311"/>
      <c r="AR95" s="1311"/>
      <c r="AS95" s="1311"/>
      <c r="AT95" s="1311"/>
      <c r="AU95" s="1311"/>
      <c r="AV95" s="1311"/>
      <c r="AW95" s="1311"/>
      <c r="AX95" s="1077"/>
      <c r="AY95" s="2728"/>
      <c r="AZ95" s="2728"/>
      <c r="BA95" s="2728"/>
      <c r="BB95" s="2728"/>
      <c r="BC95" s="2728"/>
      <c r="BD95" s="2728"/>
      <c r="BE95" s="2728"/>
      <c r="BF95" s="1077"/>
      <c r="BG95" s="1311"/>
      <c r="BH95" s="1311"/>
      <c r="BI95" s="1311"/>
      <c r="BJ95" s="2728"/>
      <c r="BK95" s="2728"/>
      <c r="BL95" s="2728"/>
      <c r="BM95" s="2728"/>
      <c r="BN95" s="1311"/>
      <c r="BO95" s="1311"/>
      <c r="BP95" s="2728"/>
      <c r="BQ95" s="2728"/>
      <c r="BR95" s="2728"/>
      <c r="BS95" s="2728"/>
      <c r="BT95" s="2728"/>
      <c r="BX95" s="1077"/>
      <c r="BY95" s="1077"/>
      <c r="BZ95" s="2728"/>
    </row>
    <row r="96" spans="1:82" x14ac:dyDescent="0.2">
      <c r="C96" s="2728"/>
      <c r="D96" s="2728"/>
      <c r="E96" s="934"/>
      <c r="F96" s="934"/>
      <c r="G96" s="934"/>
      <c r="H96" s="2728"/>
      <c r="I96" s="2728"/>
      <c r="J96" s="2728"/>
      <c r="K96" s="2728"/>
      <c r="L96" s="2728"/>
      <c r="M96" s="2936"/>
      <c r="N96" s="2728"/>
      <c r="O96" s="2728"/>
      <c r="P96" s="2728"/>
      <c r="Q96" s="2728"/>
      <c r="R96" s="2728"/>
      <c r="S96" s="1311"/>
      <c r="T96" s="2728"/>
      <c r="U96" s="2728"/>
      <c r="V96" s="2728"/>
      <c r="W96" s="1311"/>
      <c r="X96" s="2728"/>
      <c r="Y96" s="2728"/>
      <c r="Z96" s="2728"/>
      <c r="AA96" s="1311"/>
      <c r="AB96" s="1311"/>
      <c r="AC96" s="1311"/>
      <c r="AD96" s="1311"/>
      <c r="AE96" s="1311"/>
      <c r="AF96" s="2730"/>
      <c r="AG96" s="2730"/>
      <c r="AH96" s="2730"/>
      <c r="AI96" s="1311"/>
      <c r="AJ96" s="1311"/>
      <c r="AK96" s="1311"/>
      <c r="AL96" s="1311"/>
      <c r="AM96" s="1311"/>
      <c r="AN96" s="1311"/>
      <c r="AO96" s="1311"/>
      <c r="AP96" s="1311"/>
      <c r="AQ96" s="1311"/>
      <c r="AR96" s="1311"/>
      <c r="AS96" s="1311"/>
      <c r="AT96" s="1311"/>
      <c r="AU96" s="1311"/>
      <c r="AV96" s="1311"/>
      <c r="AW96" s="1311"/>
      <c r="AX96" s="1077"/>
      <c r="AY96" s="2728"/>
      <c r="AZ96" s="2728"/>
      <c r="BA96" s="2728"/>
      <c r="BB96" s="2728"/>
      <c r="BC96" s="2728"/>
      <c r="BD96" s="2728"/>
      <c r="BE96" s="2728"/>
      <c r="BF96" s="1077"/>
      <c r="BG96" s="1311"/>
      <c r="BH96" s="1311"/>
      <c r="BI96" s="1311"/>
      <c r="BJ96" s="2728"/>
      <c r="BK96" s="2728"/>
      <c r="BL96" s="2728"/>
      <c r="BM96" s="2728"/>
      <c r="BN96" s="1311"/>
      <c r="BO96" s="1311"/>
      <c r="BP96" s="2728"/>
      <c r="BQ96" s="1311"/>
      <c r="BR96" s="1311"/>
      <c r="BS96" s="2728"/>
      <c r="BT96" s="2728"/>
      <c r="BX96" s="1357"/>
      <c r="BY96" s="1357"/>
      <c r="BZ96" s="2728"/>
    </row>
    <row r="97" spans="3:78" x14ac:dyDescent="0.2">
      <c r="C97" s="2728"/>
      <c r="D97" s="2728"/>
      <c r="E97" s="934"/>
      <c r="F97" s="934"/>
      <c r="G97" s="934"/>
      <c r="H97" s="2728"/>
      <c r="I97" s="2728"/>
      <c r="J97" s="2728"/>
      <c r="K97" s="2728"/>
      <c r="L97" s="2728"/>
      <c r="M97" s="2936"/>
      <c r="N97" s="2728"/>
      <c r="O97" s="2728"/>
      <c r="P97" s="2728"/>
      <c r="Q97" s="2728"/>
      <c r="R97" s="2728"/>
      <c r="S97" s="1311"/>
      <c r="T97" s="2728"/>
      <c r="U97" s="2728"/>
      <c r="V97" s="1311"/>
      <c r="W97" s="1311"/>
      <c r="X97" s="2728"/>
      <c r="Y97" s="2728"/>
      <c r="Z97" s="1311"/>
      <c r="AA97" s="1311"/>
      <c r="AB97" s="1311"/>
      <c r="AC97" s="1311"/>
      <c r="AD97" s="1311"/>
      <c r="AE97" s="1311"/>
      <c r="AF97" s="1311"/>
      <c r="AG97" s="1311"/>
      <c r="AH97" s="1311"/>
      <c r="AI97" s="1311"/>
      <c r="AJ97" s="1311"/>
      <c r="AK97" s="1311"/>
      <c r="AL97" s="1311"/>
      <c r="AM97" s="1311"/>
      <c r="AN97" s="1311"/>
      <c r="AO97" s="1311"/>
      <c r="AP97" s="1311"/>
      <c r="AQ97" s="1311"/>
      <c r="AR97" s="1311"/>
      <c r="AS97" s="1311"/>
      <c r="AT97" s="1311"/>
      <c r="AU97" s="1311"/>
      <c r="AV97" s="1311"/>
      <c r="AW97" s="1311"/>
      <c r="AX97" s="1311"/>
      <c r="AY97" s="2728"/>
      <c r="AZ97" s="2728"/>
      <c r="BA97" s="2728"/>
      <c r="BB97" s="2728"/>
      <c r="BC97" s="2728"/>
      <c r="BD97" s="2728"/>
      <c r="BE97" s="2728"/>
      <c r="BF97" s="1311"/>
      <c r="BG97" s="1311"/>
      <c r="BH97" s="1311"/>
      <c r="BI97" s="1311"/>
      <c r="BJ97" s="2728"/>
      <c r="BK97" s="2728"/>
      <c r="BL97" s="2728"/>
      <c r="BM97" s="2728"/>
      <c r="BN97" s="1311"/>
      <c r="BO97" s="1311"/>
      <c r="BP97" s="2728"/>
      <c r="BQ97" s="1311"/>
      <c r="BR97" s="1311"/>
      <c r="BS97" s="2728"/>
      <c r="BT97" s="2728"/>
      <c r="BX97" s="1357"/>
      <c r="BY97" s="1357"/>
      <c r="BZ97" s="2728"/>
    </row>
    <row r="98" spans="3:78" x14ac:dyDescent="0.2">
      <c r="C98" s="2728"/>
      <c r="D98" s="2728"/>
      <c r="E98" s="934"/>
      <c r="F98" s="934"/>
      <c r="G98" s="934"/>
      <c r="H98" s="2728"/>
      <c r="I98" s="2728"/>
      <c r="J98" s="2728"/>
      <c r="K98" s="2728"/>
      <c r="L98" s="2728"/>
      <c r="M98" s="2936"/>
      <c r="N98" s="2728"/>
      <c r="O98" s="2728"/>
      <c r="P98" s="2728"/>
      <c r="Q98" s="2728"/>
      <c r="R98" s="2728"/>
      <c r="S98" s="1311"/>
      <c r="T98" s="2728"/>
      <c r="U98" s="2728"/>
      <c r="V98" s="2728"/>
      <c r="W98" s="1311"/>
      <c r="X98" s="2728"/>
      <c r="Y98" s="2728"/>
      <c r="Z98" s="2728"/>
      <c r="AA98" s="1311"/>
      <c r="AB98" s="2728"/>
      <c r="AC98" s="2728"/>
      <c r="AD98" s="2728"/>
      <c r="AE98" s="2728"/>
      <c r="AF98" s="2730"/>
      <c r="AG98" s="2730"/>
      <c r="AH98" s="2730"/>
      <c r="AI98" s="1311"/>
      <c r="AJ98" s="1311"/>
      <c r="AK98" s="1311"/>
      <c r="AL98" s="1311"/>
      <c r="AM98" s="1311"/>
      <c r="AN98" s="1311"/>
      <c r="AO98" s="1311"/>
      <c r="AP98" s="1311"/>
      <c r="AQ98" s="1311"/>
      <c r="AR98" s="1311"/>
      <c r="AS98" s="1311"/>
      <c r="AT98" s="1311"/>
      <c r="AU98" s="1311"/>
      <c r="AV98" s="1311"/>
      <c r="AW98" s="1311"/>
      <c r="AX98" s="1311"/>
      <c r="AY98" s="1311"/>
      <c r="AZ98" s="2728"/>
      <c r="BA98" s="2728"/>
      <c r="BB98" s="1311"/>
      <c r="BC98" s="2728"/>
      <c r="BD98" s="1311"/>
      <c r="BE98" s="1311"/>
      <c r="BF98" s="1311"/>
      <c r="BG98" s="1311"/>
      <c r="BH98" s="1311"/>
      <c r="BI98" s="1311"/>
      <c r="BJ98" s="2728"/>
      <c r="BK98" s="2728"/>
      <c r="BL98" s="2728"/>
      <c r="BM98" s="2728"/>
      <c r="BN98" s="1311"/>
      <c r="BO98" s="1311"/>
      <c r="BP98" s="2728"/>
      <c r="BQ98" s="1311"/>
      <c r="BR98" s="1311"/>
      <c r="BS98" s="1311"/>
      <c r="BT98" s="2728"/>
      <c r="BX98" s="1357"/>
      <c r="BY98" s="1357"/>
    </row>
    <row r="99" spans="3:78" x14ac:dyDescent="0.2">
      <c r="C99" s="2728"/>
      <c r="D99" s="2728"/>
      <c r="E99" s="934"/>
      <c r="F99" s="934"/>
      <c r="G99" s="934"/>
      <c r="H99" s="2728"/>
      <c r="I99" s="2728"/>
      <c r="J99" s="2728"/>
      <c r="K99" s="2728"/>
      <c r="L99" s="2728"/>
      <c r="M99" s="2936"/>
      <c r="N99" s="2728"/>
      <c r="O99" s="2728"/>
      <c r="P99" s="2728"/>
      <c r="Q99" s="2728"/>
      <c r="R99" s="2728"/>
      <c r="S99" s="2728"/>
      <c r="T99" s="2728"/>
      <c r="U99" s="2728"/>
      <c r="V99" s="2728"/>
      <c r="W99" s="2728"/>
      <c r="X99" s="2728"/>
      <c r="Y99" s="2728"/>
      <c r="Z99" s="2728"/>
      <c r="AA99" s="1311"/>
      <c r="AB99" s="2728"/>
      <c r="AC99" s="2728"/>
      <c r="AD99" s="2728"/>
      <c r="AE99" s="2728"/>
      <c r="AF99" s="1311"/>
      <c r="AG99" s="1311"/>
      <c r="AH99" s="1311"/>
      <c r="AI99" s="1311"/>
      <c r="AJ99" s="1311"/>
      <c r="AK99" s="1311"/>
      <c r="AL99" s="1311"/>
      <c r="AM99" s="1311"/>
      <c r="AN99" s="1311"/>
      <c r="AO99" s="1311"/>
      <c r="AP99" s="1311"/>
      <c r="AQ99" s="1311"/>
      <c r="AR99" s="1311"/>
      <c r="AS99" s="1311"/>
      <c r="AT99" s="1311"/>
      <c r="AU99" s="1311"/>
      <c r="AV99" s="1311"/>
      <c r="AW99" s="1311"/>
      <c r="AX99" s="1077"/>
      <c r="AY99" s="1077"/>
      <c r="AZ99" s="1077"/>
      <c r="BA99" s="1077"/>
      <c r="BB99" s="1077"/>
      <c r="BC99" s="1077"/>
      <c r="BD99" s="1077"/>
      <c r="BE99" s="1077"/>
      <c r="BF99" s="1077"/>
      <c r="BG99" s="1311"/>
      <c r="BH99" s="1311"/>
      <c r="BI99" s="1311"/>
      <c r="BJ99" s="1065"/>
      <c r="BK99" s="2728"/>
      <c r="BL99" s="2728"/>
      <c r="BM99" s="2728"/>
      <c r="BN99" s="1311"/>
      <c r="BO99" s="1311"/>
      <c r="BP99" s="2728"/>
      <c r="BQ99" s="1311"/>
      <c r="BR99" s="1311"/>
      <c r="BS99" s="1311"/>
      <c r="BT99" s="2728"/>
      <c r="BX99" s="1357"/>
      <c r="BY99" s="1357"/>
    </row>
    <row r="100" spans="3:78" x14ac:dyDescent="0.2">
      <c r="C100" s="2728"/>
      <c r="D100" s="2728"/>
      <c r="E100" s="934"/>
      <c r="F100" s="934"/>
      <c r="G100" s="934"/>
      <c r="H100" s="2728"/>
      <c r="I100" s="2728"/>
      <c r="J100" s="2728"/>
      <c r="K100" s="2728"/>
      <c r="L100" s="2728"/>
      <c r="M100" s="2936"/>
      <c r="N100" s="2728"/>
      <c r="O100" s="2728"/>
      <c r="P100" s="2728"/>
      <c r="Q100" s="2728"/>
      <c r="R100" s="2728"/>
      <c r="S100" s="2728"/>
      <c r="T100" s="2728"/>
      <c r="U100" s="2728"/>
      <c r="V100" s="2728"/>
      <c r="W100" s="2728"/>
      <c r="X100" s="2728"/>
      <c r="Y100" s="2728"/>
      <c r="Z100" s="2728"/>
      <c r="AA100" s="1311"/>
      <c r="AB100" s="2728"/>
      <c r="AC100" s="2728"/>
      <c r="AD100" s="2728"/>
      <c r="AE100" s="2728"/>
      <c r="AF100" s="1311"/>
      <c r="AG100" s="1311"/>
      <c r="AH100" s="1311"/>
      <c r="AI100" s="1311"/>
      <c r="AJ100" s="1311"/>
      <c r="AK100" s="1311"/>
      <c r="AL100" s="1311"/>
      <c r="AM100" s="1311"/>
      <c r="AN100" s="1311"/>
      <c r="AO100" s="1311"/>
      <c r="AP100" s="1311"/>
      <c r="AQ100" s="1311"/>
      <c r="AR100" s="1311"/>
      <c r="AS100" s="1311"/>
      <c r="AT100" s="1311"/>
      <c r="AU100" s="1311"/>
      <c r="AV100" s="1311"/>
      <c r="AW100" s="1311"/>
      <c r="AX100" s="1077"/>
      <c r="AY100" s="1077"/>
      <c r="AZ100" s="1077"/>
      <c r="BA100" s="1077"/>
      <c r="BB100" s="1077"/>
      <c r="BC100" s="1077"/>
      <c r="BD100" s="1077"/>
      <c r="BE100" s="1077"/>
      <c r="BF100" s="1077"/>
      <c r="BG100" s="1311"/>
      <c r="BH100" s="1311"/>
      <c r="BI100" s="1311"/>
      <c r="BJ100" s="2728"/>
      <c r="BK100" s="2728"/>
      <c r="BL100" s="2728"/>
      <c r="BM100" s="2728"/>
      <c r="BN100" s="1311"/>
      <c r="BO100" s="1311"/>
      <c r="BP100" s="2728"/>
      <c r="BQ100" s="1311"/>
      <c r="BR100" s="1311"/>
      <c r="BS100" s="2728"/>
      <c r="BT100" s="2728"/>
      <c r="BX100" s="1357"/>
      <c r="BY100" s="1357"/>
    </row>
    <row r="101" spans="3:78" x14ac:dyDescent="0.2">
      <c r="E101" s="1180"/>
      <c r="F101" s="1180"/>
      <c r="G101" s="1180"/>
      <c r="H101" s="1920"/>
      <c r="I101" s="1920"/>
      <c r="J101" s="1920"/>
      <c r="K101" s="1920"/>
      <c r="L101" s="1920"/>
      <c r="M101" s="2936"/>
      <c r="N101" s="1920"/>
      <c r="O101" s="1920"/>
      <c r="P101" s="1920"/>
      <c r="Q101" s="1920"/>
      <c r="R101" s="1920"/>
      <c r="S101" s="1920"/>
      <c r="T101" s="1920"/>
      <c r="U101" s="1920"/>
      <c r="V101" s="1920"/>
      <c r="W101" s="1920"/>
      <c r="X101" s="1920"/>
      <c r="Y101" s="1920"/>
      <c r="Z101" s="1920"/>
      <c r="AA101" s="1920"/>
      <c r="AB101" s="1920"/>
      <c r="AC101" s="1920"/>
      <c r="AD101" s="1920"/>
      <c r="AE101" s="1920"/>
      <c r="AX101" s="1357"/>
      <c r="AY101" s="1357"/>
      <c r="AZ101" s="1357"/>
      <c r="BA101" s="1357"/>
      <c r="BB101" s="1357"/>
      <c r="BC101" s="1357"/>
      <c r="BD101" s="1357"/>
      <c r="BE101" s="1357"/>
      <c r="BF101" s="1357"/>
      <c r="BH101" s="1357"/>
      <c r="BI101" s="1357"/>
      <c r="BN101" s="1357"/>
      <c r="BO101" s="1357"/>
    </row>
    <row r="102" spans="3:78" x14ac:dyDescent="0.2">
      <c r="M102" s="2936"/>
    </row>
    <row r="103" spans="3:78" x14ac:dyDescent="0.2">
      <c r="M103" s="2936"/>
    </row>
    <row r="104" spans="3:78" x14ac:dyDescent="0.2">
      <c r="M104" s="2937"/>
    </row>
    <row r="105" spans="3:78" x14ac:dyDescent="0.2">
      <c r="M105" s="2936"/>
    </row>
    <row r="107" spans="3:78" x14ac:dyDescent="0.2">
      <c r="M107" s="2936"/>
    </row>
  </sheetData>
  <mergeCells count="7">
    <mergeCell ref="BJ11:BK11"/>
    <mergeCell ref="BJ71:BK71"/>
    <mergeCell ref="C71:D71"/>
    <mergeCell ref="C10:D10"/>
    <mergeCell ref="C11:D11"/>
    <mergeCell ref="C70:D70"/>
    <mergeCell ref="BH10:BI10"/>
  </mergeCells>
  <phoneticPr fontId="14" type="noConversion"/>
  <conditionalFormatting sqref="BZ80:CB84 A68:A69 A87 BZ63:CB63 A63:B63 BT63:BX63 BW57:BX57 BZ56:CB57 A56:B57">
    <cfRule type="cellIs" dxfId="168" priority="13" stopIfTrue="1" operator="equal">
      <formula>0</formula>
    </cfRule>
  </conditionalFormatting>
  <conditionalFormatting sqref="BS63">
    <cfRule type="cellIs" dxfId="167" priority="9" stopIfTrue="1" operator="equal">
      <formula>0</formula>
    </cfRule>
  </conditionalFormatting>
  <conditionalFormatting sqref="BS63">
    <cfRule type="cellIs" dxfId="166" priority="8" stopIfTrue="1" operator="equal">
      <formula>0</formula>
    </cfRule>
  </conditionalFormatting>
  <conditionalFormatting sqref="BR63">
    <cfRule type="cellIs" dxfId="165" priority="7" stopIfTrue="1" operator="equal">
      <formula>0</formula>
    </cfRule>
  </conditionalFormatting>
  <conditionalFormatting sqref="BQ63">
    <cfRule type="cellIs" dxfId="164" priority="6" stopIfTrue="1" operator="equal">
      <formula>0</formula>
    </cfRule>
  </conditionalFormatting>
  <conditionalFormatting sqref="BP63">
    <cfRule type="cellIs" dxfId="163" priority="5" stopIfTrue="1" operator="equal">
      <formula>0</formula>
    </cfRule>
  </conditionalFormatting>
  <printOptions horizontalCentered="1" verticalCentered="1"/>
  <pageMargins left="0" right="0" top="0" bottom="0" header="0" footer="0"/>
  <pageSetup scale="53" orientation="landscape" r:id="rId1"/>
  <headerFooter alignWithMargins="0">
    <oddFooter>&amp;L&amp;F&amp;CPage 2</oddFooter>
  </headerFooter>
  <colBreaks count="1" manualBreakCount="1">
    <brk id="8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W321"/>
  <sheetViews>
    <sheetView showGridLines="0" topLeftCell="A243" zoomScale="90" zoomScaleNormal="90" workbookViewId="0">
      <selection activeCell="G276" sqref="G276"/>
    </sheetView>
  </sheetViews>
  <sheetFormatPr defaultColWidth="9.140625" defaultRowHeight="12.75" x14ac:dyDescent="0.2"/>
  <cols>
    <col min="1" max="1" width="12.140625" style="191" customWidth="1"/>
    <col min="2" max="2" width="22" style="191" customWidth="1"/>
    <col min="3" max="3" width="58.7109375" style="191" customWidth="1"/>
    <col min="4" max="7" width="12.42578125" style="191" customWidth="1"/>
    <col min="8" max="8" width="14" style="191" customWidth="1"/>
    <col min="9" max="11" width="12.42578125" style="191" customWidth="1"/>
    <col min="12" max="12" width="15.28515625" style="191" customWidth="1"/>
    <col min="13" max="13" width="20.42578125" style="191" customWidth="1"/>
    <col min="14" max="14" width="10.140625" style="191" bestFit="1" customWidth="1"/>
    <col min="15" max="15" width="12.42578125" style="191" bestFit="1" customWidth="1"/>
    <col min="16" max="17" width="14.42578125" style="191" bestFit="1" customWidth="1"/>
    <col min="18" max="18" width="9.140625" style="191"/>
    <col min="19" max="19" width="24.85546875" style="191" customWidth="1"/>
    <col min="20" max="20" width="21.42578125" style="191" bestFit="1" customWidth="1"/>
    <col min="21" max="23" width="11.5703125" style="191" bestFit="1" customWidth="1"/>
    <col min="24" max="16384" width="9.140625" style="191"/>
  </cols>
  <sheetData>
    <row r="1" spans="1:23" x14ac:dyDescent="0.2">
      <c r="J1" s="2272"/>
      <c r="K1" s="2272"/>
    </row>
    <row r="2" spans="1:23" ht="15.75" x14ac:dyDescent="0.2">
      <c r="C2" s="2248" t="s">
        <v>426</v>
      </c>
      <c r="F2" s="2522"/>
    </row>
    <row r="3" spans="1:23" ht="17.25" thickBot="1" x14ac:dyDescent="0.25">
      <c r="C3" s="2259" t="s">
        <v>603</v>
      </c>
    </row>
    <row r="4" spans="1:23" ht="15" thickBot="1" x14ac:dyDescent="0.25">
      <c r="A4" s="2272" t="s">
        <v>570</v>
      </c>
      <c r="B4" s="2577" t="s">
        <v>670</v>
      </c>
      <c r="C4" s="2259"/>
    </row>
    <row r="5" spans="1:23" ht="15" thickBot="1" x14ac:dyDescent="0.25">
      <c r="A5" s="2272" t="s">
        <v>571</v>
      </c>
      <c r="B5" s="2577" t="s">
        <v>561</v>
      </c>
      <c r="C5" s="2259"/>
      <c r="D5" s="2272"/>
    </row>
    <row r="6" spans="1:23" ht="32.25" customHeight="1" thickBot="1" x14ac:dyDescent="0.25">
      <c r="A6" s="2272" t="s">
        <v>572</v>
      </c>
      <c r="B6" s="2577" t="s">
        <v>505</v>
      </c>
      <c r="C6" s="2322" t="s">
        <v>427</v>
      </c>
      <c r="D6" s="3098" t="s">
        <v>676</v>
      </c>
      <c r="E6" s="3098"/>
      <c r="F6" s="3098"/>
      <c r="G6" s="3101" t="s">
        <v>678</v>
      </c>
      <c r="H6" s="3098" t="s">
        <v>662</v>
      </c>
      <c r="I6" s="3098"/>
      <c r="J6" s="3098"/>
      <c r="K6" s="3131" t="s">
        <v>597</v>
      </c>
      <c r="M6" s="2648"/>
      <c r="T6" s="191" t="s">
        <v>510</v>
      </c>
    </row>
    <row r="7" spans="1:23" ht="13.5" thickBot="1" x14ac:dyDescent="0.25">
      <c r="A7" s="2272" t="s">
        <v>573</v>
      </c>
      <c r="B7" s="2578" t="s">
        <v>660</v>
      </c>
      <c r="C7" s="2323" t="s">
        <v>428</v>
      </c>
      <c r="D7" s="2324" t="s">
        <v>677</v>
      </c>
      <c r="E7" s="2325" t="s">
        <v>565</v>
      </c>
      <c r="F7" s="2325" t="s">
        <v>504</v>
      </c>
      <c r="G7" s="3106"/>
      <c r="H7" s="2324" t="s">
        <v>677</v>
      </c>
      <c r="I7" s="2325" t="s">
        <v>565</v>
      </c>
      <c r="J7" s="2325" t="s">
        <v>504</v>
      </c>
      <c r="K7" s="3132"/>
      <c r="M7" s="2324" t="s">
        <v>503</v>
      </c>
      <c r="O7" s="2272" t="s">
        <v>473</v>
      </c>
      <c r="P7" s="2272" t="s">
        <v>473</v>
      </c>
      <c r="T7" s="2277">
        <v>2018</v>
      </c>
      <c r="U7" s="2277">
        <v>2017</v>
      </c>
    </row>
    <row r="8" spans="1:23" x14ac:dyDescent="0.2">
      <c r="C8" s="2326" t="s">
        <v>429</v>
      </c>
      <c r="D8" s="2327"/>
      <c r="E8" s="2327"/>
      <c r="F8" s="2327"/>
      <c r="G8" s="2327"/>
      <c r="H8" s="2327"/>
      <c r="I8" s="2327"/>
      <c r="J8" s="2327"/>
      <c r="K8" s="2649"/>
      <c r="M8" s="2327"/>
      <c r="S8" s="191" t="s">
        <v>4</v>
      </c>
      <c r="T8" s="347">
        <f>'11 CWM Canada'!L16+'12 CWM UK and Europe'!L14+'9 CG - Australia'!L15</f>
        <v>110856</v>
      </c>
      <c r="U8" s="347">
        <f>'11 CWM Canada'!P16+'12 CWM UK and Europe'!P15+'9 CG - Australia'!P15</f>
        <v>68489</v>
      </c>
      <c r="V8" s="347">
        <f>T8-U8</f>
        <v>42367</v>
      </c>
      <c r="W8" s="2328">
        <f>V8/U8</f>
        <v>0.6185956868986261</v>
      </c>
    </row>
    <row r="9" spans="1:23" x14ac:dyDescent="0.2">
      <c r="C9" s="2329" t="s">
        <v>4</v>
      </c>
      <c r="D9" s="2327"/>
      <c r="E9" s="2327"/>
      <c r="F9" s="2327"/>
      <c r="G9" s="2327"/>
      <c r="H9" s="2327"/>
      <c r="I9" s="2327"/>
      <c r="J9" s="2327"/>
      <c r="K9" s="2649"/>
      <c r="M9" s="2327"/>
      <c r="S9" s="191" t="s">
        <v>511</v>
      </c>
      <c r="T9" s="347">
        <f>'12 CWM UK and Europe'!L68+'11 CWM Canada'!L71</f>
        <v>89157</v>
      </c>
      <c r="U9" s="347">
        <f>'12 CWM UK and Europe'!P68+'11 CWM Canada'!P71</f>
        <v>57055</v>
      </c>
      <c r="V9" s="347">
        <f>T9-U9</f>
        <v>32102</v>
      </c>
      <c r="W9" s="2328">
        <f>V9/U9</f>
        <v>0.56265007448952764</v>
      </c>
    </row>
    <row r="10" spans="1:23" x14ac:dyDescent="0.2">
      <c r="C10" s="2329" t="s">
        <v>430</v>
      </c>
      <c r="D10" s="2330">
        <f>VLOOKUP(TRIM($C10),'2 Consolidated IS'!$B:$BR,MATCH($B$4,'2 Consolidated IS'!$11:$11,0)-1,0)</f>
        <v>141792</v>
      </c>
      <c r="E10" s="2331">
        <f>VLOOKUP(TRIM($C10),'2 Consolidated IS'!$B:$BR,MATCH($B$5,'2 Consolidated IS'!$11:$11,0)-1,0)</f>
        <v>136380</v>
      </c>
      <c r="F10" s="2334">
        <f>VLOOKUP(TRIM($C10),'2 Consolidated IS'!$B:$BR,MATCH($B$6,'2 Consolidated IS'!$11:$11,0)-1,0)</f>
        <v>104955</v>
      </c>
      <c r="G10" s="2332">
        <f>IF(OR(((D10-E10)/E10)&gt;3,((D10-E10)/E10)&lt;-3),"n.m.",((D10-E10)/E10))</f>
        <v>3.968323801143863E-2</v>
      </c>
      <c r="H10" s="2330">
        <f>INDEX('2 Consolidated IS'!$A$1:$CD$97,ROW('2 Consolidated IS'!$A14),COLUMN('2 Consolidated IS'!$BH$1))</f>
        <v>556475</v>
      </c>
      <c r="I10" s="2334">
        <f>INDEX('2 Consolidated IS'!$A$1:$CD$97,ROW('2 Consolidated IS'!$A14),COLUMN('2 Consolidated IS'!$BI$1))</f>
        <v>461937</v>
      </c>
      <c r="J10" s="2361">
        <f>SUM('2 Consolidated IS'!P14:R14)</f>
        <v>290851</v>
      </c>
      <c r="K10" s="2650">
        <f t="shared" ref="K10:K16" si="0">IF(OR(((H10-I10)/I10)&gt;3,((H10-I10)/I10)&lt;-3),"n.m.",((H10-I10)/I10))</f>
        <v>0.20465561321132536</v>
      </c>
      <c r="M10" s="2361">
        <f t="shared" ref="M10:M16" si="1">H10-I10</f>
        <v>94538</v>
      </c>
      <c r="O10" s="191">
        <f t="shared" ref="O10:O20" si="2">IF((D10-E10)*G10&lt;0,"Reverse Sign",)</f>
        <v>0</v>
      </c>
      <c r="P10" s="191">
        <f t="shared" ref="P10:P21" si="3">IF((H10-I10)*K10&lt;0,"Reverse Sign",)</f>
        <v>0</v>
      </c>
    </row>
    <row r="11" spans="1:23" x14ac:dyDescent="0.2">
      <c r="C11" s="2333" t="s">
        <v>431</v>
      </c>
      <c r="D11" s="2330">
        <f>VLOOKUP(TRIM($C11),'2 Consolidated IS'!$B:$BR,MATCH($B$4,'2 Consolidated IS'!$11:$11,0)-1,0)</f>
        <v>84801</v>
      </c>
      <c r="E11" s="2331">
        <f>VLOOKUP(TRIM($C11),'2 Consolidated IS'!$B:$BR,MATCH($B$5,'2 Consolidated IS'!$11:$11,0)-1,0)</f>
        <v>67521</v>
      </c>
      <c r="F11" s="2334">
        <f>VLOOKUP(TRIM($C11),'2 Consolidated IS'!$B:$BR,MATCH($B$6,'2 Consolidated IS'!$11:$11,0)-1,0)</f>
        <v>40696</v>
      </c>
      <c r="G11" s="2332">
        <f t="shared" ref="G11:G16" si="4">IF(OR(((D11-E11)/E11)&gt;3,((D11-E11)/E11)&lt;-3),"n.m.",((D11-E11)/E11))</f>
        <v>0.25592038032612074</v>
      </c>
      <c r="H11" s="2330">
        <f>INDEX('2 Consolidated IS'!$A$1:$CD$97,ROW('2 Consolidated IS'!$A15),COLUMN('2 Consolidated IS'!$BH$1))</f>
        <v>294241</v>
      </c>
      <c r="I11" s="2334">
        <f>INDEX('2 Consolidated IS'!$A$1:$CD$97,ROW('2 Consolidated IS'!$A15),COLUMN('2 Consolidated IS'!$BI$1))</f>
        <v>282195</v>
      </c>
      <c r="J11" s="2361">
        <f>SUM('2 Consolidated IS'!P15:R15)</f>
        <v>124534</v>
      </c>
      <c r="K11" s="2650">
        <f t="shared" si="0"/>
        <v>4.2686794592391789E-2</v>
      </c>
      <c r="M11" s="2361">
        <f t="shared" si="1"/>
        <v>12046</v>
      </c>
      <c r="O11" s="191">
        <f t="shared" si="2"/>
        <v>0</v>
      </c>
      <c r="P11" s="191">
        <f t="shared" si="3"/>
        <v>0</v>
      </c>
    </row>
    <row r="12" spans="1:23" x14ac:dyDescent="0.2">
      <c r="C12" s="2333" t="s">
        <v>432</v>
      </c>
      <c r="D12" s="2330">
        <f>VLOOKUP(TRIM($C12),'2 Consolidated IS'!$B:$BR,MATCH($B$4,'2 Consolidated IS'!$11:$11,0)-1,0)</f>
        <v>53804</v>
      </c>
      <c r="E12" s="2331">
        <f>VLOOKUP(TRIM($C12),'2 Consolidated IS'!$B:$BR,MATCH($B$5,'2 Consolidated IS'!$11:$11,0)-1,0)</f>
        <v>24914</v>
      </c>
      <c r="F12" s="2334">
        <f>VLOOKUP(TRIM($C12),'2 Consolidated IS'!$B:$BR,MATCH($B$6,'2 Consolidated IS'!$11:$11,0)-1,0)</f>
        <v>18896</v>
      </c>
      <c r="G12" s="2332">
        <f t="shared" si="4"/>
        <v>1.1595889861122262</v>
      </c>
      <c r="H12" s="2330">
        <f>INDEX('2 Consolidated IS'!$A$1:$CD$97,ROW('2 Consolidated IS'!$A16),COLUMN('2 Consolidated IS'!$BH$1))</f>
        <v>142228</v>
      </c>
      <c r="I12" s="2334">
        <f>INDEX('2 Consolidated IS'!$A$1:$CD$97,ROW('2 Consolidated IS'!$A16),COLUMN('2 Consolidated IS'!$BI$1))</f>
        <v>122372</v>
      </c>
      <c r="J12" s="2361">
        <f>SUM('2 Consolidated IS'!P16:R16)</f>
        <v>78275</v>
      </c>
      <c r="K12" s="2650">
        <f t="shared" si="0"/>
        <v>0.16225934037198053</v>
      </c>
      <c r="M12" s="2361">
        <f t="shared" si="1"/>
        <v>19856</v>
      </c>
      <c r="O12" s="191">
        <f t="shared" si="2"/>
        <v>0</v>
      </c>
      <c r="P12" s="191">
        <f t="shared" si="3"/>
        <v>0</v>
      </c>
    </row>
    <row r="13" spans="1:23" x14ac:dyDescent="0.2">
      <c r="C13" s="2333" t="s">
        <v>433</v>
      </c>
      <c r="D13" s="2330">
        <f>VLOOKUP(TRIM($C13),'2 Consolidated IS'!$B:$BR,MATCH($B$4,'2 Consolidated IS'!$11:$11,0)-1,0)</f>
        <v>25073</v>
      </c>
      <c r="E13" s="2331">
        <f>VLOOKUP(TRIM($C13),'2 Consolidated IS'!$B:$BR,MATCH($B$5,'2 Consolidated IS'!$11:$11,0)-1,0)</f>
        <v>30908</v>
      </c>
      <c r="F13" s="2334">
        <f>VLOOKUP(TRIM($C13),'2 Consolidated IS'!$B:$BR,MATCH($B$6,'2 Consolidated IS'!$11:$11,0)-1,0)</f>
        <v>25887</v>
      </c>
      <c r="G13" s="2332">
        <f t="shared" si="4"/>
        <v>-0.18878607480264009</v>
      </c>
      <c r="H13" s="2330">
        <f>INDEX('2 Consolidated IS'!$A$1:$CD$97,ROW('2 Consolidated IS'!$A17),COLUMN('2 Consolidated IS'!$BH$1))</f>
        <v>125830</v>
      </c>
      <c r="I13" s="2334">
        <f>INDEX('2 Consolidated IS'!$A$1:$CD$97,ROW('2 Consolidated IS'!$A17),COLUMN('2 Consolidated IS'!$BI$1))</f>
        <v>113921</v>
      </c>
      <c r="J13" s="2361">
        <f>SUM('2 Consolidated IS'!P17:R17)</f>
        <v>87974</v>
      </c>
      <c r="K13" s="2650">
        <f t="shared" si="0"/>
        <v>0.10453735483361276</v>
      </c>
      <c r="M13" s="2361">
        <f t="shared" si="1"/>
        <v>11909</v>
      </c>
      <c r="O13" s="191">
        <f t="shared" si="2"/>
        <v>0</v>
      </c>
      <c r="P13" s="191">
        <f t="shared" si="3"/>
        <v>0</v>
      </c>
    </row>
    <row r="14" spans="1:23" x14ac:dyDescent="0.2">
      <c r="C14" s="2333" t="s">
        <v>434</v>
      </c>
      <c r="D14" s="2335">
        <f>VLOOKUP(TRIM($C14),'2 Consolidated IS'!$B:$BR,MATCH($B$4,'2 Consolidated IS'!$11:$11,0)-1,0)</f>
        <v>15185</v>
      </c>
      <c r="E14" s="2336">
        <f>VLOOKUP(TRIM($C14),'2 Consolidated IS'!$B:$BR,MATCH($B$5,'2 Consolidated IS'!$11:$11,0)-1,0)</f>
        <v>9246</v>
      </c>
      <c r="F14" s="2337">
        <f>VLOOKUP(TRIM($C14),'2 Consolidated IS'!$B:$BR,MATCH($B$6,'2 Consolidated IS'!$11:$11,0)-1,0)</f>
        <v>5176</v>
      </c>
      <c r="G14" s="2338">
        <f t="shared" si="4"/>
        <v>0.64233181916504434</v>
      </c>
      <c r="H14" s="2335">
        <f>INDEX('2 Consolidated IS'!$A$1:$CD$97,ROW('2 Consolidated IS'!$A18),COLUMN('2 Consolidated IS'!$BH$1))</f>
        <v>51008</v>
      </c>
      <c r="I14" s="2337">
        <f>INDEX('2 Consolidated IS'!$A$1:$CD$97,ROW('2 Consolidated IS'!$A18),COLUMN('2 Consolidated IS'!$BI$1))</f>
        <v>27875</v>
      </c>
      <c r="J14" s="2361">
        <f>SUM('2 Consolidated IS'!P18:R18)</f>
        <v>11630</v>
      </c>
      <c r="K14" s="2650">
        <f t="shared" si="0"/>
        <v>0.82988340807174887</v>
      </c>
      <c r="M14" s="2361">
        <f t="shared" si="1"/>
        <v>23133</v>
      </c>
      <c r="O14" s="191">
        <f t="shared" si="2"/>
        <v>0</v>
      </c>
      <c r="P14" s="191">
        <f t="shared" si="3"/>
        <v>0</v>
      </c>
    </row>
    <row r="15" spans="1:23" x14ac:dyDescent="0.2">
      <c r="C15" s="2339" t="s">
        <v>435</v>
      </c>
      <c r="D15" s="2340">
        <f>VLOOKUP(TRIM($C15),'2 Consolidated IS'!$B:$BR,MATCH($B$4,'2 Consolidated IS'!$11:$11,0)-1,0)</f>
        <v>4853</v>
      </c>
      <c r="E15" s="2341">
        <f>VLOOKUP(TRIM($C15),'2 Consolidated IS'!$B:$BR,MATCH($B$5,'2 Consolidated IS'!$11:$11,0)-1,0)</f>
        <v>5154</v>
      </c>
      <c r="F15" s="2341">
        <f>VLOOKUP(TRIM($C15),'2 Consolidated IS'!$B:$BR,MATCH($B$6,'2 Consolidated IS'!$11:$11,0)-1,0)</f>
        <v>4198</v>
      </c>
      <c r="G15" s="2342">
        <f t="shared" si="4"/>
        <v>-5.8401241753977491E-2</v>
      </c>
      <c r="H15" s="2340">
        <f>INDEX('2 Consolidated IS'!$A$1:$CD$97,ROW('2 Consolidated IS'!$A19),COLUMN('2 Consolidated IS'!$BH$1))</f>
        <v>20785</v>
      </c>
      <c r="I15" s="2341">
        <f>INDEX('2 Consolidated IS'!$A$1:$CD$97,ROW('2 Consolidated IS'!$A19),COLUMN('2 Consolidated IS'!$BI$1))</f>
        <v>14577</v>
      </c>
      <c r="J15" s="2361">
        <f>SUM('2 Consolidated IS'!P19:R19)</f>
        <v>14626</v>
      </c>
      <c r="K15" s="2651">
        <f t="shared" si="0"/>
        <v>0.42587638059957467</v>
      </c>
      <c r="M15" s="2341">
        <f t="shared" si="1"/>
        <v>6208</v>
      </c>
      <c r="O15" s="191">
        <f t="shared" si="2"/>
        <v>0</v>
      </c>
      <c r="P15" s="191">
        <f t="shared" si="3"/>
        <v>0</v>
      </c>
    </row>
    <row r="16" spans="1:23" x14ac:dyDescent="0.2">
      <c r="C16" s="2329" t="s">
        <v>436</v>
      </c>
      <c r="D16" s="2330">
        <f>SUM(D10:D15)</f>
        <v>325508</v>
      </c>
      <c r="E16" s="2331">
        <f>SUM(E10:E15)</f>
        <v>274123</v>
      </c>
      <c r="F16" s="2331">
        <f>SUM(F10:F15)</f>
        <v>199808</v>
      </c>
      <c r="G16" s="2332">
        <f t="shared" si="4"/>
        <v>0.18745234803354699</v>
      </c>
      <c r="H16" s="2335">
        <f>SUM(H10:H15)</f>
        <v>1190567</v>
      </c>
      <c r="I16" s="2337">
        <f>SUM(I10:I15)</f>
        <v>1022877</v>
      </c>
      <c r="J16" s="2361">
        <f>SUM(J10:J15)</f>
        <v>607890</v>
      </c>
      <c r="K16" s="2650">
        <f t="shared" si="0"/>
        <v>0.16393955480473213</v>
      </c>
      <c r="M16" s="2361">
        <f t="shared" si="1"/>
        <v>167690</v>
      </c>
      <c r="O16" s="191">
        <f t="shared" si="2"/>
        <v>0</v>
      </c>
      <c r="P16" s="191">
        <f t="shared" si="3"/>
        <v>0</v>
      </c>
    </row>
    <row r="17" spans="3:16" x14ac:dyDescent="0.2">
      <c r="C17" s="2329" t="s">
        <v>5</v>
      </c>
      <c r="D17" s="2343"/>
      <c r="E17" s="2331"/>
      <c r="F17" s="2331"/>
      <c r="G17" s="2332"/>
      <c r="H17" s="2343"/>
      <c r="I17" s="2331"/>
      <c r="J17" s="2331"/>
      <c r="K17" s="2650"/>
      <c r="M17" s="2331"/>
      <c r="O17" s="191">
        <f t="shared" si="2"/>
        <v>0</v>
      </c>
      <c r="P17" s="191">
        <f t="shared" si="3"/>
        <v>0</v>
      </c>
    </row>
    <row r="18" spans="3:16" x14ac:dyDescent="0.2">
      <c r="C18" s="2329" t="s">
        <v>598</v>
      </c>
      <c r="D18" s="2330">
        <f>HLOOKUP($B$4,'2 Consolidated IS'!$11:$91,14,0)</f>
        <v>162689</v>
      </c>
      <c r="E18" s="2334">
        <f>HLOOKUP($B$5,'2 Consolidated IS'!$11:$91,14,0)</f>
        <v>137746</v>
      </c>
      <c r="F18" s="2334">
        <f>HLOOKUP($B$6,'2 Consolidated IS'!$11:$91,14,0)</f>
        <v>106304</v>
      </c>
      <c r="G18" s="2332">
        <f t="shared" ref="G18:G26" si="5">IF(OR(((D18-E18)/E18)&gt;3,((D18-E18)/E18)&lt;-3),"n.m.",((D18-E18)/E18))</f>
        <v>0.18107966837512524</v>
      </c>
      <c r="H18" s="2335">
        <f>INDEX('2 Consolidated IS'!$A$1:$CD$97,ROW('2 Consolidated IS'!$A24),COLUMN('2 Consolidated IS'!$BH$1))</f>
        <v>599867</v>
      </c>
      <c r="I18" s="2337">
        <f>INDEX('2 Consolidated IS'!$A$1:$CD$97,ROW('2 Consolidated IS'!$A24),COLUMN('2 Consolidated IS'!$BI$1))</f>
        <v>526614</v>
      </c>
      <c r="J18" s="2361">
        <f>SUM('2 Consolidated IS'!P24:R24)</f>
        <v>318596</v>
      </c>
      <c r="K18" s="2650">
        <f t="shared" ref="K18:K28" si="6">IF(OR(((H18-I18)/I18)&gt;3,((H18-I18)/I18)&lt;-3),"n.m.",((H18-I18)/I18))</f>
        <v>0.13910188487203151</v>
      </c>
      <c r="M18" s="2361">
        <f>H18-I18</f>
        <v>73253</v>
      </c>
      <c r="O18" s="191">
        <f t="shared" si="2"/>
        <v>0</v>
      </c>
      <c r="P18" s="191">
        <f t="shared" si="3"/>
        <v>0</v>
      </c>
    </row>
    <row r="19" spans="3:16" x14ac:dyDescent="0.2">
      <c r="C19" s="2329" t="s">
        <v>438</v>
      </c>
      <c r="D19" s="2343">
        <f>VLOOKUP(TRIM($C19),'2 Consolidated IS'!$B:$BR,MATCH($B$4,'2 Consolidated IS'!$11:$11,0)-1,0)</f>
        <v>32219</v>
      </c>
      <c r="E19" s="2331">
        <f>VLOOKUP(TRIM($C19),'2 Consolidated IS'!$B:$BR,MATCH($B$5,'2 Consolidated IS'!$11:$11,0)-1,0)</f>
        <v>28587</v>
      </c>
      <c r="F19" s="2334">
        <f>VLOOKUP(TRIM($C19),'2 Consolidated IS'!$B:$BR,MATCH($B$6,'2 Consolidated IS'!$11:$11,0)-1,0)</f>
        <v>22407</v>
      </c>
      <c r="G19" s="2332">
        <f t="shared" si="5"/>
        <v>0.12705075733725119</v>
      </c>
      <c r="H19" s="2335">
        <f>INDEX('2 Consolidated IS'!$A$1:$CD$97,ROW('2 Consolidated IS'!$A25),COLUMN('2 Consolidated IS'!$BH$1))</f>
        <v>116758</v>
      </c>
      <c r="I19" s="2337">
        <f>INDEX('2 Consolidated IS'!$A$1:$CD$97,ROW('2 Consolidated IS'!$A25),COLUMN('2 Consolidated IS'!$BI$1))</f>
        <v>99239</v>
      </c>
      <c r="J19" s="2361">
        <f>SUM('2 Consolidated IS'!P25:R25)</f>
        <v>63606</v>
      </c>
      <c r="K19" s="2650">
        <f t="shared" si="6"/>
        <v>0.17653341932103306</v>
      </c>
      <c r="M19" s="2361">
        <f>H19-I19</f>
        <v>17519</v>
      </c>
      <c r="O19" s="191">
        <f t="shared" si="2"/>
        <v>0</v>
      </c>
      <c r="P19" s="191">
        <f t="shared" si="3"/>
        <v>0</v>
      </c>
    </row>
    <row r="20" spans="3:16" x14ac:dyDescent="0.2">
      <c r="C20" s="2329" t="s">
        <v>599</v>
      </c>
      <c r="D20" s="2330" t="e">
        <f>D26-SUM(D21:D25)-SUM(D18:D19)</f>
        <v>#N/A</v>
      </c>
      <c r="E20" s="2334" t="e">
        <f t="shared" ref="E20:F20" si="7">E26-SUM(E21:E25)-SUM(E18:E19)</f>
        <v>#N/A</v>
      </c>
      <c r="F20" s="2334" t="e">
        <f t="shared" si="7"/>
        <v>#N/A</v>
      </c>
      <c r="G20" s="2332" t="e">
        <f t="shared" si="5"/>
        <v>#N/A</v>
      </c>
      <c r="H20" s="2330">
        <f>H26-SUM(H21:H25)-SUM(H18:H19)</f>
        <v>356240</v>
      </c>
      <c r="I20" s="2334">
        <f t="shared" ref="I20" si="8">I26-SUM(I21:I25)-SUM(I18:I19)</f>
        <v>346605</v>
      </c>
      <c r="J20" s="2361">
        <f>SUM('2 Consolidated IS'!P27:R34)</f>
        <v>209209</v>
      </c>
      <c r="K20" s="2650">
        <f t="shared" si="6"/>
        <v>2.7798214105393747E-2</v>
      </c>
      <c r="M20" s="2361">
        <f>H20-I20</f>
        <v>9635</v>
      </c>
      <c r="O20" s="191" t="e">
        <f t="shared" si="2"/>
        <v>#N/A</v>
      </c>
      <c r="P20" s="191">
        <f t="shared" si="3"/>
        <v>0</v>
      </c>
    </row>
    <row r="21" spans="3:16" x14ac:dyDescent="0.2">
      <c r="C21" s="2344" t="s">
        <v>512</v>
      </c>
      <c r="D21" s="2330">
        <f>VLOOKUP(TRIM($C21),'2 Consolidated IS'!$B:$BR,MATCH($B$4,'2 Consolidated IS'!$11:$11,0)-1,0)</f>
        <v>512</v>
      </c>
      <c r="E21" s="2334">
        <f>VLOOKUP(TRIM($C21),'2 Consolidated IS'!$B:$BR,MATCH($B$5,'2 Consolidated IS'!$11:$11,0)-1,0)</f>
        <v>1173</v>
      </c>
      <c r="F21" s="191">
        <f>VLOOKUP(TRIM($C21),'2 Consolidated IS'!$B:$BR,MATCH($B$6,'2 Consolidated IS'!$11:$11,0)-1,0)</f>
        <v>2184</v>
      </c>
      <c r="G21" s="2332">
        <f t="shared" si="5"/>
        <v>-0.56351236146632566</v>
      </c>
      <c r="H21" s="2335">
        <f>INDEX('2 Consolidated IS'!$A$1:$CD$97,ROW('2 Consolidated IS'!$A36),COLUMN('2 Consolidated IS'!$BH$1))</f>
        <v>3064</v>
      </c>
      <c r="I21" s="2337">
        <f>INDEX('2 Consolidated IS'!$A$1:$CD$97,ROW('2 Consolidated IS'!$A36),COLUMN('2 Consolidated IS'!$BI$1))</f>
        <v>6732</v>
      </c>
      <c r="J21" s="2361">
        <f>SUM('2 Consolidated IS'!P36:R38)</f>
        <v>0</v>
      </c>
      <c r="K21" s="2650">
        <f t="shared" si="6"/>
        <v>-0.54486036838978014</v>
      </c>
      <c r="M21" s="2361">
        <f>H21-I21</f>
        <v>-3668</v>
      </c>
      <c r="O21" s="191">
        <f>IF((D22-E22)*G22&lt;0,"Reverse Sign",)</f>
        <v>0</v>
      </c>
      <c r="P21" s="191">
        <f t="shared" si="3"/>
        <v>0</v>
      </c>
    </row>
    <row r="22" spans="3:16" x14ac:dyDescent="0.2">
      <c r="C22" s="2329" t="s">
        <v>465</v>
      </c>
      <c r="D22" s="2330">
        <f>VLOOKUP(TRIM($C22),'2 Consolidated IS'!$B:$BR,MATCH($B$4,'2 Consolidated IS'!$11:$11,0)-1,0)</f>
        <v>0</v>
      </c>
      <c r="E22" s="2334">
        <f>VLOOKUP(TRIM($C22),'2 Consolidated IS'!$B:$BR,MATCH($B$5,'2 Consolidated IS'!$11:$11,0)-1,0)</f>
        <v>1316</v>
      </c>
      <c r="F22" s="2334">
        <f>VLOOKUP(TRIM($C22),'2 Consolidated IS'!$B:$BR,MATCH($B$6,'2 Consolidated IS'!$11:$11,0)-1,0)</f>
        <v>448</v>
      </c>
      <c r="G22" s="2332">
        <f t="shared" si="5"/>
        <v>-1</v>
      </c>
      <c r="H22" s="2335">
        <f>INDEX('2 Consolidated IS'!$A$1:$CD$97,ROW('2 Consolidated IS'!$A35),COLUMN('2 Consolidated IS'!$BH$1))</f>
        <v>13070</v>
      </c>
      <c r="I22" s="2337">
        <f>INDEX('2 Consolidated IS'!$A$1:$CD$97,ROW('2 Consolidated IS'!$A35),COLUMN('2 Consolidated IS'!$BI$1))</f>
        <v>7643</v>
      </c>
      <c r="J22" s="2361">
        <f>SUM('2 Consolidated IS'!P35:R35)</f>
        <v>0</v>
      </c>
      <c r="K22" s="2650">
        <f t="shared" si="6"/>
        <v>0.71006149417767894</v>
      </c>
      <c r="M22" s="2361"/>
    </row>
    <row r="23" spans="3:16" hidden="1" x14ac:dyDescent="0.2">
      <c r="C23" s="2516" t="s">
        <v>536</v>
      </c>
      <c r="D23" s="2335">
        <f>VLOOKUP(TRIM($C23),'2 Consolidated IS'!$B:$BR,MATCH($B$4,'2 Consolidated IS'!$11:$11,0)-1,0)</f>
        <v>0</v>
      </c>
      <c r="E23" s="2337">
        <f>VLOOKUP(TRIM($C23),'2 Consolidated IS'!$B:$BR,MATCH($B$5,'2 Consolidated IS'!$11:$11,0)-1,0)</f>
        <v>0</v>
      </c>
      <c r="F23" s="2337">
        <f>VLOOKUP(TRIM($C23),'2 Consolidated IS'!$B:$BR,MATCH($B$6,'2 Consolidated IS'!$11:$11,0)-1,0)</f>
        <v>0</v>
      </c>
      <c r="G23" s="2338" t="e">
        <f t="shared" si="5"/>
        <v>#DIV/0!</v>
      </c>
      <c r="H23" s="2335">
        <f>INDEX('2 Consolidated IS'!$A$1:$CD$97,ROW('2 Consolidated IS'!$A38),COLUMN('2 Consolidated IS'!$BH$1))</f>
        <v>0</v>
      </c>
      <c r="I23" s="2337">
        <f>INDEX('2 Consolidated IS'!$A$1:$CD$97,ROW('2 Consolidated IS'!$A38),COLUMN('2 Consolidated IS'!$BI$1))</f>
        <v>0</v>
      </c>
      <c r="J23" s="2337">
        <v>0</v>
      </c>
      <c r="K23" s="2650" t="e">
        <f t="shared" si="6"/>
        <v>#DIV/0!</v>
      </c>
      <c r="M23" s="2337">
        <f>H23-I23</f>
        <v>0</v>
      </c>
      <c r="O23" s="191" t="e">
        <f>IF((D23-E23)*G23&lt;0,"Reverse Sign",)</f>
        <v>#DIV/0!</v>
      </c>
      <c r="P23" s="191" t="e">
        <f>IF((H23-I23)*K23&lt;0,"Reverse Sign",)</f>
        <v>#DIV/0!</v>
      </c>
    </row>
    <row r="24" spans="3:16" x14ac:dyDescent="0.2">
      <c r="C24" s="2516" t="s">
        <v>600</v>
      </c>
      <c r="D24" s="2335" t="e">
        <f>VLOOKUP(TRIM($C24),'2 Consolidated IS'!$B:$BR,MATCH($B$4,'2 Consolidated IS'!$11:$11,0)-1,0)</f>
        <v>#N/A</v>
      </c>
      <c r="E24" s="2337" t="e">
        <f>VLOOKUP(TRIM($C24),'2 Consolidated IS'!$B:$BR,MATCH($B$5,'2 Consolidated IS'!$11:$11,0)-1,0)</f>
        <v>#N/A</v>
      </c>
      <c r="F24" s="2337" t="e">
        <f>VLOOKUP(TRIM($C24),'2 Consolidated IS'!$B:$BR,MATCH($B$6,'2 Consolidated IS'!$11:$11,0)-1,0)</f>
        <v>#N/A</v>
      </c>
      <c r="G24" s="2338" t="e">
        <f t="shared" ref="G24:G25" si="9">IF(OR(((D24-E24)/E24)&gt;3,((D24-E24)/E24)&lt;-3),"n.m.",((D24-E24)/E24))</f>
        <v>#N/A</v>
      </c>
      <c r="H24" s="2335">
        <f>INDEX('2 Consolidated IS'!$A$1:$CD$97,ROW('2 Consolidated IS'!$A39),COLUMN('2 Consolidated IS'!$BH$1))</f>
        <v>8608</v>
      </c>
      <c r="I24" s="2337">
        <f>INDEX('2 Consolidated IS'!$A$1:$CD$97,ROW('2 Consolidated IS'!$A39),COLUMN('2 Consolidated IS'!$BI$1))</f>
        <v>0</v>
      </c>
      <c r="J24" s="2337">
        <v>0</v>
      </c>
      <c r="K24" s="2650" t="e">
        <f t="shared" si="6"/>
        <v>#DIV/0!</v>
      </c>
      <c r="M24" s="2337">
        <f>H24-I24</f>
        <v>8608</v>
      </c>
    </row>
    <row r="25" spans="3:16" x14ac:dyDescent="0.2">
      <c r="C25" s="2516" t="s">
        <v>574</v>
      </c>
      <c r="D25" s="2340">
        <f>VLOOKUP(TRIM($C25),'2 Consolidated IS'!$B:$BR,MATCH($B$4,'2 Consolidated IS'!$11:$11,0)-1,0)</f>
        <v>269</v>
      </c>
      <c r="E25" s="2341">
        <f>VLOOKUP(TRIM($C25),'2 Consolidated IS'!$B:$BR,MATCH($B$5,'2 Consolidated IS'!$11:$11,0)-1,0)</f>
        <v>11</v>
      </c>
      <c r="F25" s="2341">
        <f>VLOOKUP(TRIM($C25),'2 Consolidated IS'!$B:$BR,MATCH($B$6,'2 Consolidated IS'!$11:$11,0)-1,0)</f>
        <v>0</v>
      </c>
      <c r="G25" s="2338" t="str">
        <f t="shared" si="9"/>
        <v>n.m.</v>
      </c>
      <c r="H25" s="2340">
        <f>INDEX('2 Consolidated IS'!$A$1:$CD$97,ROW('2 Consolidated IS'!$A40),COLUMN('2 Consolidated IS'!$BH$1))</f>
        <v>304</v>
      </c>
      <c r="I25" s="2341">
        <f>INDEX('2 Consolidated IS'!$A$1:$CD$97,ROW('2 Consolidated IS'!$A40),COLUMN('2 Consolidated IS'!$BI$1))</f>
        <v>298</v>
      </c>
      <c r="J25" s="2341"/>
      <c r="K25" s="2650">
        <f t="shared" si="6"/>
        <v>2.0134228187919462E-2</v>
      </c>
      <c r="M25" s="2341"/>
    </row>
    <row r="26" spans="3:16" x14ac:dyDescent="0.2">
      <c r="C26" s="2339" t="s">
        <v>80</v>
      </c>
      <c r="D26" s="2340">
        <f>INDEX('2 Consolidated IS'!$A$1:$CD$97,ROW('2 Consolidated IS'!$A41),COLUMN('2 Consolidated IS'!$H$1))</f>
        <v>290991</v>
      </c>
      <c r="E26" s="2341">
        <f>INDEX('2 Consolidated IS'!$A$1:$CD$97,ROW('2 Consolidated IS'!$A41),COLUMN('2 Consolidated IS'!$L$1))</f>
        <v>262559</v>
      </c>
      <c r="F26" s="2341">
        <f>INDEX('2 Consolidated IS'!$A$1:$CD$97,ROW('2 Consolidated IS'!$A41),COLUMN('2 Consolidated IS'!$P$1))</f>
        <v>202397</v>
      </c>
      <c r="G26" s="2342">
        <f t="shared" si="5"/>
        <v>0.10828804192581477</v>
      </c>
      <c r="H26" s="2340">
        <f>INDEX('2 Consolidated IS'!$A$1:$CD$97,ROW('2 Consolidated IS'!$A41),COLUMN('2 Consolidated IS'!$BH$1))</f>
        <v>1097911</v>
      </c>
      <c r="I26" s="2341">
        <f>INDEX('2 Consolidated IS'!$A$1:$CD$97,ROW('2 Consolidated IS'!$A41),COLUMN('2 Consolidated IS'!$BI$1))</f>
        <v>987131</v>
      </c>
      <c r="J26" s="2862">
        <f>SUM('2 Consolidated IS'!P41:R41)</f>
        <v>591411</v>
      </c>
      <c r="K26" s="2651">
        <f t="shared" si="6"/>
        <v>0.11222421340227386</v>
      </c>
      <c r="M26" s="2341">
        <f>H26-I26</f>
        <v>110780</v>
      </c>
      <c r="O26" s="191">
        <f t="shared" ref="O26:O34" si="10">IF((D26-E26)*G26&lt;0,"Reverse Sign",)</f>
        <v>0</v>
      </c>
      <c r="P26" s="191">
        <f t="shared" ref="P26:P42" si="11">IF((H26-I26)*K26&lt;0,"Reverse Sign",)</f>
        <v>0</v>
      </c>
    </row>
    <row r="27" spans="3:16" x14ac:dyDescent="0.2">
      <c r="C27" s="2329" t="s">
        <v>72</v>
      </c>
      <c r="D27" s="2330">
        <f>HLOOKUP($B$4,'2 Consolidated IS'!$11:$91,ROW('2 Consolidated IS'!$A$43)-10,0)</f>
        <v>31352</v>
      </c>
      <c r="E27" s="2334">
        <f>HLOOKUP($B$5,'2 Consolidated IS'!$11:$91,ROW('2 Consolidated IS'!$A$43)-10,0)</f>
        <v>21882</v>
      </c>
      <c r="F27" s="2334">
        <f>HLOOKUP($B$6,'2 Consolidated IS'!$11:$91,ROW('2 Consolidated IS'!$A$43)-10,0)</f>
        <v>-1772</v>
      </c>
      <c r="G27" s="2332">
        <f>IF(OR(((D27-E27)/E27)&gt;3,((D27-E27)/E27)&lt;-3),"n.m.",((D27-E27)/E27))</f>
        <v>0.43277579745909878</v>
      </c>
      <c r="H27" s="2330">
        <f>INDEX('2 Consolidated IS'!$A$1:$CD$97,ROW('2 Consolidated IS'!$A43),COLUMN('2 Consolidated IS'!$BH$1))</f>
        <v>92656</v>
      </c>
      <c r="I27" s="2334">
        <f>INDEX('2 Consolidated IS'!$A$1:$CD$97,ROW('2 Consolidated IS'!$A43),COLUMN('2 Consolidated IS'!$BI$1))</f>
        <v>35746</v>
      </c>
      <c r="J27" s="2334">
        <f>J16-J26</f>
        <v>16479</v>
      </c>
      <c r="K27" s="2650">
        <f t="shared" si="6"/>
        <v>1.5920662451742853</v>
      </c>
      <c r="M27" s="2361"/>
      <c r="O27" s="191">
        <f t="shared" si="10"/>
        <v>0</v>
      </c>
      <c r="P27" s="191">
        <f t="shared" si="11"/>
        <v>0</v>
      </c>
    </row>
    <row r="28" spans="3:16" x14ac:dyDescent="0.2">
      <c r="C28" s="2329" t="s">
        <v>7</v>
      </c>
      <c r="D28" s="2330">
        <f>HLOOKUP($B$4,'2 Consolidated IS'!$11:$91,ROW('2 Consolidated IS'!$A$47)-10,0)</f>
        <v>24290</v>
      </c>
      <c r="E28" s="2334">
        <f>HLOOKUP($B$5,'2 Consolidated IS'!$11:$91,ROW('2 Consolidated IS'!$A$47)-10,0)</f>
        <v>18649</v>
      </c>
      <c r="F28" s="2334">
        <f>HLOOKUP($B$6,'2 Consolidated IS'!$11:$91,ROW('2 Consolidated IS'!$A$47)-10,0)</f>
        <v>-2560</v>
      </c>
      <c r="G28" s="2332">
        <f>IF(OR(((D28-E28)/E28)&gt;3,((D28-E28)/E28)&lt;-3),"n.m.",((D28-E28)/ABS(E28)))</f>
        <v>0.30248270684755213</v>
      </c>
      <c r="H28" s="2330">
        <f>INDEX('2 Consolidated IS'!$A$1:$CD$97,ROW('2 Consolidated IS'!$A47),COLUMN('2 Consolidated IS'!$BH$1))</f>
        <v>71582</v>
      </c>
      <c r="I28" s="2334">
        <f>INDEX('2 Consolidated IS'!$A$1:$CD$97,ROW('2 Consolidated IS'!$A47),COLUMN('2 Consolidated IS'!$BI$1))</f>
        <v>17077</v>
      </c>
      <c r="J28" s="2361">
        <f>SUM('2 Consolidated IS'!P47:R47)</f>
        <v>12199</v>
      </c>
      <c r="K28" s="2650" t="str">
        <f t="shared" si="6"/>
        <v>n.m.</v>
      </c>
      <c r="M28" s="2361"/>
      <c r="O28" s="191">
        <f t="shared" si="10"/>
        <v>0</v>
      </c>
      <c r="P28" s="191" t="e">
        <f t="shared" si="11"/>
        <v>#VALUE!</v>
      </c>
    </row>
    <row r="29" spans="3:16" x14ac:dyDescent="0.2">
      <c r="C29" s="2329" t="s">
        <v>439</v>
      </c>
      <c r="D29" s="2330"/>
      <c r="E29" s="2334"/>
      <c r="F29" s="2334"/>
      <c r="G29" s="2332"/>
      <c r="H29" s="2330"/>
      <c r="I29" s="2334"/>
      <c r="J29" s="2652"/>
      <c r="K29" s="2650"/>
      <c r="M29" s="2361"/>
      <c r="O29" s="191">
        <f t="shared" si="10"/>
        <v>0</v>
      </c>
      <c r="P29" s="191">
        <f t="shared" si="11"/>
        <v>0</v>
      </c>
    </row>
    <row r="30" spans="3:16" x14ac:dyDescent="0.2">
      <c r="C30" s="2329" t="s">
        <v>440</v>
      </c>
      <c r="D30" s="2330">
        <f>HLOOKUP($B$4,'2 Consolidated IS'!$11:$91,ROW('2 Consolidated IS'!$A$51)-10,0)</f>
        <v>24205</v>
      </c>
      <c r="E30" s="2334">
        <f>HLOOKUP($B$5,'2 Consolidated IS'!$11:$91,ROW('2 Consolidated IS'!$A$51)-10,0)</f>
        <v>17616</v>
      </c>
      <c r="F30" s="2334">
        <f>HLOOKUP($B$6,'2 Consolidated IS'!$11:$91,ROW('2 Consolidated IS'!$A$51)-10,0)</f>
        <v>-2262</v>
      </c>
      <c r="G30" s="2332">
        <f>IF(OR(((D30-E30)/E30)&gt;3,((D30-E30)/E30)&lt;-3),"n.m.",((D30-E30)/ABS(E30)))</f>
        <v>0.37403496821071752</v>
      </c>
      <c r="H30" s="2330">
        <f>INDEX('2 Consolidated IS'!$A$1:$CD$97,ROW('2 Consolidated IS'!$A51),COLUMN('2 Consolidated IS'!$BH$1))</f>
        <v>70530</v>
      </c>
      <c r="I30" s="2334">
        <f>INDEX('2 Consolidated IS'!$A$1:$CD$97,ROW('2 Consolidated IS'!$A51),COLUMN('2 Consolidated IS'!$BI$1))</f>
        <v>13024</v>
      </c>
      <c r="J30" s="2361">
        <f>SUM('2 Consolidated IS'!P51:R51)</f>
        <v>9217</v>
      </c>
      <c r="K30" s="2650" t="str">
        <f>IF(OR(((H30-I30)/I30)&gt;3,((H30-I30)/I30)&lt;-3),"n.m.",((H30-I30)/I30))</f>
        <v>n.m.</v>
      </c>
      <c r="M30" s="2361"/>
      <c r="O30" s="191">
        <f t="shared" si="10"/>
        <v>0</v>
      </c>
      <c r="P30" s="191" t="e">
        <f t="shared" si="11"/>
        <v>#VALUE!</v>
      </c>
    </row>
    <row r="31" spans="3:16" x14ac:dyDescent="0.2">
      <c r="C31" s="2329" t="s">
        <v>441</v>
      </c>
      <c r="D31" s="2330">
        <f>D28-D30</f>
        <v>85</v>
      </c>
      <c r="E31" s="2334">
        <f>E28-E30</f>
        <v>1033</v>
      </c>
      <c r="F31" s="2334">
        <f>F28-F30</f>
        <v>-298</v>
      </c>
      <c r="G31" s="2332">
        <f>IF(OR(((D31-E31)/E31)&gt;3,((D31-E31)/E31)&lt;-3),"n.m.",((D31-E31)/E31))</f>
        <v>-0.91771539206195551</v>
      </c>
      <c r="H31" s="2330">
        <f>H28-H30</f>
        <v>1052</v>
      </c>
      <c r="I31" s="2334">
        <f>I28-I30</f>
        <v>4053</v>
      </c>
      <c r="J31" s="2361">
        <f>SUM('2 Consolidated IS'!P49:R49)</f>
        <v>2982</v>
      </c>
      <c r="K31" s="2650">
        <f>IF(OR(((H31-I31)/I31)&gt;3,((H31-I31)/I31)&lt;-3),"n.m.",((H31-I31)/I31))</f>
        <v>-0.74043918085368865</v>
      </c>
      <c r="M31" s="2361"/>
      <c r="O31" s="191">
        <f t="shared" si="10"/>
        <v>0</v>
      </c>
      <c r="P31" s="191">
        <f t="shared" si="11"/>
        <v>0</v>
      </c>
    </row>
    <row r="32" spans="3:16" hidden="1" x14ac:dyDescent="0.2">
      <c r="C32" s="2640" t="s">
        <v>442</v>
      </c>
      <c r="D32" s="2641">
        <f>HLOOKUP($B$4,'1 Financial Highlights'!$10:$83,ROW('1 Financial Highlights'!$A$34)-9,0)</f>
        <v>0.22</v>
      </c>
      <c r="E32" s="2642">
        <f>HLOOKUP($B$5,'1 Financial Highlights'!$10:$83,ROW('1 Financial Highlights'!$A$34)-9,0)</f>
        <v>0.16</v>
      </c>
      <c r="F32" s="2642">
        <f>HLOOKUP($B$6,'1 Financial Highlights'!$10:$83,ROW('1 Financial Highlights'!$A$34)-9,0)</f>
        <v>-0.05</v>
      </c>
      <c r="G32" s="2643">
        <f>IF(OR(((D32-E32)/E32)&gt;3,((D32-E32)/E32)&lt;-3),"n.m.",((D32-E32)/ABS(E32)))</f>
        <v>0.375</v>
      </c>
      <c r="H32" s="2641">
        <f>INDEX('1 Financial Highlights'!$A$1:$CE$89,ROW('1 Financial Highlights'!$A34),COLUMN('1 Financial Highlights'!$BH$1))</f>
        <v>0.57999999999999996</v>
      </c>
      <c r="I32" s="2642">
        <f>INDEX('1 Financial Highlights'!$A$1:$CE$89,ROW('1 Financial Highlights'!$A34),COLUMN('1 Financial Highlights'!$BI$1))</f>
        <v>0.04</v>
      </c>
      <c r="J32" s="2653"/>
      <c r="K32" s="2654" t="str">
        <f>IF(OR(((H32-I32)/I32)&gt;3,((H32-I32)/I32)&lt;-3),"n.m.",((H32-I32)/ABS(I32)))</f>
        <v>n.m.</v>
      </c>
      <c r="M32" s="2653"/>
      <c r="O32" s="191">
        <f t="shared" si="10"/>
        <v>0</v>
      </c>
      <c r="P32" s="191" t="e">
        <f t="shared" si="11"/>
        <v>#VALUE!</v>
      </c>
    </row>
    <row r="33" spans="3:16" x14ac:dyDescent="0.2">
      <c r="C33" s="2640" t="s">
        <v>442</v>
      </c>
      <c r="D33" s="2641">
        <f>HLOOKUP($B$4,'1 Financial Highlights'!$10:$83,ROW('1 Financial Highlights'!$A$35)-9,0)</f>
        <v>0.18</v>
      </c>
      <c r="E33" s="2642">
        <f>HLOOKUP($B$5,'1 Financial Highlights'!$10:$83,ROW('1 Financial Highlights'!$A$35)-9,0)</f>
        <v>0.14000000000000001</v>
      </c>
      <c r="F33" s="2642">
        <f>HLOOKUP($B$6,'1 Financial Highlights'!$10:$83,ROW('1 Financial Highlights'!$A$35)-9,0)</f>
        <v>-0.05</v>
      </c>
      <c r="G33" s="2643">
        <f>IF(OR(((D33-E33)/E33)&gt;3,((D33-E33)/E33)&lt;-3),"n.m.",((D33-E33)/ABS(E33)))</f>
        <v>0.28571428571428553</v>
      </c>
      <c r="H33" s="2641">
        <f>INDEX('1 Financial Highlights'!$A$1:$CE$89,ROW('1 Financial Highlights'!$A35),COLUMN('1 Financial Highlights'!$BH$1))</f>
        <v>0.48</v>
      </c>
      <c r="I33" s="2642">
        <f>INDEX('1 Financial Highlights'!$A$1:$CE$89,ROW('1 Financial Highlights'!$A35),COLUMN('1 Financial Highlights'!$BI$1))</f>
        <v>0.03</v>
      </c>
      <c r="J33" s="2653"/>
      <c r="K33" s="2654" t="str">
        <f>IF(OR(((H33-I33)/I33)&gt;3,((H33-I33)/I33)&lt;-3),"n.m.",((H33-I33)/ABS(I33)))</f>
        <v>n.m.</v>
      </c>
      <c r="M33" s="2653"/>
      <c r="O33" s="191">
        <f t="shared" si="10"/>
        <v>0</v>
      </c>
      <c r="P33" s="191" t="e">
        <f t="shared" si="11"/>
        <v>#VALUE!</v>
      </c>
    </row>
    <row r="34" spans="3:16" hidden="1" x14ac:dyDescent="0.2">
      <c r="C34" s="2640" t="s">
        <v>443</v>
      </c>
      <c r="D34" s="2644" t="e">
        <f>HLOOKUP($B$4,'1 Financial Highlights'!$10:$83,ROW('1 Financial Highlights'!#REF!)-9,0)</f>
        <v>#REF!</v>
      </c>
      <c r="E34" s="2643" t="e">
        <f>HLOOKUP($B$5,'1 Financial Highlights'!$10:$83,ROW('1 Financial Highlights'!#REF!)-9,0)</f>
        <v>#REF!</v>
      </c>
      <c r="F34" s="2643" t="e">
        <f>HLOOKUP($B$6,'1 Financial Highlights'!$10:$83,ROW('1 Financial Highlights'!#REF!)-9,0)</f>
        <v>#REF!</v>
      </c>
      <c r="G34" s="2645" t="e">
        <f>(D34-E34)*100</f>
        <v>#REF!</v>
      </c>
      <c r="H34" s="2655" t="e">
        <f>INDEX('1 Financial Highlights'!$A$1:$CE$89,ROW('1 Financial Highlights'!#REF!),COLUMN('1 Financial Highlights'!$BH$1))</f>
        <v>#REF!</v>
      </c>
      <c r="I34" s="2643" t="e">
        <f>INDEX('1 Financial Highlights'!$A$1:$CE$89,ROW('1 Financial Highlights'!#REF!),COLUMN('1 Financial Highlights'!$BI$1))</f>
        <v>#REF!</v>
      </c>
      <c r="J34" s="2653"/>
      <c r="K34" s="2645" t="e">
        <f>(H34-I34)*100</f>
        <v>#REF!</v>
      </c>
      <c r="M34" s="2653"/>
      <c r="O34" s="191" t="e">
        <f t="shared" si="10"/>
        <v>#REF!</v>
      </c>
      <c r="P34" s="191" t="e">
        <f t="shared" si="11"/>
        <v>#REF!</v>
      </c>
    </row>
    <row r="35" spans="3:16" x14ac:dyDescent="0.2">
      <c r="C35" s="2640" t="s">
        <v>444</v>
      </c>
      <c r="D35" s="2860">
        <f>HLOOKUP($B$4,'1 Financial Highlights'!$10:$83,ROW('1 Financial Highlights'!$A$54)-9,0)</f>
        <v>0.05</v>
      </c>
      <c r="E35" s="2646">
        <f>HLOOKUP($B$5,'1 Financial Highlights'!$10:$83,ROW('1 Financial Highlights'!$A$54)-9,0)</f>
        <v>0.01</v>
      </c>
      <c r="F35" s="2646">
        <f>HLOOKUP($B$6,'1 Financial Highlights'!$10:$83,ROW('1 Financial Highlights'!$A$54)-9,0)</f>
        <v>0.01</v>
      </c>
      <c r="G35" s="2643">
        <f>(D35-E35)*100</f>
        <v>4</v>
      </c>
      <c r="H35" s="2641">
        <f>INDEX('1 Financial Highlights'!$A$1:$CE$89,ROW('1 Financial Highlights'!$A54),COLUMN('1 Financial Highlights'!$BH$1))</f>
        <v>0.20000000000000004</v>
      </c>
      <c r="I35" s="2642">
        <f>INDEX('1 Financial Highlights'!$A$1:$CE$89,ROW('1 Financial Highlights'!$A54),COLUMN('1 Financial Highlights'!$BI$1))</f>
        <v>0.15000000000000002</v>
      </c>
      <c r="J35" s="2653"/>
      <c r="K35" s="2654">
        <f>IF(OR(((H35-I35)/I35)&gt;3,((H35-I35)/I35)&lt;-3),"n.m.",((H35-I35)/ABS(I35)))</f>
        <v>0.33333333333333337</v>
      </c>
      <c r="M35" s="2653"/>
      <c r="P35" s="191">
        <f t="shared" si="11"/>
        <v>0</v>
      </c>
    </row>
    <row r="36" spans="3:16" ht="13.5" x14ac:dyDescent="0.2">
      <c r="C36" s="2329" t="s">
        <v>601</v>
      </c>
      <c r="D36" s="2346">
        <f>HLOOKUP($B$4,'1 Financial Highlights'!$10:$83,ROW('1 Financial Highlights'!$A$36)-9,0)</f>
        <v>6.2019072153300341</v>
      </c>
      <c r="E36" s="2345">
        <f>HLOOKUP($B$5,'1 Financial Highlights'!$10:$83,ROW('1 Financial Highlights'!$A$36)-9,0)</f>
        <v>5.5223031625563594</v>
      </c>
      <c r="F36" s="2345">
        <f>HLOOKUP($B$6,'1 Financial Highlights'!$10:$83,ROW('1 Financial Highlights'!$A$36)-9,0)</f>
        <v>4.9081597347945385</v>
      </c>
      <c r="G36" s="2332">
        <f t="shared" ref="G36:G41" si="12">IF(OR(((D36-E36)/E36)&gt;3,((D36-E36)/E36)&lt;-3),"n.m.",((D36-E36)/E36))</f>
        <v>0.12306532849947256</v>
      </c>
      <c r="H36" s="2641">
        <f>INDEX('1 Financial Highlights'!$A$1:$CE$89,ROW('1 Financial Highlights'!$A36),COLUMN('1 Financial Highlights'!$BH$1))</f>
        <v>6.2482726164245834</v>
      </c>
      <c r="I36" s="2656"/>
      <c r="J36" s="2656"/>
      <c r="K36" s="2650"/>
      <c r="M36" s="2361"/>
      <c r="O36" s="191">
        <f t="shared" ref="O36:O42" si="13">IF((D36-E36)*G36&lt;0,"Reverse Sign",)</f>
        <v>0</v>
      </c>
      <c r="P36" s="191">
        <f t="shared" si="11"/>
        <v>0</v>
      </c>
    </row>
    <row r="37" spans="3:16" x14ac:dyDescent="0.2">
      <c r="C37" s="2329" t="s">
        <v>9</v>
      </c>
      <c r="D37" s="2330">
        <f>HLOOKUP($B$4,'1 Financial Highlights'!$10:$83,ROW('1 Financial Highlights'!$A$20)-9,0)</f>
        <v>5358496</v>
      </c>
      <c r="E37" s="2334">
        <f>HLOOKUP($B$5,'1 Financial Highlights'!$10:$83,ROW('1 Financial Highlights'!$A$20)-9,0)</f>
        <v>4221836</v>
      </c>
      <c r="F37" s="2334">
        <f>HLOOKUP($B$6,'1 Financial Highlights'!$10:$83,ROW('1 Financial Highlights'!$A$20)-9,0)</f>
        <v>3623250</v>
      </c>
      <c r="G37" s="2332">
        <f t="shared" si="12"/>
        <v>0.26923357515545371</v>
      </c>
      <c r="H37" s="2641">
        <f>INDEX('1 Financial Highlights'!$A$1:$CE$89,ROW('1 Financial Highlights'!$A20),COLUMN('1 Financial Highlights'!$BH$1))</f>
        <v>4749294</v>
      </c>
      <c r="I37" s="2361"/>
      <c r="J37" s="2337"/>
      <c r="K37" s="2650"/>
      <c r="M37" s="2361"/>
      <c r="O37" s="191">
        <f t="shared" si="13"/>
        <v>0</v>
      </c>
      <c r="P37" s="191">
        <f t="shared" si="11"/>
        <v>0</v>
      </c>
    </row>
    <row r="38" spans="3:16" x14ac:dyDescent="0.2">
      <c r="C38" s="2329" t="s">
        <v>445</v>
      </c>
      <c r="D38" s="2330">
        <f>HLOOKUP($B$4,'1 Financial Highlights'!$10:$83,ROW('1 Financial Highlights'!$A$21)-9,0)</f>
        <v>4516513</v>
      </c>
      <c r="E38" s="2334">
        <f>HLOOKUP($B$5,'1 Financial Highlights'!$10:$83,ROW('1 Financial Highlights'!$A$21)-9,0)</f>
        <v>3387010</v>
      </c>
      <c r="F38" s="2334">
        <f>HLOOKUP($B$6,'1 Financial Highlights'!$10:$83,ROW('1 Financial Highlights'!$A$21)-9,0)</f>
        <v>2868892</v>
      </c>
      <c r="G38" s="2332">
        <f t="shared" si="12"/>
        <v>0.33348085774768899</v>
      </c>
      <c r="H38" s="2641">
        <f>INDEX('1 Financial Highlights'!$A$1:$CE$89,ROW('1 Financial Highlights'!$A21),COLUMN('1 Financial Highlights'!$BH$1))</f>
        <v>3870934</v>
      </c>
      <c r="I38" s="2361"/>
      <c r="J38" s="2337"/>
      <c r="K38" s="2650"/>
      <c r="M38" s="2361"/>
      <c r="O38" s="191">
        <f t="shared" si="13"/>
        <v>0</v>
      </c>
      <c r="P38" s="191">
        <f t="shared" si="11"/>
        <v>0</v>
      </c>
    </row>
    <row r="39" spans="3:16" x14ac:dyDescent="0.2">
      <c r="C39" s="2329" t="s">
        <v>246</v>
      </c>
      <c r="D39" s="2330">
        <f>HLOOKUP($B$4,'1 Financial Highlights'!$10:$83,ROW('1 Financial Highlights'!$A$22)-9,0)</f>
        <v>2296</v>
      </c>
      <c r="E39" s="2334">
        <f>HLOOKUP($B$5,'1 Financial Highlights'!$10:$83,ROW('1 Financial Highlights'!$A$22)-9,0)</f>
        <v>15259</v>
      </c>
      <c r="F39" s="2334">
        <f>HLOOKUP($B$6,'1 Financial Highlights'!$10:$83,ROW('1 Financial Highlights'!$A$22)-9,0)</f>
        <v>12481</v>
      </c>
      <c r="G39" s="2332">
        <f t="shared" si="12"/>
        <v>-0.84953142407759352</v>
      </c>
      <c r="H39" s="2641">
        <f>INDEX('1 Financial Highlights'!$A$1:$CE$89,ROW('1 Financial Highlights'!$A22),COLUMN('1 Financial Highlights'!$BH$1))</f>
        <v>1997</v>
      </c>
      <c r="I39" s="2361"/>
      <c r="J39" s="2337"/>
      <c r="K39" s="2650"/>
      <c r="M39" s="2361"/>
      <c r="O39" s="191">
        <f t="shared" si="13"/>
        <v>0</v>
      </c>
      <c r="P39" s="191">
        <f t="shared" si="11"/>
        <v>0</v>
      </c>
    </row>
    <row r="40" spans="3:16" x14ac:dyDescent="0.2">
      <c r="C40" s="2329" t="s">
        <v>446</v>
      </c>
      <c r="D40" s="2330">
        <f>HLOOKUP($B$4,'1 Financial Highlights'!$10:$83,ROW('1 Financial Highlights'!$A$23)-9,0)</f>
        <v>839687</v>
      </c>
      <c r="E40" s="2334">
        <f>HLOOKUP($B$5,'1 Financial Highlights'!$10:$83,ROW('1 Financial Highlights'!$A$23)-9,0)</f>
        <v>819567</v>
      </c>
      <c r="F40" s="2334">
        <f>HLOOKUP($B$6,'1 Financial Highlights'!$10:$83,ROW('1 Financial Highlights'!$A$23)-9,0)</f>
        <v>741877</v>
      </c>
      <c r="G40" s="2332">
        <f t="shared" si="12"/>
        <v>2.4549548725119483E-2</v>
      </c>
      <c r="H40" s="2641">
        <f>INDEX('1 Financial Highlights'!$A$1:$CE$89,ROW('1 Financial Highlights'!$A23),COLUMN('1 Financial Highlights'!$BH$1))</f>
        <v>876363</v>
      </c>
      <c r="I40" s="2361"/>
      <c r="J40" s="2337"/>
      <c r="K40" s="2650"/>
      <c r="M40" s="2361"/>
      <c r="O40" s="191">
        <f t="shared" si="13"/>
        <v>0</v>
      </c>
      <c r="P40" s="191">
        <f t="shared" si="11"/>
        <v>0</v>
      </c>
    </row>
    <row r="41" spans="3:16" x14ac:dyDescent="0.2">
      <c r="C41" s="2329" t="s">
        <v>89</v>
      </c>
      <c r="D41" s="2347">
        <f>HLOOKUP($B$4,'15 Misc Operating Stats'!$9:$91,ROW('15 Misc Operating Stats'!$A$31)-8,0)</f>
        <v>2128</v>
      </c>
      <c r="E41" s="2348">
        <f>HLOOKUP($B$5,'15 Misc Operating Stats'!$9:$91,ROW('15 Misc Operating Stats'!$A$31)-8,0)</f>
        <v>2038</v>
      </c>
      <c r="F41" s="2348">
        <f>HLOOKUP($B$6,'15 Misc Operating Stats'!$9:$91,ROW('15 Misc Operating Stats'!$A$31)-8,0)</f>
        <v>1697</v>
      </c>
      <c r="G41" s="2342">
        <f t="shared" si="12"/>
        <v>4.4160942100098133E-2</v>
      </c>
      <c r="H41" s="2347">
        <f>HLOOKUP($B$4,'15 Misc Operating Stats'!$9:$91,ROW('15 Misc Operating Stats'!$H$31)-8,0)</f>
        <v>2128</v>
      </c>
      <c r="I41" s="2657"/>
      <c r="J41" s="2657"/>
      <c r="K41" s="2786"/>
      <c r="M41" s="2657"/>
      <c r="O41" s="191">
        <f t="shared" si="13"/>
        <v>0</v>
      </c>
      <c r="P41" s="191">
        <f t="shared" si="11"/>
        <v>0</v>
      </c>
    </row>
    <row r="42" spans="3:16" hidden="1" x14ac:dyDescent="0.2">
      <c r="C42" s="3099" t="s">
        <v>602</v>
      </c>
      <c r="D42" s="3100"/>
      <c r="E42" s="3100"/>
      <c r="F42" s="2349"/>
      <c r="G42" s="2349"/>
      <c r="H42" s="2349"/>
      <c r="I42" s="2349"/>
      <c r="J42" s="2349"/>
      <c r="K42" s="2658"/>
      <c r="M42" s="2349"/>
      <c r="O42" s="191">
        <f t="shared" si="13"/>
        <v>0</v>
      </c>
      <c r="P42" s="191">
        <f t="shared" si="11"/>
        <v>0</v>
      </c>
    </row>
    <row r="43" spans="3:16" x14ac:dyDescent="0.2">
      <c r="C43" s="2329" t="s">
        <v>436</v>
      </c>
      <c r="D43" s="2343">
        <f>HLOOKUP($B$4,'2 Consolidated IS'!$11:$91,ROW('2 Consolidated IS'!$A$72)-10,0)</f>
        <v>325508</v>
      </c>
      <c r="E43" s="2331">
        <f>HLOOKUP($B$5,'2 Consolidated IS'!$11:$91,ROW('2 Consolidated IS'!$A$72)-10,0)</f>
        <v>274123</v>
      </c>
      <c r="F43" s="2334">
        <f>HLOOKUP($B$6,'2 Consolidated IS'!$11:$91,ROW('2 Consolidated IS'!$A$72)-10,0)</f>
        <v>199808</v>
      </c>
      <c r="G43" s="2332">
        <f>IF(OR(((D43-E43)/E43)&gt;3,((D43-E43)/E43)&lt;-3),"n.m.",((D43-E43)/E43))</f>
        <v>0.18745234803354699</v>
      </c>
      <c r="H43" s="2343">
        <f>INDEX('2 Consolidated IS'!$A$1:$CD$97,ROW('2 Consolidated IS'!$A72),COLUMN('2 Consolidated IS'!$BH$1))</f>
        <v>1190567</v>
      </c>
      <c r="I43" s="2330">
        <f>INDEX('2 Consolidated IS'!$A$1:$CD$97,ROW('2 Consolidated IS'!$A72),COLUMN('2 Consolidated IS'!$BI$1))</f>
        <v>1022877</v>
      </c>
      <c r="J43" s="2361">
        <f>SUM('2 Consolidated IS'!P72:R72)</f>
        <v>606697</v>
      </c>
      <c r="K43" s="2650">
        <f>IF(OR(((H43-I43)/I43)&gt;3,((H43-I43)/I43)&lt;-3),"n.m.",((H43-I43)/I43))</f>
        <v>0.16393955480473213</v>
      </c>
      <c r="M43" s="2361">
        <f t="shared" ref="M43:M51" si="14">H43-I43</f>
        <v>167690</v>
      </c>
    </row>
    <row r="44" spans="3:16" x14ac:dyDescent="0.2">
      <c r="C44" s="2329" t="s">
        <v>80</v>
      </c>
      <c r="D44" s="2343">
        <f>HLOOKUP($B$4,'2 Consolidated IS'!$11:$91,ROW('2 Consolidated IS'!$A$73)-10,0)</f>
        <v>286978</v>
      </c>
      <c r="E44" s="2331">
        <f>HLOOKUP($B$5,'2 Consolidated IS'!$11:$91,ROW('2 Consolidated IS'!$A$73)-10,0)</f>
        <v>244774</v>
      </c>
      <c r="F44" s="2331">
        <f>HLOOKUP($B$6,'2 Consolidated IS'!$11:$91,ROW('2 Consolidated IS'!$A$73)-10,0)</f>
        <v>197044</v>
      </c>
      <c r="G44" s="2332">
        <f>IF(OR(((D44-E44)/E44)&gt;3,((D44-E44)/E44)&lt;-3),"n.m.",((D44-E44)/E44))</f>
        <v>0.17242027339505012</v>
      </c>
      <c r="H44" s="2343">
        <f>INDEX('2 Consolidated IS'!$A$1:$CD$97,ROW('2 Consolidated IS'!$A73),COLUMN('2 Consolidated IS'!$BH$1))</f>
        <v>1054981</v>
      </c>
      <c r="I44" s="2330">
        <f>INDEX('2 Consolidated IS'!$A$1:$CD$97,ROW('2 Consolidated IS'!$A73),COLUMN('2 Consolidated IS'!$BI$1))</f>
        <v>912270</v>
      </c>
      <c r="J44" s="2361">
        <f>SUM('2 Consolidated IS'!P73:R73)</f>
        <v>584935</v>
      </c>
      <c r="K44" s="2650">
        <f>IF(OR(((H44-I44)/I44)&gt;3,((H44-I44)/I44)&lt;-3),"n.m.",((H44-I44)/I44))</f>
        <v>0.15643504664189331</v>
      </c>
      <c r="M44" s="2361">
        <f t="shared" si="14"/>
        <v>142711</v>
      </c>
      <c r="O44" s="191">
        <f>IF((D44-E44)*G44&lt;0,"Reverse Sign",)</f>
        <v>0</v>
      </c>
      <c r="P44" s="191">
        <f>IF((H44-I44)*K44&lt;0,"Reverse Sign",)</f>
        <v>0</v>
      </c>
    </row>
    <row r="45" spans="3:16" x14ac:dyDescent="0.2">
      <c r="C45" s="2329" t="s">
        <v>72</v>
      </c>
      <c r="D45" s="2343">
        <f>HLOOKUP($B$4,'2 Consolidated IS'!$11:$91,ROW('2 Consolidated IS'!$A$74)-10,0)</f>
        <v>38530</v>
      </c>
      <c r="E45" s="2331">
        <f>HLOOKUP($B$5,'2 Consolidated IS'!$11:$91,ROW('2 Consolidated IS'!$A$74)-10,0)</f>
        <v>29349</v>
      </c>
      <c r="F45" s="2331">
        <f>HLOOKUP($B$6,'2 Consolidated IS'!$11:$91,ROW('2 Consolidated IS'!$A$74)-10,0)</f>
        <v>2764</v>
      </c>
      <c r="G45" s="2332">
        <f>IF(OR(((D45-E45)/E45)&gt;3,((D45-E45)/E45)&lt;-3),"n.m.",((D45-E45)/E45))</f>
        <v>0.31282156121162563</v>
      </c>
      <c r="H45" s="2343">
        <f>INDEX('2 Consolidated IS'!$A$1:$CD$97,ROW('2 Consolidated IS'!$A74),COLUMN('2 Consolidated IS'!$BH$1))</f>
        <v>135586</v>
      </c>
      <c r="I45" s="2330">
        <f>INDEX('2 Consolidated IS'!$A$1:$CD$97,ROW('2 Consolidated IS'!$A74),COLUMN('2 Consolidated IS'!$BI$1))</f>
        <v>110607</v>
      </c>
      <c r="J45" s="2361">
        <f>SUM('2 Consolidated IS'!P74:R74)</f>
        <v>21762</v>
      </c>
      <c r="K45" s="2650">
        <f>IF(OR(((H45-I45)/I45)&gt;3,((H45-I45)/I45)&lt;-3),"n.m.",((H45-I45)/I45))</f>
        <v>0.22583561619065701</v>
      </c>
      <c r="M45" s="2361">
        <f t="shared" si="14"/>
        <v>24979</v>
      </c>
      <c r="O45" s="191">
        <f>IF((D45-E45)*G45&lt;0,"Reverse Sign",)</f>
        <v>0</v>
      </c>
      <c r="P45" s="191">
        <f>IF((H45-I45)*K45&lt;0,"Reverse Sign",)</f>
        <v>0</v>
      </c>
    </row>
    <row r="46" spans="3:16" x14ac:dyDescent="0.2">
      <c r="C46" s="2329" t="s">
        <v>447</v>
      </c>
      <c r="D46" s="2330">
        <f>HLOOKUP($B$4,'2 Consolidated IS'!$11:$91,ROW('2 Consolidated IS'!$A$75)-10,0)</f>
        <v>30654</v>
      </c>
      <c r="E46" s="2334">
        <f>HLOOKUP($B$5,'2 Consolidated IS'!$11:$91,ROW('2 Consolidated IS'!$A$75)-10,0)</f>
        <v>25035</v>
      </c>
      <c r="F46" s="2334">
        <f>HLOOKUP($B$6,'2 Consolidated IS'!$11:$91,ROW('2 Consolidated IS'!$A$75)-10,0)</f>
        <v>1615</v>
      </c>
      <c r="G46" s="2332">
        <f>IF(OR(((D46-E46)/E46)&gt;3,((D46-E46)/E46)&lt;-3),"n.m.",((D46-E46)/E46))</f>
        <v>0.22444577591372078</v>
      </c>
      <c r="H46" s="2343">
        <f>INDEX('2 Consolidated IS'!$A$1:$CD$97,ROW('2 Consolidated IS'!$A75),COLUMN('2 Consolidated IS'!$BH$1))</f>
        <v>107355</v>
      </c>
      <c r="I46" s="2330">
        <f>INDEX('2 Consolidated IS'!$A$1:$CD$97,ROW('2 Consolidated IS'!$A75),COLUMN('2 Consolidated IS'!$BI$1))</f>
        <v>81657</v>
      </c>
      <c r="J46" s="2361">
        <f>SUM('2 Consolidated IS'!P75:R75)</f>
        <v>16456</v>
      </c>
      <c r="K46" s="2650">
        <f>IF(OR(((H46-I46)/I46)&gt;3,((H46-I46)/I46)&lt;-3),"n.m.",((H46-I46)/I46))</f>
        <v>0.31470663874499433</v>
      </c>
      <c r="M46" s="2361">
        <f t="shared" si="14"/>
        <v>25698</v>
      </c>
      <c r="O46" s="191">
        <f>IF((D46-E46)*G46&lt;0,"Reverse Sign",)</f>
        <v>0</v>
      </c>
      <c r="P46" s="191">
        <f>IF((H46-I46)*K46&lt;0,"Reverse Sign",)</f>
        <v>0</v>
      </c>
    </row>
    <row r="47" spans="3:16" x14ac:dyDescent="0.2">
      <c r="C47" s="2329" t="s">
        <v>439</v>
      </c>
      <c r="D47" s="2330"/>
      <c r="E47" s="2334"/>
      <c r="F47" s="2334"/>
      <c r="G47" s="2332"/>
      <c r="H47" s="2343"/>
      <c r="I47" s="2343"/>
      <c r="J47" s="2659"/>
      <c r="K47" s="2650"/>
      <c r="M47" s="2361">
        <f t="shared" si="14"/>
        <v>0</v>
      </c>
      <c r="O47" s="191">
        <f>IF((D47-E47)*G47&lt;0,"Reverse Sign",)</f>
        <v>0</v>
      </c>
      <c r="P47" s="191">
        <f>IF((H47-I48)*K47&lt;0,"Reverse Sign",)</f>
        <v>0</v>
      </c>
    </row>
    <row r="48" spans="3:16" x14ac:dyDescent="0.2">
      <c r="C48" s="2329" t="s">
        <v>448</v>
      </c>
      <c r="D48" s="2330">
        <f>HLOOKUP($B$4,'2 Consolidated IS'!$11:$91,ROW('2 Consolidated IS'!$A$76)-10,0)</f>
        <v>30569</v>
      </c>
      <c r="E48" s="2334">
        <f>HLOOKUP($B$5,'2 Consolidated IS'!$11:$91,ROW('2 Consolidated IS'!$A$76)-10,0)</f>
        <v>24002</v>
      </c>
      <c r="F48" s="2334">
        <f>HLOOKUP($B$6,'2 Consolidated IS'!$11:$91,ROW('2 Consolidated IS'!$A$76)-10,0)</f>
        <v>1913</v>
      </c>
      <c r="G48" s="2332">
        <f>IF(OR(((D48-E48)/E48)&gt;3,((D48-E48)/E48)&lt;-3),"n.m.",((D48-E48)/E48))</f>
        <v>0.27360219981668193</v>
      </c>
      <c r="H48" s="2343">
        <f>INDEX('2 Consolidated IS'!$A$1:$CD$97,ROW('2 Consolidated IS'!$A76),COLUMN('2 Consolidated IS'!$BH$1))</f>
        <v>106303</v>
      </c>
      <c r="I48" s="2330">
        <f>INDEX('2 Consolidated IS'!$A$1:$CD$97,ROW('2 Consolidated IS'!$A76),COLUMN('2 Consolidated IS'!$BI$1))</f>
        <v>77604</v>
      </c>
      <c r="J48" s="2361">
        <f>SUM('2 Consolidated IS'!P76:R76)</f>
        <v>13263.86</v>
      </c>
      <c r="K48" s="2650">
        <f>IF(OR(((H48-I48)/I48)&gt;3,((H48-I48)/I48)&lt;-3),"n.m.",((H48-I48)/ABS(I48)))</f>
        <v>0.3698134116798103</v>
      </c>
      <c r="M48" s="2361">
        <f t="shared" si="14"/>
        <v>28699</v>
      </c>
      <c r="O48" s="191">
        <f>IF((D48-E48)*G48&lt;0,"Reverse Sign",)</f>
        <v>0</v>
      </c>
      <c r="P48" s="191">
        <f>IF((H48-I48)*K48&lt;0,"Reverse Sign",)</f>
        <v>0</v>
      </c>
    </row>
    <row r="49" spans="3:19" x14ac:dyDescent="0.2">
      <c r="C49" s="2329" t="s">
        <v>449</v>
      </c>
      <c r="D49" s="2330">
        <f>D46-D48</f>
        <v>85</v>
      </c>
      <c r="E49" s="2334">
        <f>E46-E48</f>
        <v>1033</v>
      </c>
      <c r="F49" s="2334"/>
      <c r="G49" s="2332">
        <f>IF(OR(((D49-E49)/E49)&gt;3,((D49-E49)/E49)&lt;-3),"n.m.",((D49-E49)/E49))</f>
        <v>-0.91771539206195551</v>
      </c>
      <c r="H49" s="2343">
        <f>H46-H48</f>
        <v>1052</v>
      </c>
      <c r="I49" s="2343">
        <f>I46-I48</f>
        <v>4053</v>
      </c>
      <c r="J49" s="2343">
        <f>J46-J48</f>
        <v>3192.1399999999994</v>
      </c>
      <c r="K49" s="2650">
        <f>IF(OR(((H49-I49)/I49)&gt;3,((H49-I49)/I49)&lt;-3),"n.m.",((H49-I49)/I49))</f>
        <v>-0.74043918085368865</v>
      </c>
      <c r="M49" s="2361">
        <f t="shared" si="14"/>
        <v>-3001</v>
      </c>
      <c r="P49" s="191">
        <f>IF((H49-I49)*K49&lt;0,"Reverse Sign",)</f>
        <v>0</v>
      </c>
    </row>
    <row r="50" spans="3:19" ht="13.5" thickBot="1" x14ac:dyDescent="0.25">
      <c r="C50" s="2350" t="s">
        <v>450</v>
      </c>
      <c r="D50" s="2351">
        <f>HLOOKUP($B$4,'2 Consolidated IS'!$11:$91,ROW('2 Consolidated IS'!$A$77)-10,0)</f>
        <v>28218</v>
      </c>
      <c r="E50" s="2352">
        <f>HLOOKUP($B$5,'2 Consolidated IS'!$11:$91,ROW('2 Consolidated IS'!$A$77)-10,0)</f>
        <v>21651</v>
      </c>
      <c r="F50" s="2352">
        <f>HLOOKUP($B$6,'2 Consolidated IS'!$11:$91,ROW('2 Consolidated IS'!$A$77)-10,0)</f>
        <v>-627</v>
      </c>
      <c r="G50" s="2332">
        <f>IF(OR(((D50-E50)/E50)&gt;3,((D50-E50)/E50)&lt;-3),"n.m.",((D50-E50)/ABS(E50)))</f>
        <v>0.30331162532908412</v>
      </c>
      <c r="H50" s="2660">
        <f>INDEX('2 Consolidated IS'!$A$1:$CD$97,ROW('2 Consolidated IS'!$A77),COLUMN('2 Consolidated IS'!$BH$1))</f>
        <v>96899</v>
      </c>
      <c r="I50" s="2660">
        <f>INDEX('2 Consolidated IS'!$A$1:$CD$97,ROW('2 Consolidated IS'!$A77),COLUMN('2 Consolidated IS'!$BI$1))</f>
        <v>68011</v>
      </c>
      <c r="J50" s="2361">
        <f>SUM('2 Consolidated IS'!P77:R77)</f>
        <v>4725.8599999999997</v>
      </c>
      <c r="K50" s="2650">
        <f>IF(OR(((H50-I50)/I50)&gt;3,((H50-I50)/I50)&lt;-3),"n.m.",((H50-I50)/I50))</f>
        <v>0.42475481907338519</v>
      </c>
      <c r="M50" s="2361">
        <f t="shared" si="14"/>
        <v>28888</v>
      </c>
      <c r="O50" s="191">
        <f>IF((D50-E50)*G50&lt;0,"Reverse Sign",)</f>
        <v>0</v>
      </c>
      <c r="P50" s="191">
        <f>IF((H50-I50)*K50&lt;0,"Reverse Sign",)</f>
        <v>0</v>
      </c>
    </row>
    <row r="51" spans="3:19" ht="13.5" thickBot="1" x14ac:dyDescent="0.25">
      <c r="C51" s="2350" t="s">
        <v>442</v>
      </c>
      <c r="D51" s="2353">
        <f>HLOOKUP($B$4,'2 Consolidated IS'!$11:$91,ROW('2 Consolidated IS'!$A$86)-10,0)</f>
        <v>0.23</v>
      </c>
      <c r="E51" s="2353">
        <f>HLOOKUP($B$5,'2 Consolidated IS'!$11:$91,ROW('2 Consolidated IS'!$A$86)-10,0)</f>
        <v>0.19</v>
      </c>
      <c r="F51" s="2354">
        <f>HLOOKUP($B$6,'2 Consolidated IS'!$11:$91,ROW('2 Consolidated IS'!$A$86)-10,0)</f>
        <v>-0.01</v>
      </c>
      <c r="G51" s="2355">
        <f>IF(OR(((D51-E51)/E51)&gt;3,((D51-E51)/E51)&lt;-3),"n.m.",((D51-E51)/ABS(E51)))</f>
        <v>0.21052631578947373</v>
      </c>
      <c r="H51" s="2661">
        <f>INDEX('2 Consolidated IS'!$A$1:$CD$97,ROW('2 Consolidated IS'!$A86),COLUMN('2 Consolidated IS'!$BH$1))</f>
        <v>0.8</v>
      </c>
      <c r="I51" s="2661">
        <f>INDEX('2 Consolidated IS'!$A$1:$CD$97,ROW('2 Consolidated IS'!$A86),COLUMN('2 Consolidated IS'!$BI$1))</f>
        <v>0.59</v>
      </c>
      <c r="J51" s="2662">
        <v>0.05</v>
      </c>
      <c r="K51" s="2663">
        <f>IF(OR(((H51-I51)/I51)&gt;3,((H51-I51)/I51)&lt;-3),"n.m.",((H51-I51)/I51))</f>
        <v>0.35593220338983067</v>
      </c>
      <c r="M51" s="2662">
        <f t="shared" si="14"/>
        <v>0.21000000000000008</v>
      </c>
      <c r="O51" s="191">
        <f>IF((D51-E51)*G51&lt;0,"Reverse Sign",)</f>
        <v>0</v>
      </c>
      <c r="P51" s="191">
        <f>IF((H51-I51)*K51&lt;0,"Reverse Sign",)</f>
        <v>0</v>
      </c>
    </row>
    <row r="54" spans="3:19" ht="18.75" x14ac:dyDescent="0.2">
      <c r="C54" s="2248" t="s">
        <v>405</v>
      </c>
    </row>
    <row r="55" spans="3:19" ht="13.5" thickBot="1" x14ac:dyDescent="0.25"/>
    <row r="56" spans="3:19" ht="28.5" customHeight="1" thickBot="1" x14ac:dyDescent="0.25">
      <c r="C56" s="2249"/>
      <c r="D56" s="3101" t="str">
        <f>D6</f>
        <v>Three months ended June 30</v>
      </c>
      <c r="E56" s="3101"/>
      <c r="F56" s="3102" t="s">
        <v>406</v>
      </c>
      <c r="G56" s="3101" t="str">
        <f>H6</f>
        <v>Twelve months ended March 31</v>
      </c>
      <c r="H56" s="3101"/>
      <c r="I56" s="3104" t="s">
        <v>407</v>
      </c>
      <c r="K56" s="2398" t="s">
        <v>503</v>
      </c>
      <c r="L56" s="2356"/>
    </row>
    <row r="57" spans="3:19" ht="26.25" customHeight="1" thickBot="1" x14ac:dyDescent="0.25">
      <c r="C57" s="2250" t="s">
        <v>408</v>
      </c>
      <c r="D57" s="2647" t="str">
        <f>D7</f>
        <v>2019</v>
      </c>
      <c r="E57" s="2357" t="str">
        <f>E7</f>
        <v>2018</v>
      </c>
      <c r="F57" s="3103"/>
      <c r="G57" s="2324" t="s">
        <v>565</v>
      </c>
      <c r="H57" s="2357" t="s">
        <v>504</v>
      </c>
      <c r="I57" s="3105"/>
      <c r="L57" s="2356"/>
      <c r="R57" s="191">
        <v>1</v>
      </c>
      <c r="S57" s="191">
        <v>2.54</v>
      </c>
    </row>
    <row r="58" spans="3:19" x14ac:dyDescent="0.2">
      <c r="C58" s="2265" t="s">
        <v>409</v>
      </c>
      <c r="D58" s="2358">
        <f>HLOOKUP($B$4,'2 Consolidated IS'!$11:$91,ROW('2 Consolidated IS'!$A$20)-10,0)</f>
        <v>325508</v>
      </c>
      <c r="E58" s="2664">
        <f>HLOOKUP($B$5,'2 Consolidated IS'!$11:$91,ROW('2 Consolidated IS'!$A$20)-10,0)</f>
        <v>274123</v>
      </c>
      <c r="F58" s="2805">
        <f>IF(OR(((D58-E58)/E58)&gt;3,((D58-E58)/E58)&lt;-3),"n.m.",((D58-E58)/E58))</f>
        <v>0.18745234803354699</v>
      </c>
      <c r="G58" s="2358">
        <f>H16</f>
        <v>1190567</v>
      </c>
      <c r="H58" s="2664">
        <f>I16</f>
        <v>1022877</v>
      </c>
      <c r="I58" s="2811">
        <f>IF(OR(((G58-H58)/H58)&gt;3,((G58-H58)/H58)&lt;-3),"n.m.",((G58-H58)/H58))</f>
        <v>0.16393955480473213</v>
      </c>
      <c r="K58" s="347">
        <f>G58-H58</f>
        <v>167690</v>
      </c>
      <c r="L58" s="2356"/>
      <c r="P58" s="191">
        <f>IF((D58-E58)*F58&lt;0,"Reverse Sign",)</f>
        <v>0</v>
      </c>
      <c r="Q58" s="191">
        <f>IF((G58-H58)*I58&lt;0,"Reverse Sign",)</f>
        <v>0</v>
      </c>
      <c r="R58" s="191">
        <v>2</v>
      </c>
    </row>
    <row r="59" spans="3:19" ht="13.5" thickBot="1" x14ac:dyDescent="0.25">
      <c r="C59" s="2250" t="s">
        <v>410</v>
      </c>
      <c r="D59" s="2359">
        <f>HLOOKUP($B$4,'2 Consolidated IS'!$11:$91,ROW('2 Consolidated IS'!$A$41)-10,0)</f>
        <v>294156</v>
      </c>
      <c r="E59" s="2666">
        <f>HLOOKUP($B$5,'2 Consolidated IS'!$11:$91,ROW('2 Consolidated IS'!$A$41)-10,0)</f>
        <v>252241</v>
      </c>
      <c r="F59" s="2806">
        <f>IF(OR(((D59-E59)/E59)&gt;3,((D59-E59)/E59)&lt;-3),"n.m.",((D59-E59)/E59))</f>
        <v>0.16617044810320289</v>
      </c>
      <c r="G59" s="2359">
        <f>H26</f>
        <v>1097911</v>
      </c>
      <c r="H59" s="2666">
        <f>I26</f>
        <v>987131</v>
      </c>
      <c r="I59" s="2812">
        <f>IF(OR(((G59-H59)/H59)&gt;3,((G59-H59)/H59)&lt;-3),"n.m.",((G59-H59)/H59))</f>
        <v>0.11222421340227386</v>
      </c>
      <c r="K59" s="347">
        <f>G59-H59</f>
        <v>110780</v>
      </c>
      <c r="L59" s="2356"/>
      <c r="P59" s="191">
        <f>IF((D59-E59)*F59&lt;0,"Reverse Sign",)</f>
        <v>0</v>
      </c>
      <c r="Q59" s="191">
        <f>IF((G59-H59)*I59&lt;0,"Reverse Sign",)</f>
        <v>0</v>
      </c>
      <c r="R59" s="191">
        <v>3</v>
      </c>
    </row>
    <row r="60" spans="3:19" ht="14.25" x14ac:dyDescent="0.2">
      <c r="C60" s="2803" t="s">
        <v>4</v>
      </c>
      <c r="D60" s="2360"/>
      <c r="E60" s="2361"/>
      <c r="F60" s="2807"/>
      <c r="G60" s="2360"/>
      <c r="H60" s="2363"/>
      <c r="I60" s="2717"/>
      <c r="K60" s="347"/>
      <c r="L60" s="2356"/>
      <c r="R60" s="191">
        <v>4</v>
      </c>
    </row>
    <row r="61" spans="3:19" x14ac:dyDescent="0.2">
      <c r="C61" s="2253" t="s">
        <v>513</v>
      </c>
      <c r="D61" s="2360">
        <v>0</v>
      </c>
      <c r="E61" s="2361">
        <v>0</v>
      </c>
      <c r="F61" s="2807">
        <v>0</v>
      </c>
      <c r="G61" s="2363">
        <v>0</v>
      </c>
      <c r="H61" s="2363">
        <v>0</v>
      </c>
      <c r="I61" s="2717">
        <v>0</v>
      </c>
      <c r="K61" s="347"/>
      <c r="L61" s="2356"/>
      <c r="R61" s="191">
        <v>5</v>
      </c>
    </row>
    <row r="62" spans="3:19" x14ac:dyDescent="0.2">
      <c r="C62" s="2253" t="s">
        <v>498</v>
      </c>
      <c r="D62" s="2360">
        <f>D58-D61</f>
        <v>325508</v>
      </c>
      <c r="E62" s="2361">
        <f>E58-E61</f>
        <v>274123</v>
      </c>
      <c r="F62" s="2807">
        <f>IF(OR(((D62-E62)/E62)&gt;3,((D62-E62)/E62)&lt;-3),"n.m.",((D62-E62)/E62))</f>
        <v>0.18745234803354699</v>
      </c>
      <c r="G62" s="2360">
        <f t="shared" ref="G62" si="15">G58-G61</f>
        <v>1190567</v>
      </c>
      <c r="H62" s="2363">
        <f>H58-H61</f>
        <v>1022877</v>
      </c>
      <c r="I62" s="2717">
        <f>IF(OR(((G62-H62)/H62)&gt;3,((G62-H62)/H62)&lt;-3),"n.m.",((G62-H62)/H62))</f>
        <v>0.16393955480473213</v>
      </c>
      <c r="K62" s="347"/>
      <c r="L62" s="2356"/>
      <c r="R62" s="191">
        <v>6</v>
      </c>
    </row>
    <row r="63" spans="3:19" ht="14.25" x14ac:dyDescent="0.2">
      <c r="C63" s="2803" t="s">
        <v>5</v>
      </c>
      <c r="D63" s="2360"/>
      <c r="E63" s="2361"/>
      <c r="F63" s="2807"/>
      <c r="G63" s="2360"/>
      <c r="H63" s="2363"/>
      <c r="I63" s="2717"/>
      <c r="K63" s="347"/>
      <c r="L63" s="2356"/>
      <c r="R63" s="191">
        <v>7</v>
      </c>
    </row>
    <row r="64" spans="3:19" ht="23.25" customHeight="1" x14ac:dyDescent="0.2">
      <c r="C64" s="2252" t="s">
        <v>411</v>
      </c>
      <c r="D64" s="2362"/>
      <c r="E64" s="2415"/>
      <c r="F64" s="2807"/>
      <c r="G64" s="2360"/>
      <c r="H64" s="2363"/>
      <c r="I64" s="2717"/>
      <c r="K64" s="347">
        <f t="shared" ref="K64:K86" si="16">G64-H64</f>
        <v>0</v>
      </c>
      <c r="R64" s="191">
        <v>7</v>
      </c>
      <c r="S64" s="191">
        <f>SUM(S57:S63)</f>
        <v>2.54</v>
      </c>
    </row>
    <row r="65" spans="1:19" ht="15.75" customHeight="1" x14ac:dyDescent="0.2">
      <c r="A65" s="2272" t="s">
        <v>455</v>
      </c>
      <c r="C65" s="2253" t="s">
        <v>606</v>
      </c>
      <c r="D65" s="2360">
        <v>2471.2042799999999</v>
      </c>
      <c r="E65" s="2363">
        <v>579.80070999999998</v>
      </c>
      <c r="F65" s="2807" t="str">
        <f>IF(OR(((D65-E65)/E65)&gt;3,((D65-E65)/E65)&lt;-3),"n.m.",((D65-E65)/E65))</f>
        <v>n.m.</v>
      </c>
      <c r="G65" s="2360">
        <v>2499.6399900000001</v>
      </c>
      <c r="H65" s="2363">
        <v>1739.5039999999999</v>
      </c>
      <c r="I65" s="2717">
        <f>IF(OR(((G65-H65)/H65)&gt;3,((G65-H65)/H65)&lt;-3),"n.m.",((G65-H65)/H65))</f>
        <v>0.43698433001591275</v>
      </c>
      <c r="K65" s="347">
        <f>G65-H65</f>
        <v>760.13599000000022</v>
      </c>
      <c r="P65" s="191" t="e">
        <f t="shared" ref="P65:P86" si="17">IF((D65-E65)*F65&lt;0,"Reverse Sign",)</f>
        <v>#VALUE!</v>
      </c>
      <c r="Q65" s="191">
        <f t="shared" ref="Q65:Q80" si="18">IF((G65-H65)*I65&lt;0,"Reverse Sign",)</f>
        <v>0</v>
      </c>
      <c r="S65" s="191">
        <v>7.59</v>
      </c>
    </row>
    <row r="66" spans="1:19" hidden="1" x14ac:dyDescent="0.2">
      <c r="C66" s="2253" t="s">
        <v>380</v>
      </c>
      <c r="D66" s="2360" t="e">
        <f>'5 Canaccord Genuity '!K43+#REF!</f>
        <v>#REF!</v>
      </c>
      <c r="E66" s="2363"/>
      <c r="F66" s="2807" t="e">
        <f>IF(OR(((D66-E66)/E66)&gt;3,((D66-E66)/E66)&lt;-3),"n.m.",((D66-E66)/E66))</f>
        <v>#REF!</v>
      </c>
      <c r="G66" s="2360">
        <f>'5 Canaccord Genuity '!BH43</f>
        <v>0</v>
      </c>
      <c r="H66" s="2363" t="e">
        <f>'5 Canaccord Genuity '!BI43+#REF!</f>
        <v>#REF!</v>
      </c>
      <c r="I66" s="2717" t="e">
        <f>IF(OR(((G66-H66)/H66)&gt;3,((G66-H66)/H66)&lt;-3),"n.m.",((G66-H66)/H66))</f>
        <v>#REF!</v>
      </c>
      <c r="K66" s="347" t="e">
        <f t="shared" si="16"/>
        <v>#REF!</v>
      </c>
      <c r="P66" s="191" t="e">
        <f t="shared" si="17"/>
        <v>#REF!</v>
      </c>
      <c r="Q66" s="191" t="e">
        <f t="shared" si="18"/>
        <v>#REF!</v>
      </c>
    </row>
    <row r="67" spans="1:19" x14ac:dyDescent="0.2">
      <c r="C67" s="2253" t="s">
        <v>614</v>
      </c>
      <c r="D67" s="2360">
        <f>D132</f>
        <v>60</v>
      </c>
      <c r="E67" s="2363">
        <f>E132</f>
        <v>1316</v>
      </c>
      <c r="F67" s="2807">
        <f>IF(OR(((D67-E67)/E67)&gt;3,((D67-E67)/E67)&lt;-3),"n.m.",((D67-E67)/E67))</f>
        <v>-0.95440729483282671</v>
      </c>
      <c r="G67" s="2360">
        <f>G132</f>
        <v>13070</v>
      </c>
      <c r="H67" s="2363">
        <f>H132</f>
        <v>4704</v>
      </c>
      <c r="I67" s="2717">
        <f>IF(OR(((G67-H67)/H67)&gt;3,((G67-H67)/H67)&lt;-3),"n.m.",((G67-H67)/H67))</f>
        <v>1.7784863945578231</v>
      </c>
      <c r="K67" s="347">
        <f>G67-H67</f>
        <v>8366</v>
      </c>
      <c r="P67" s="191">
        <f t="shared" si="17"/>
        <v>0</v>
      </c>
      <c r="Q67" s="191">
        <f t="shared" si="18"/>
        <v>0</v>
      </c>
      <c r="S67" s="191">
        <f>+S65-S64</f>
        <v>5.05</v>
      </c>
    </row>
    <row r="68" spans="1:19" x14ac:dyDescent="0.2">
      <c r="C68" s="2253" t="s">
        <v>605</v>
      </c>
      <c r="D68" s="2360">
        <f>D131</f>
        <v>177</v>
      </c>
      <c r="E68" s="2363">
        <f>E131</f>
        <v>1173</v>
      </c>
      <c r="F68" s="2807">
        <v>0</v>
      </c>
      <c r="G68" s="2360">
        <f>G131</f>
        <v>1976</v>
      </c>
      <c r="H68" s="2363">
        <f>H131</f>
        <v>0</v>
      </c>
      <c r="I68" s="2717">
        <v>0</v>
      </c>
      <c r="K68" s="347"/>
      <c r="S68" s="191">
        <f>+ROUND(S67/R64,2)</f>
        <v>0.72</v>
      </c>
    </row>
    <row r="69" spans="1:19" ht="23.25" customHeight="1" x14ac:dyDescent="0.2">
      <c r="C69" s="2297" t="s">
        <v>414</v>
      </c>
      <c r="D69" s="2360"/>
      <c r="E69" s="2363"/>
      <c r="F69" s="2807"/>
      <c r="G69" s="2360"/>
      <c r="H69" s="2363"/>
      <c r="I69" s="2717"/>
      <c r="K69" s="347">
        <f t="shared" si="16"/>
        <v>0</v>
      </c>
      <c r="P69" s="191">
        <f t="shared" si="17"/>
        <v>0</v>
      </c>
      <c r="Q69" s="191">
        <f t="shared" si="18"/>
        <v>0</v>
      </c>
    </row>
    <row r="70" spans="1:19" x14ac:dyDescent="0.2">
      <c r="A70" s="2272" t="s">
        <v>455</v>
      </c>
      <c r="C70" s="2255" t="s">
        <v>412</v>
      </c>
      <c r="D70" s="2360">
        <v>2842.7269999999999</v>
      </c>
      <c r="E70" s="2363">
        <v>2856.2249999999999</v>
      </c>
      <c r="F70" s="2807">
        <f>IF(OR(((D70-E70)/E70)&gt;3,((D70-E70)/E70)&lt;-3),"n.m.",((D70-E70)/E70))</f>
        <v>-4.7258181690868362E-3</v>
      </c>
      <c r="G70" s="2360">
        <v>11152.421050000001</v>
      </c>
      <c r="H70" s="2363">
        <v>5405.5519999999997</v>
      </c>
      <c r="I70" s="2717">
        <f>IF(OR(((G70-H70)/H70)&gt;3,((G70-H70)/H70)&lt;-3),"n.m.",((G70-H70)/H70))</f>
        <v>1.0631419418405375</v>
      </c>
      <c r="K70" s="347">
        <f t="shared" si="16"/>
        <v>5746.8690500000012</v>
      </c>
      <c r="P70" s="191">
        <f t="shared" si="17"/>
        <v>0</v>
      </c>
      <c r="Q70" s="191">
        <f t="shared" si="18"/>
        <v>0</v>
      </c>
    </row>
    <row r="71" spans="1:19" x14ac:dyDescent="0.2">
      <c r="C71" s="2255" t="s">
        <v>613</v>
      </c>
      <c r="D71" s="2360">
        <f>D206</f>
        <v>0</v>
      </c>
      <c r="E71" s="2363">
        <f>E206</f>
        <v>0</v>
      </c>
      <c r="F71" s="2807" t="e">
        <f>IF(OR(((D71-E71)/E71)&gt;3,((D71-E71)/E71)&lt;-3),"n.m.",((D71-E71)/E71))</f>
        <v>#DIV/0!</v>
      </c>
      <c r="G71" s="2360">
        <f>G206</f>
        <v>0</v>
      </c>
      <c r="H71" s="2363">
        <f>H206</f>
        <v>2939</v>
      </c>
      <c r="I71" s="2717">
        <v>0</v>
      </c>
      <c r="K71" s="347">
        <f t="shared" si="16"/>
        <v>-2939</v>
      </c>
      <c r="P71" s="191" t="e">
        <f t="shared" si="17"/>
        <v>#DIV/0!</v>
      </c>
      <c r="Q71" s="191">
        <f t="shared" si="18"/>
        <v>0</v>
      </c>
    </row>
    <row r="72" spans="1:19" x14ac:dyDescent="0.2">
      <c r="C72" s="2255" t="s">
        <v>185</v>
      </c>
      <c r="D72" s="2360">
        <f>D207</f>
        <v>335</v>
      </c>
      <c r="E72" s="2363">
        <f>E207</f>
        <v>0</v>
      </c>
      <c r="F72" s="2807" t="e">
        <f>IF(OR(((D72-E72)/E72)&gt;3,((D72-E72)/E72)&lt;-3),"n.m.",((D72-E72)/E72))</f>
        <v>#DIV/0!</v>
      </c>
      <c r="G72" s="2360">
        <f>G207</f>
        <v>1088</v>
      </c>
      <c r="H72" s="2363">
        <f>H207</f>
        <v>6732</v>
      </c>
      <c r="I72" s="2717">
        <v>0</v>
      </c>
      <c r="K72" s="347"/>
      <c r="P72" s="191" t="e">
        <f t="shared" si="17"/>
        <v>#DIV/0!</v>
      </c>
    </row>
    <row r="73" spans="1:19" x14ac:dyDescent="0.2">
      <c r="C73" s="2253" t="s">
        <v>615</v>
      </c>
      <c r="D73" s="2360">
        <v>499.40156000000002</v>
      </c>
      <c r="E73" s="2363">
        <v>1542.5571</v>
      </c>
      <c r="F73" s="2807" t="s">
        <v>41</v>
      </c>
      <c r="G73" s="2360">
        <v>6052.6181999999999</v>
      </c>
      <c r="H73" s="2363">
        <v>0</v>
      </c>
      <c r="I73" s="2717">
        <v>0</v>
      </c>
      <c r="K73" s="347"/>
    </row>
    <row r="74" spans="1:19" x14ac:dyDescent="0.2">
      <c r="C74" s="2254" t="s">
        <v>415</v>
      </c>
      <c r="D74" s="2360"/>
      <c r="E74" s="2363"/>
      <c r="F74" s="2807"/>
      <c r="G74" s="2360"/>
      <c r="H74" s="2363"/>
      <c r="I74" s="2717"/>
      <c r="K74" s="347">
        <f t="shared" si="16"/>
        <v>0</v>
      </c>
      <c r="P74" s="191">
        <f t="shared" si="17"/>
        <v>0</v>
      </c>
      <c r="Q74" s="191">
        <f t="shared" si="18"/>
        <v>0</v>
      </c>
    </row>
    <row r="75" spans="1:19" hidden="1" x14ac:dyDescent="0.2">
      <c r="C75" s="2253" t="s">
        <v>539</v>
      </c>
      <c r="D75" s="2360"/>
      <c r="E75" s="2363"/>
      <c r="F75" s="2807"/>
      <c r="G75" s="2360">
        <v>0</v>
      </c>
      <c r="H75" s="2363"/>
      <c r="I75" s="2717"/>
      <c r="K75" s="347"/>
    </row>
    <row r="76" spans="1:19" x14ac:dyDescent="0.2">
      <c r="C76" s="2516" t="s">
        <v>604</v>
      </c>
      <c r="D76" s="2360" t="e">
        <f>D24</f>
        <v>#N/A</v>
      </c>
      <c r="E76" s="2363">
        <v>0</v>
      </c>
      <c r="F76" s="2807" t="s">
        <v>41</v>
      </c>
      <c r="G76" s="2360">
        <f>H24</f>
        <v>8608</v>
      </c>
      <c r="H76" s="2363">
        <v>0</v>
      </c>
      <c r="I76" s="2717" t="s">
        <v>41</v>
      </c>
      <c r="K76" s="347"/>
    </row>
    <row r="77" spans="1:19" hidden="1" x14ac:dyDescent="0.2">
      <c r="C77" s="2255" t="s">
        <v>164</v>
      </c>
      <c r="D77" s="2360">
        <f>D233</f>
        <v>0</v>
      </c>
      <c r="E77" s="2363">
        <f>E233</f>
        <v>0</v>
      </c>
      <c r="F77" s="2807" t="s">
        <v>41</v>
      </c>
      <c r="G77" s="2360">
        <f>G233</f>
        <v>0</v>
      </c>
      <c r="H77" s="2363">
        <f>H233</f>
        <v>0</v>
      </c>
      <c r="I77" s="2813" t="s">
        <v>41</v>
      </c>
      <c r="K77" s="347">
        <f t="shared" si="16"/>
        <v>0</v>
      </c>
      <c r="P77" s="191" t="e">
        <f t="shared" si="17"/>
        <v>#VALUE!</v>
      </c>
      <c r="Q77" s="191" t="e">
        <f t="shared" si="18"/>
        <v>#VALUE!</v>
      </c>
    </row>
    <row r="78" spans="1:19" x14ac:dyDescent="0.2">
      <c r="C78" s="2804" t="s">
        <v>416</v>
      </c>
      <c r="D78" s="2364" t="e">
        <f>SUM(D65:D77)</f>
        <v>#REF!</v>
      </c>
      <c r="E78" s="2401">
        <f>SUM(E65:E77)</f>
        <v>7467.5828099999999</v>
      </c>
      <c r="F78" s="2808" t="e">
        <f t="shared" ref="F78:F83" si="19">IF(OR(((D78-E78)/E78)&gt;3,((D78-E78)/E78)&lt;-3),"n.m.",((D78-E78)/E78))</f>
        <v>#REF!</v>
      </c>
      <c r="G78" s="2364">
        <f>SUM(G65:G77)</f>
        <v>44446.679239999998</v>
      </c>
      <c r="H78" s="2401" t="e">
        <f>SUM(H65:H77)</f>
        <v>#REF!</v>
      </c>
      <c r="I78" s="2814" t="e">
        <f t="shared" ref="I78:I83" si="20">IF(OR(((G78-H78)/H78)&gt;3,((G78-H78)/H78)&lt;-3),"n.m.",((G78-H78)/H78))</f>
        <v>#REF!</v>
      </c>
      <c r="K78" s="347" t="e">
        <f t="shared" si="16"/>
        <v>#REF!</v>
      </c>
      <c r="P78" s="191" t="e">
        <f t="shared" si="17"/>
        <v>#REF!</v>
      </c>
      <c r="Q78" s="191" t="e">
        <f t="shared" si="18"/>
        <v>#REF!</v>
      </c>
    </row>
    <row r="79" spans="1:19" hidden="1" x14ac:dyDescent="0.2">
      <c r="C79" s="2251" t="s">
        <v>498</v>
      </c>
      <c r="D79" s="2360">
        <f>D62</f>
        <v>325508</v>
      </c>
      <c r="E79" s="2363">
        <f>E62</f>
        <v>274123</v>
      </c>
      <c r="F79" s="2807">
        <f t="shared" si="19"/>
        <v>0.18745234803354699</v>
      </c>
      <c r="G79" s="2360">
        <f>G62</f>
        <v>1190567</v>
      </c>
      <c r="H79" s="2363">
        <f>H62</f>
        <v>1022877</v>
      </c>
      <c r="I79" s="2717">
        <f t="shared" si="20"/>
        <v>0.16393955480473213</v>
      </c>
      <c r="K79" s="347">
        <f t="shared" si="16"/>
        <v>167690</v>
      </c>
      <c r="P79" s="191">
        <f t="shared" si="17"/>
        <v>0</v>
      </c>
      <c r="Q79" s="191">
        <f t="shared" si="18"/>
        <v>0</v>
      </c>
    </row>
    <row r="80" spans="1:19" x14ac:dyDescent="0.2">
      <c r="C80" s="2271" t="s">
        <v>417</v>
      </c>
      <c r="D80" s="2668">
        <f>HLOOKUP($B$4,'2 Consolidated IS'!$11:$91,ROW('2 Consolidated IS'!$A$73)-10,0)</f>
        <v>286978</v>
      </c>
      <c r="E80" s="2669">
        <f>HLOOKUP($B$5,'2 Consolidated IS'!$11:$91,ROW('2 Consolidated IS'!$A$73)-10,0)</f>
        <v>244774</v>
      </c>
      <c r="F80" s="2809">
        <f t="shared" si="19"/>
        <v>0.17242027339505012</v>
      </c>
      <c r="G80" s="2668">
        <f>H44</f>
        <v>1054981</v>
      </c>
      <c r="H80" s="2669">
        <f>I44</f>
        <v>912270</v>
      </c>
      <c r="I80" s="2813">
        <f t="shared" si="20"/>
        <v>0.15643504664189331</v>
      </c>
      <c r="K80" s="347">
        <f t="shared" si="16"/>
        <v>142711</v>
      </c>
      <c r="M80" s="191">
        <f>G59-G78</f>
        <v>1053464.32076</v>
      </c>
      <c r="P80" s="191">
        <f t="shared" si="17"/>
        <v>0</v>
      </c>
      <c r="Q80" s="191">
        <f t="shared" si="18"/>
        <v>0</v>
      </c>
    </row>
    <row r="81" spans="3:17" x14ac:dyDescent="0.2">
      <c r="C81" s="2251" t="s">
        <v>418</v>
      </c>
      <c r="D81" s="2360">
        <f>D45</f>
        <v>38530</v>
      </c>
      <c r="E81" s="2363">
        <f>E45</f>
        <v>29349</v>
      </c>
      <c r="F81" s="2807">
        <f t="shared" si="19"/>
        <v>0.31282156121162563</v>
      </c>
      <c r="G81" s="2360">
        <f>H45</f>
        <v>135586</v>
      </c>
      <c r="H81" s="2363">
        <f>I45</f>
        <v>110607</v>
      </c>
      <c r="I81" s="2717">
        <f t="shared" si="20"/>
        <v>0.22583561619065701</v>
      </c>
      <c r="K81" s="347">
        <f t="shared" si="16"/>
        <v>24979</v>
      </c>
      <c r="P81" s="191">
        <f t="shared" si="17"/>
        <v>0</v>
      </c>
    </row>
    <row r="82" spans="3:17" x14ac:dyDescent="0.2">
      <c r="C82" s="2251" t="s">
        <v>419</v>
      </c>
      <c r="D82" s="2360">
        <f>HLOOKUP($B$4,'1 Financial Highlights'!$10:$83,ROW('1 Financial Highlights'!$A$65)-9,0)</f>
        <v>7876</v>
      </c>
      <c r="E82" s="2363">
        <f>HLOOKUP($B$5,'1 Financial Highlights'!$10:$83,ROW('1 Financial Highlights'!$A$65)-9,0)</f>
        <v>4314</v>
      </c>
      <c r="F82" s="2807">
        <f t="shared" si="19"/>
        <v>0.82568382012053776</v>
      </c>
      <c r="G82" s="2360">
        <f>INDEX('1 Financial Highlights'!$A$1:$CE$89,ROW('1 Financial Highlights'!$A65),COLUMN('1 Financial Highlights'!$BH$1))</f>
        <v>28231</v>
      </c>
      <c r="H82" s="2363">
        <f>INDEX('1 Financial Highlights'!$A$1:$CE$89,ROW('1 Financial Highlights'!$A65),COLUMN('1 Financial Highlights'!$BI$1))</f>
        <v>28950</v>
      </c>
      <c r="I82" s="2717">
        <f t="shared" si="20"/>
        <v>-2.4835924006908462E-2</v>
      </c>
      <c r="K82" s="347">
        <f t="shared" si="16"/>
        <v>-719</v>
      </c>
      <c r="P82" s="191">
        <f t="shared" si="17"/>
        <v>0</v>
      </c>
    </row>
    <row r="83" spans="3:17" x14ac:dyDescent="0.2">
      <c r="C83" s="2251" t="s">
        <v>420</v>
      </c>
      <c r="D83" s="2360">
        <f>D81-D82</f>
        <v>30654</v>
      </c>
      <c r="E83" s="2363">
        <f>E81-E82</f>
        <v>25035</v>
      </c>
      <c r="F83" s="2807">
        <f t="shared" si="19"/>
        <v>0.22444577591372078</v>
      </c>
      <c r="G83" s="2360">
        <f>G81-G82</f>
        <v>107355</v>
      </c>
      <c r="H83" s="2363">
        <f>H81-H82</f>
        <v>81657</v>
      </c>
      <c r="I83" s="2717">
        <f t="shared" si="20"/>
        <v>0.31470663874499433</v>
      </c>
      <c r="K83" s="347">
        <f t="shared" si="16"/>
        <v>25698</v>
      </c>
      <c r="P83" s="191">
        <f t="shared" si="17"/>
        <v>0</v>
      </c>
    </row>
    <row r="84" spans="3:17" x14ac:dyDescent="0.2">
      <c r="C84" s="2282" t="s">
        <v>421</v>
      </c>
      <c r="D84" s="2365">
        <f>D50</f>
        <v>28218</v>
      </c>
      <c r="E84" s="2366">
        <f>E50</f>
        <v>21651</v>
      </c>
      <c r="F84" s="2810">
        <f>IF(OR(((D84-E84)/E84)&gt;3,((D84-E84)/E84)&lt;-3),"n.m.",((D84-E84)/ABS(E84)))</f>
        <v>0.30331162532908412</v>
      </c>
      <c r="G84" s="2365">
        <f>H50</f>
        <v>96899</v>
      </c>
      <c r="H84" s="2366">
        <f>I50</f>
        <v>68011</v>
      </c>
      <c r="I84" s="2815">
        <f>IF(OR(((G84-H84)/H84)&gt;3,((G84-H84)/H84)&lt;-3),"n.m.",((G84-H84)/ABS(H84)))</f>
        <v>0.42475481907338519</v>
      </c>
      <c r="K84" s="347">
        <f t="shared" si="16"/>
        <v>28888</v>
      </c>
      <c r="P84" s="191">
        <f t="shared" si="17"/>
        <v>0</v>
      </c>
      <c r="Q84" s="191">
        <f>IF((G84-H84)*I84&lt;0,"Reverse Sign",)</f>
        <v>0</v>
      </c>
    </row>
    <row r="85" spans="3:17" x14ac:dyDescent="0.2">
      <c r="C85" s="2251" t="s">
        <v>422</v>
      </c>
      <c r="D85" s="2367">
        <f>HLOOKUP($B$4,'2 Consolidated IS'!$11:$91,ROW('2 Consolidated IS'!$A$85)-10,0)</f>
        <v>0.28000000000000003</v>
      </c>
      <c r="E85" s="2368">
        <f>HLOOKUP($B$5,'2 Consolidated IS'!$11:$91,ROW('2 Consolidated IS'!$A$85)-10,0)</f>
        <v>0.23</v>
      </c>
      <c r="F85" s="2807">
        <f>IF(OR(((D85-E85)/E85)&gt;3,((D85-E85)/E85)&lt;-3),"n.m.",((D85-E85)/ABS(E85)))</f>
        <v>0.21739130434782614</v>
      </c>
      <c r="G85" s="2367">
        <f>INDEX('2 Consolidated IS'!$A$1:$CD$97,ROW('2 Consolidated IS'!$A85),COLUMN('2 Consolidated IS'!$BH$1))</f>
        <v>1.01</v>
      </c>
      <c r="H85" s="2368">
        <f>INDEX('2 Consolidated IS'!$A$1:$CD$97,ROW('2 Consolidated IS'!$A85),COLUMN('2 Consolidated IS'!$BI$1))</f>
        <v>0.73</v>
      </c>
      <c r="I85" s="2717">
        <f>IF(OR(((G85-H85)/H85)&gt;3,((G85-H85)/H85)&lt;-3),"n.m.",((G85-H85)/ABS(H85)))</f>
        <v>0.38356164383561647</v>
      </c>
      <c r="K85" s="2314">
        <f t="shared" si="16"/>
        <v>0.28000000000000003</v>
      </c>
      <c r="P85" s="191">
        <f t="shared" si="17"/>
        <v>0</v>
      </c>
      <c r="Q85" s="191">
        <f>IF((G85-H85)*I85&lt;0,"Reverse Sign",)</f>
        <v>0</v>
      </c>
    </row>
    <row r="86" spans="3:17" ht="13.5" thickBot="1" x14ac:dyDescent="0.25">
      <c r="C86" s="2250" t="s">
        <v>423</v>
      </c>
      <c r="D86" s="2369">
        <f>D51</f>
        <v>0.23</v>
      </c>
      <c r="E86" s="2370">
        <f>E51</f>
        <v>0.19</v>
      </c>
      <c r="F86" s="2806">
        <f>IF(OR(((D86-E86)/E86)&gt;3,((D86-E86)/E86)&lt;-3),"n.m.",((D86-E86)/ABS(E86)))</f>
        <v>0.21052631578947373</v>
      </c>
      <c r="G86" s="2369">
        <f>H51</f>
        <v>0.8</v>
      </c>
      <c r="H86" s="2370">
        <f>I51</f>
        <v>0.59</v>
      </c>
      <c r="I86" s="2812">
        <f>IF(OR(((G86-H86)/H86)&gt;3,((G86-H86)/H86)&lt;-3),"n.m.",((G86-H86)/ABS(H86)))</f>
        <v>0.35593220338983067</v>
      </c>
      <c r="K86" s="2314">
        <f t="shared" si="16"/>
        <v>0.21000000000000008</v>
      </c>
      <c r="P86" s="191">
        <f t="shared" si="17"/>
        <v>0</v>
      </c>
      <c r="Q86" s="191">
        <f>IF((G86-H86)*I86&lt;0,"Reverse Sign",)</f>
        <v>0</v>
      </c>
    </row>
    <row r="87" spans="3:17" x14ac:dyDescent="0.2">
      <c r="C87" s="2256" t="s">
        <v>424</v>
      </c>
      <c r="G87" s="2652"/>
      <c r="H87" s="2652"/>
      <c r="I87" s="2652"/>
    </row>
    <row r="88" spans="3:17" x14ac:dyDescent="0.2">
      <c r="C88" s="2256" t="s">
        <v>425</v>
      </c>
      <c r="G88" s="2652"/>
      <c r="H88" s="2652"/>
      <c r="I88" s="2652"/>
    </row>
    <row r="89" spans="3:17" x14ac:dyDescent="0.2">
      <c r="G89" s="2652"/>
      <c r="H89" s="2652"/>
      <c r="I89" s="2652"/>
    </row>
    <row r="90" spans="3:17" x14ac:dyDescent="0.2">
      <c r="G90" s="2652"/>
      <c r="H90" s="2652"/>
      <c r="I90" s="2652"/>
    </row>
    <row r="91" spans="3:17" x14ac:dyDescent="0.2">
      <c r="F91" s="2272"/>
      <c r="G91" s="2670"/>
      <c r="H91" s="2652"/>
      <c r="I91" s="2652"/>
    </row>
    <row r="92" spans="3:17" ht="15" thickBot="1" x14ac:dyDescent="0.25">
      <c r="C92" s="2371" t="s">
        <v>451</v>
      </c>
      <c r="D92" s="2372"/>
      <c r="E92" s="2372"/>
      <c r="F92" s="2372"/>
      <c r="G92" s="2671"/>
      <c r="H92" s="2671"/>
      <c r="I92" s="2671"/>
    </row>
    <row r="93" spans="3:17" ht="12.75" customHeight="1" x14ac:dyDescent="0.2">
      <c r="C93" s="3116"/>
      <c r="D93" s="3130" t="str">
        <f>D56</f>
        <v>Three months ended June 30</v>
      </c>
      <c r="E93" s="3130"/>
      <c r="F93" s="3118" t="s">
        <v>406</v>
      </c>
      <c r="G93" s="3130" t="str">
        <f>G56</f>
        <v>Twelve months ended March 31</v>
      </c>
      <c r="H93" s="3130"/>
      <c r="I93" s="3121" t="s">
        <v>452</v>
      </c>
    </row>
    <row r="94" spans="3:17" ht="22.5" customHeight="1" x14ac:dyDescent="0.2">
      <c r="C94" s="3117"/>
      <c r="D94" s="3107"/>
      <c r="E94" s="3107"/>
      <c r="F94" s="3119"/>
      <c r="G94" s="3107"/>
      <c r="H94" s="3107"/>
      <c r="I94" s="3122"/>
    </row>
    <row r="95" spans="3:17" ht="13.5" thickBot="1" x14ac:dyDescent="0.25">
      <c r="C95" s="2373"/>
      <c r="D95" s="2374">
        <v>2018</v>
      </c>
      <c r="E95" s="2374">
        <v>2017</v>
      </c>
      <c r="F95" s="3120"/>
      <c r="G95" s="2673">
        <f>D95</f>
        <v>2018</v>
      </c>
      <c r="H95" s="2673">
        <f>E95</f>
        <v>2017</v>
      </c>
      <c r="I95" s="3123"/>
    </row>
    <row r="96" spans="3:17" x14ac:dyDescent="0.2">
      <c r="C96" s="2375" t="s">
        <v>453</v>
      </c>
      <c r="D96" s="2274">
        <f t="shared" ref="D96:E98" si="21">D18/D$16</f>
        <v>0.49980031212750531</v>
      </c>
      <c r="E96" s="2424">
        <f t="shared" si="21"/>
        <v>0.5024970542420738</v>
      </c>
      <c r="F96" s="2798">
        <f t="shared" ref="F96:F98" si="22">(D96-E96)*100</f>
        <v>-0.26967421145684956</v>
      </c>
      <c r="G96" s="2674">
        <f t="shared" ref="G96:H98" si="23">H18/H$16</f>
        <v>0.50384984633372165</v>
      </c>
      <c r="H96" s="2675">
        <f t="shared" si="23"/>
        <v>0.51483609466240809</v>
      </c>
      <c r="I96" s="2800">
        <f t="shared" ref="I96:I103" si="24">(G96-H96)*100</f>
        <v>-1.0986248328686443</v>
      </c>
    </row>
    <row r="97" spans="1:17" x14ac:dyDescent="0.2">
      <c r="C97" s="2375" t="s">
        <v>64</v>
      </c>
      <c r="D97" s="2274">
        <f t="shared" si="21"/>
        <v>9.8980670213942509E-2</v>
      </c>
      <c r="E97" s="2421">
        <f t="shared" si="21"/>
        <v>0.10428530258314699</v>
      </c>
      <c r="F97" s="2798">
        <f t="shared" si="22"/>
        <v>-0.53046323692044761</v>
      </c>
      <c r="G97" s="2674">
        <f t="shared" si="23"/>
        <v>9.8069239278427839E-2</v>
      </c>
      <c r="H97" s="2675">
        <f t="shared" si="23"/>
        <v>9.70194852362503E-2</v>
      </c>
      <c r="I97" s="2801">
        <f t="shared" si="24"/>
        <v>0.10497540421775392</v>
      </c>
    </row>
    <row r="98" spans="1:17" ht="13.5" x14ac:dyDescent="0.2">
      <c r="C98" s="2375" t="s">
        <v>454</v>
      </c>
      <c r="D98" s="2274" t="e">
        <f t="shared" si="21"/>
        <v>#N/A</v>
      </c>
      <c r="E98" s="2421" t="e">
        <f t="shared" si="21"/>
        <v>#N/A</v>
      </c>
      <c r="F98" s="2798" t="e">
        <f t="shared" si="22"/>
        <v>#N/A</v>
      </c>
      <c r="G98" s="2674">
        <f t="shared" si="23"/>
        <v>0.29921877559179788</v>
      </c>
      <c r="H98" s="2675">
        <f t="shared" si="23"/>
        <v>0.3388530585788907</v>
      </c>
      <c r="I98" s="2801">
        <f t="shared" si="24"/>
        <v>-3.9634282987092817</v>
      </c>
    </row>
    <row r="99" spans="1:17" x14ac:dyDescent="0.2">
      <c r="A99" s="2272" t="s">
        <v>455</v>
      </c>
      <c r="C99" s="2375" t="s">
        <v>164</v>
      </c>
      <c r="D99" s="2274">
        <f>D22/D$16</f>
        <v>0</v>
      </c>
      <c r="E99" s="2421">
        <f>E22/E$16</f>
        <v>4.8007646202617073E-3</v>
      </c>
      <c r="F99" s="2798">
        <f>(D99-E99)*100</f>
        <v>-0.48007646202617071</v>
      </c>
      <c r="G99" s="2674">
        <f>H22/H$16</f>
        <v>1.0977962601012794E-2</v>
      </c>
      <c r="H99" s="2675">
        <f>I22/I$16</f>
        <v>7.4720616457306203E-3</v>
      </c>
      <c r="I99" s="2801">
        <f>(G99-H99)*100</f>
        <v>0.3505900955282174</v>
      </c>
    </row>
    <row r="100" spans="1:17" x14ac:dyDescent="0.2">
      <c r="A100" s="2272"/>
      <c r="C100" s="2375" t="s">
        <v>185</v>
      </c>
      <c r="D100" s="2274">
        <f>D21/D$16</f>
        <v>1.572926011035059E-3</v>
      </c>
      <c r="E100" s="2421">
        <f>E21/E$16</f>
        <v>4.2791009875129049E-3</v>
      </c>
      <c r="F100" s="2798">
        <f>(D100-E100)*100</f>
        <v>-0.27061749764778459</v>
      </c>
      <c r="G100" s="2674">
        <f>H21/H$16</f>
        <v>2.5735636885618365E-3</v>
      </c>
      <c r="H100" s="2675">
        <f>I21/I$16</f>
        <v>6.581436477699665E-3</v>
      </c>
      <c r="I100" s="2801">
        <f>(G100-H100)*100</f>
        <v>-0.40078727891378291</v>
      </c>
    </row>
    <row r="101" spans="1:17" x14ac:dyDescent="0.2">
      <c r="A101" s="2272"/>
      <c r="C101" s="2771" t="s">
        <v>587</v>
      </c>
      <c r="D101" s="2274" t="e">
        <f t="shared" ref="D101:E103" si="25">D24/D$16</f>
        <v>#N/A</v>
      </c>
      <c r="E101" s="2421" t="e">
        <f t="shared" si="25"/>
        <v>#N/A</v>
      </c>
      <c r="F101" s="2798" t="e">
        <f>(D101-E101)*100</f>
        <v>#N/A</v>
      </c>
      <c r="G101" s="2674">
        <f t="shared" ref="G101:H103" si="26">H24/H$16</f>
        <v>7.2301684827481361E-3</v>
      </c>
      <c r="H101" s="2675">
        <f t="shared" si="26"/>
        <v>0</v>
      </c>
      <c r="I101" s="2801">
        <f>(G101-H101)*100</f>
        <v>0.72301684827481361</v>
      </c>
    </row>
    <row r="102" spans="1:17" ht="13.5" thickBot="1" x14ac:dyDescent="0.25">
      <c r="A102" s="2272" t="s">
        <v>455</v>
      </c>
      <c r="C102" s="2771" t="s">
        <v>530</v>
      </c>
      <c r="D102" s="2274">
        <f t="shared" si="25"/>
        <v>8.2640058001646653E-4</v>
      </c>
      <c r="E102" s="2421">
        <f t="shared" si="25"/>
        <v>4.0127971749907887E-5</v>
      </c>
      <c r="F102" s="2798">
        <f>(D102-E102)*100</f>
        <v>7.8627260826655859E-2</v>
      </c>
      <c r="G102" s="2674">
        <f t="shared" si="26"/>
        <v>2.5534052262493417E-4</v>
      </c>
      <c r="H102" s="2675">
        <f t="shared" si="26"/>
        <v>2.9133512631528521E-4</v>
      </c>
      <c r="I102" s="2801">
        <f>(G102-H102)*100</f>
        <v>-3.5994603690351042E-3</v>
      </c>
    </row>
    <row r="103" spans="1:17" ht="13.5" thickBot="1" x14ac:dyDescent="0.25">
      <c r="C103" s="2376" t="s">
        <v>58</v>
      </c>
      <c r="D103" s="2270">
        <f t="shared" si="25"/>
        <v>0.89395959546309156</v>
      </c>
      <c r="E103" s="2423">
        <f t="shared" si="25"/>
        <v>0.95781455769855139</v>
      </c>
      <c r="F103" s="2799">
        <f>(D103-E103)*100</f>
        <v>-6.3854962235459833</v>
      </c>
      <c r="G103" s="2677">
        <f t="shared" si="26"/>
        <v>0.92217489649889506</v>
      </c>
      <c r="H103" s="2678">
        <f t="shared" si="26"/>
        <v>0.96505347172729472</v>
      </c>
      <c r="I103" s="2802">
        <f t="shared" si="24"/>
        <v>-4.2878575228399658</v>
      </c>
    </row>
    <row r="104" spans="1:17" x14ac:dyDescent="0.2">
      <c r="G104" s="2652"/>
      <c r="H104" s="2652"/>
      <c r="I104" s="2652"/>
    </row>
    <row r="105" spans="1:17" x14ac:dyDescent="0.2">
      <c r="G105" s="2652"/>
      <c r="H105" s="2652"/>
      <c r="I105" s="2652"/>
    </row>
    <row r="106" spans="1:17" x14ac:dyDescent="0.2">
      <c r="G106" s="2652"/>
      <c r="H106" s="2652"/>
      <c r="I106" s="2652"/>
    </row>
    <row r="107" spans="1:17" ht="16.5" thickBot="1" x14ac:dyDescent="0.25">
      <c r="C107" s="2377" t="s">
        <v>399</v>
      </c>
      <c r="D107" s="2356"/>
      <c r="E107" s="2356"/>
      <c r="F107" s="2356"/>
      <c r="G107" s="2679"/>
      <c r="H107" s="2679"/>
      <c r="I107" s="2679"/>
    </row>
    <row r="108" spans="1:17" x14ac:dyDescent="0.2">
      <c r="C108" s="3124"/>
      <c r="D108" s="2275"/>
      <c r="E108" s="2276"/>
      <c r="F108" s="3126" t="s">
        <v>406</v>
      </c>
      <c r="G108" s="2680"/>
      <c r="H108" s="2681"/>
      <c r="I108" s="3104" t="s">
        <v>452</v>
      </c>
    </row>
    <row r="109" spans="1:17" ht="34.5" customHeight="1" x14ac:dyDescent="0.2">
      <c r="C109" s="3125"/>
      <c r="D109" s="3085" t="str">
        <f>D93</f>
        <v>Three months ended June 30</v>
      </c>
      <c r="E109" s="3085"/>
      <c r="F109" s="3127"/>
      <c r="G109" s="3084" t="str">
        <f>G93</f>
        <v>Twelve months ended March 31</v>
      </c>
      <c r="H109" s="3084"/>
      <c r="I109" s="3129"/>
    </row>
    <row r="110" spans="1:17" ht="13.5" thickBot="1" x14ac:dyDescent="0.25">
      <c r="C110" s="2399" t="s">
        <v>456</v>
      </c>
      <c r="D110" s="2403">
        <f>D95</f>
        <v>2018</v>
      </c>
      <c r="E110" s="2403">
        <f>E95</f>
        <v>2017</v>
      </c>
      <c r="F110" s="3128"/>
      <c r="G110" s="2682">
        <f>D110</f>
        <v>2018</v>
      </c>
      <c r="H110" s="2682">
        <f>E110</f>
        <v>2017</v>
      </c>
      <c r="I110" s="3105"/>
    </row>
    <row r="111" spans="1:17" x14ac:dyDescent="0.2">
      <c r="C111" s="2378" t="s">
        <v>93</v>
      </c>
      <c r="D111" s="2278">
        <f>HLOOKUP($B$4,'2 Consolidated IS'!$11:$91,ROW('2 Consolidated IS'!$A$27)-10,0)</f>
        <v>20120</v>
      </c>
      <c r="E111" s="2283">
        <f>HLOOKUP($B$5,'2 Consolidated IS'!$11:$91,ROW('2 Consolidated IS'!$A$27)-10,0)</f>
        <v>18500</v>
      </c>
      <c r="F111" s="2262">
        <f t="shared" ref="F111:F118" si="27">IF(OR(((D111-E111)/E111)&gt;3,((D111-E111)/E111)&lt;-3),"n.m.",((D111-E111)/E111))</f>
        <v>8.7567567567567561E-2</v>
      </c>
      <c r="G111" s="2683">
        <f>INDEX('2 Consolidated IS'!$A$1:$CD$97,ROW('2 Consolidated IS'!$A27),COLUMN('2 Consolidated IS'!$BH$1))</f>
        <v>83577</v>
      </c>
      <c r="H111" s="2684">
        <f>INDEX('2 Consolidated IS'!$A$1:$CD$97,ROW('2 Consolidated IS'!$A27),COLUMN('2 Consolidated IS'!$BI$1))</f>
        <v>68209</v>
      </c>
      <c r="I111" s="2665">
        <f t="shared" ref="I111:I118" si="28">IF(OR(((G111-H111)/H111)&gt;3,((G111-H111)/H111)&lt;-3),"n.m.",((G111-H111)/H111))</f>
        <v>0.22530751073905203</v>
      </c>
      <c r="P111" s="191">
        <f t="shared" ref="P111:P118" si="29">IF((D111-E111)*F111&lt;0,"Reverse Sign",)</f>
        <v>0</v>
      </c>
      <c r="Q111" s="191">
        <f t="shared" ref="Q111:Q118" si="30">IF((G111-H111)*I111&lt;0,"Reverse Sign",)</f>
        <v>0</v>
      </c>
    </row>
    <row r="112" spans="1:17" x14ac:dyDescent="0.2">
      <c r="C112" s="2378" t="s">
        <v>66</v>
      </c>
      <c r="D112" s="2278">
        <f>HLOOKUP($B$4,'2 Consolidated IS'!$11:$91,ROW('2 Consolidated IS'!$A$28)-10,0)</f>
        <v>4784</v>
      </c>
      <c r="E112" s="2283">
        <f>HLOOKUP($B$5,'2 Consolidated IS'!$11:$91,ROW('2 Consolidated IS'!$A$28)-10,0)</f>
        <v>9947</v>
      </c>
      <c r="F112" s="2262">
        <f t="shared" si="27"/>
        <v>-0.51905097014175128</v>
      </c>
      <c r="G112" s="2683">
        <f>INDEX('2 Consolidated IS'!$A$1:$CD$97,ROW('2 Consolidated IS'!$A28),COLUMN('2 Consolidated IS'!$BH$1))</f>
        <v>41719</v>
      </c>
      <c r="H112" s="2684">
        <f>INDEX('2 Consolidated IS'!$A$1:$CD$97,ROW('2 Consolidated IS'!$A28),COLUMN('2 Consolidated IS'!$BI$1))</f>
        <v>39605</v>
      </c>
      <c r="I112" s="2650">
        <f t="shared" si="28"/>
        <v>5.3377098851155158E-2</v>
      </c>
      <c r="P112" s="191">
        <f t="shared" si="29"/>
        <v>0</v>
      </c>
      <c r="Q112" s="191">
        <f t="shared" si="30"/>
        <v>0</v>
      </c>
    </row>
    <row r="113" spans="3:17" x14ac:dyDescent="0.2">
      <c r="C113" s="2378" t="s">
        <v>67</v>
      </c>
      <c r="D113" s="2278">
        <f>HLOOKUP($B$4,'2 Consolidated IS'!$11:$91,ROW('2 Consolidated IS'!$A$29)-10,0)</f>
        <v>16358</v>
      </c>
      <c r="E113" s="2283">
        <f>HLOOKUP($B$5,'2 Consolidated IS'!$11:$91,ROW('2 Consolidated IS'!$A$29)-10,0)</f>
        <v>15186</v>
      </c>
      <c r="F113" s="2262">
        <f t="shared" si="27"/>
        <v>7.717634663505861E-2</v>
      </c>
      <c r="G113" s="2683">
        <f>INDEX('2 Consolidated IS'!$A$1:$CD$97,ROW('2 Consolidated IS'!$A29),COLUMN('2 Consolidated IS'!$BH$1))</f>
        <v>64930</v>
      </c>
      <c r="H113" s="2684">
        <f>INDEX('2 Consolidated IS'!$A$1:$CD$97,ROW('2 Consolidated IS'!$A29),COLUMN('2 Consolidated IS'!$BI$1))</f>
        <v>56346</v>
      </c>
      <c r="I113" s="2650">
        <f t="shared" si="28"/>
        <v>0.15234444326127852</v>
      </c>
      <c r="P113" s="191">
        <f t="shared" si="29"/>
        <v>0</v>
      </c>
      <c r="Q113" s="191">
        <f t="shared" si="30"/>
        <v>0</v>
      </c>
    </row>
    <row r="114" spans="3:17" x14ac:dyDescent="0.2">
      <c r="C114" s="2378" t="s">
        <v>62</v>
      </c>
      <c r="D114" s="2278">
        <f>HLOOKUP($B$4,'2 Consolidated IS'!$11:$91,ROW('2 Consolidated IS'!$A$30)-10,0)</f>
        <v>8111</v>
      </c>
      <c r="E114" s="2283">
        <f>HLOOKUP($B$5,'2 Consolidated IS'!$11:$91,ROW('2 Consolidated IS'!$A$30)-10,0)</f>
        <v>5594</v>
      </c>
      <c r="F114" s="2262">
        <f t="shared" si="27"/>
        <v>0.44994637111190561</v>
      </c>
      <c r="G114" s="2683">
        <f>INDEX('2 Consolidated IS'!$A$1:$CD$97,ROW('2 Consolidated IS'!$A30),COLUMN('2 Consolidated IS'!$BH$1))</f>
        <v>25453</v>
      </c>
      <c r="H114" s="2684">
        <f>INDEX('2 Consolidated IS'!$A$1:$CD$97,ROW('2 Consolidated IS'!$A30),COLUMN('2 Consolidated IS'!$BI$1))</f>
        <v>18437</v>
      </c>
      <c r="I114" s="2650">
        <f t="shared" si="28"/>
        <v>0.3805391332646309</v>
      </c>
      <c r="P114" s="191">
        <f t="shared" si="29"/>
        <v>0</v>
      </c>
      <c r="Q114" s="191">
        <f t="shared" si="30"/>
        <v>0</v>
      </c>
    </row>
    <row r="115" spans="3:17" x14ac:dyDescent="0.2">
      <c r="C115" s="2378" t="s">
        <v>90</v>
      </c>
      <c r="D115" s="2278">
        <f>HLOOKUP($B$4,'2 Consolidated IS'!$11:$91,ROW('2 Consolidated IS'!$A$31)-10,0)</f>
        <v>30367</v>
      </c>
      <c r="E115" s="2283">
        <f>HLOOKUP($B$5,'2 Consolidated IS'!$11:$91,ROW('2 Consolidated IS'!$A$31)-10,0)</f>
        <v>23684</v>
      </c>
      <c r="F115" s="2262">
        <f t="shared" si="27"/>
        <v>0.28217361932106061</v>
      </c>
      <c r="G115" s="2683">
        <f>INDEX('2 Consolidated IS'!$A$1:$CD$97,ROW('2 Consolidated IS'!$A31),COLUMN('2 Consolidated IS'!$BH$1))</f>
        <v>100768</v>
      </c>
      <c r="H115" s="2684">
        <f>INDEX('2 Consolidated IS'!$A$1:$CD$97,ROW('2 Consolidated IS'!$A31),COLUMN('2 Consolidated IS'!$BI$1))</f>
        <v>83982</v>
      </c>
      <c r="I115" s="2650">
        <f>IF(OR(((G115-H115)/H115)&gt;3,((G115-H115)/H115)&lt;-3),"n.m.",((G115-H115)/H115))</f>
        <v>0.19987616393989188</v>
      </c>
      <c r="P115" s="191">
        <f t="shared" si="29"/>
        <v>0</v>
      </c>
      <c r="Q115" s="191">
        <f t="shared" si="30"/>
        <v>0</v>
      </c>
    </row>
    <row r="116" spans="3:17" ht="13.5" x14ac:dyDescent="0.2">
      <c r="C116" s="2378" t="s">
        <v>457</v>
      </c>
      <c r="D116" s="2278">
        <f>HLOOKUP($B$4,'2 Consolidated IS'!$11:$91,ROW('2 Consolidated IS'!$A$32)-10,0)</f>
        <v>7936</v>
      </c>
      <c r="E116" s="2283">
        <f>HLOOKUP($B$5,'2 Consolidated IS'!$11:$91,ROW('2 Consolidated IS'!$A$32)-10,0)</f>
        <v>6638</v>
      </c>
      <c r="F116" s="2262">
        <f t="shared" si="27"/>
        <v>0.19554082554986441</v>
      </c>
      <c r="G116" s="2683">
        <f>INDEX('2 Consolidated IS'!$A$1:$CD$97,ROW('2 Consolidated IS'!$A32),COLUMN('2 Consolidated IS'!$BH$1))</f>
        <v>24280</v>
      </c>
      <c r="H116" s="2684">
        <f>INDEX('2 Consolidated IS'!$A$1:$CD$97,ROW('2 Consolidated IS'!$A32),COLUMN('2 Consolidated IS'!$BI$1))</f>
        <v>24007</v>
      </c>
      <c r="I116" s="2650">
        <f t="shared" si="28"/>
        <v>1.1371683259049444E-2</v>
      </c>
      <c r="P116" s="191">
        <f t="shared" si="29"/>
        <v>0</v>
      </c>
      <c r="Q116" s="191">
        <f t="shared" si="30"/>
        <v>0</v>
      </c>
    </row>
    <row r="117" spans="3:17" ht="13.5" thickBot="1" x14ac:dyDescent="0.25">
      <c r="C117" s="2378" t="s">
        <v>70</v>
      </c>
      <c r="D117" s="2278">
        <f>HLOOKUP($B$4,'2 Consolidated IS'!$11:$91,ROW('2 Consolidated IS'!$A$34)-10,0)</f>
        <v>5209</v>
      </c>
      <c r="E117" s="2283">
        <f>HLOOKUP($B$5,'2 Consolidated IS'!$11:$91,ROW('2 Consolidated IS'!$A$34)-10,0)</f>
        <v>3859</v>
      </c>
      <c r="F117" s="2262">
        <f t="shared" si="27"/>
        <v>0.34983156258097953</v>
      </c>
      <c r="G117" s="2683">
        <f>INDEX('2 Consolidated IS'!$A$1:$CD$97,ROW('2 Consolidated IS'!$A34),COLUMN('2 Consolidated IS'!$BH$1))</f>
        <v>15513</v>
      </c>
      <c r="H117" s="2684">
        <f>INDEX('2 Consolidated IS'!$A$1:$CD$97,ROW('2 Consolidated IS'!$A34),COLUMN('2 Consolidated IS'!$BI$1))</f>
        <v>7664</v>
      </c>
      <c r="I117" s="2650">
        <f t="shared" si="28"/>
        <v>1.0241388308977035</v>
      </c>
      <c r="P117" s="191">
        <f t="shared" si="29"/>
        <v>0</v>
      </c>
      <c r="Q117" s="191">
        <f t="shared" si="30"/>
        <v>0</v>
      </c>
    </row>
    <row r="118" spans="3:17" ht="13.5" thickBot="1" x14ac:dyDescent="0.25">
      <c r="C118" s="2379" t="s">
        <v>458</v>
      </c>
      <c r="D118" s="2280">
        <f>SUM(D111:D117)</f>
        <v>92885</v>
      </c>
      <c r="E118" s="2281">
        <f>SUM(E111:E117)</f>
        <v>83408</v>
      </c>
      <c r="F118" s="2260">
        <f t="shared" si="27"/>
        <v>0.1136221945137157</v>
      </c>
      <c r="G118" s="2685">
        <f>SUM(G111:G117)</f>
        <v>356240</v>
      </c>
      <c r="H118" s="2686">
        <f>SUM(H111:H117)</f>
        <v>298250</v>
      </c>
      <c r="I118" s="2663">
        <f t="shared" si="28"/>
        <v>0.19443419949706622</v>
      </c>
      <c r="K118" s="191">
        <f>G118-H118</f>
        <v>57990</v>
      </c>
      <c r="P118" s="191">
        <f t="shared" si="29"/>
        <v>0</v>
      </c>
      <c r="Q118" s="191">
        <f t="shared" si="30"/>
        <v>0</v>
      </c>
    </row>
    <row r="119" spans="3:17" x14ac:dyDescent="0.2">
      <c r="G119" s="2652"/>
      <c r="H119" s="2652"/>
      <c r="I119" s="2652"/>
    </row>
    <row r="120" spans="3:17" x14ac:dyDescent="0.2">
      <c r="G120" s="2652"/>
      <c r="H120" s="2652"/>
      <c r="I120" s="2652"/>
    </row>
    <row r="121" spans="3:17" ht="15.75" x14ac:dyDescent="0.2">
      <c r="C121" s="2377" t="s">
        <v>459</v>
      </c>
      <c r="D121" s="2356"/>
      <c r="E121" s="2356"/>
      <c r="F121" s="2356"/>
      <c r="G121" s="2679"/>
      <c r="H121" s="2679"/>
      <c r="I121" s="2679"/>
      <c r="J121" s="2356"/>
      <c r="K121" s="2356"/>
    </row>
    <row r="122" spans="3:17" ht="21" thickBot="1" x14ac:dyDescent="0.25">
      <c r="C122" s="2380" t="s">
        <v>460</v>
      </c>
      <c r="D122" s="2356"/>
      <c r="E122" s="2356"/>
      <c r="F122" s="2356"/>
      <c r="G122" s="2679"/>
      <c r="H122" s="2679"/>
      <c r="I122" s="2679"/>
      <c r="J122" s="2356"/>
      <c r="K122" s="2356"/>
    </row>
    <row r="123" spans="3:17" ht="12.75" customHeight="1" x14ac:dyDescent="0.2">
      <c r="C123" s="3108"/>
      <c r="D123" s="2405"/>
      <c r="E123" s="2406"/>
      <c r="F123" s="3110" t="s">
        <v>406</v>
      </c>
      <c r="G123" s="2672"/>
      <c r="H123" s="2687"/>
      <c r="I123" s="2688"/>
    </row>
    <row r="124" spans="3:17" ht="30.75" customHeight="1" x14ac:dyDescent="0.2">
      <c r="C124" s="3109"/>
      <c r="D124" s="3086" t="str">
        <f>D109</f>
        <v>Three months ended June 30</v>
      </c>
      <c r="E124" s="3086"/>
      <c r="F124" s="3111"/>
      <c r="G124" s="3087" t="str">
        <f>G109</f>
        <v>Twelve months ended March 31</v>
      </c>
      <c r="H124" s="3087"/>
      <c r="I124" s="2689"/>
    </row>
    <row r="125" spans="3:17" ht="24.75" thickBot="1" x14ac:dyDescent="0.25">
      <c r="C125" s="2381" t="s">
        <v>461</v>
      </c>
      <c r="D125" s="2374">
        <f>D110</f>
        <v>2018</v>
      </c>
      <c r="E125" s="2374">
        <f>E110</f>
        <v>2017</v>
      </c>
      <c r="F125" s="3112"/>
      <c r="G125" s="2690">
        <f>D125</f>
        <v>2018</v>
      </c>
      <c r="H125" s="2690">
        <f>E125</f>
        <v>2017</v>
      </c>
      <c r="I125" s="2691" t="s">
        <v>452</v>
      </c>
      <c r="L125" s="2272" t="s">
        <v>589</v>
      </c>
      <c r="M125" s="2272" t="s">
        <v>588</v>
      </c>
      <c r="N125" s="2272" t="s">
        <v>503</v>
      </c>
      <c r="O125" s="2272" t="s">
        <v>590</v>
      </c>
    </row>
    <row r="126" spans="3:17" x14ac:dyDescent="0.2">
      <c r="C126" s="2378" t="s">
        <v>462</v>
      </c>
      <c r="D126" s="2278">
        <f>(HLOOKUP($B$4,'5 Canaccord Genuity '!$13:$120,ROW('5 Canaccord Genuity '!$A$24)-12,0))+(HLOOKUP($B$4,'5 Canaccord Genuity '!$13:$120,ROW('5 Canaccord Genuity '!$A$48)-12,0))</f>
        <v>190023</v>
      </c>
      <c r="E126" s="2283">
        <f>(HLOOKUP($B$5,'5 Canaccord Genuity '!$13:$120,ROW('5 Canaccord Genuity '!$A$24)-12,0))+(HLOOKUP($B$5,'5 Canaccord Genuity '!$13:$120,ROW('5 Canaccord Genuity '!$A$48)-12,0))</f>
        <v>156172</v>
      </c>
      <c r="F126" s="2285">
        <f>IF(OR(((D126-E126)/E126)&gt;3,((D126-E126)/E126)&lt;-3),"n.m.",((D126-E126)/E126))</f>
        <v>0.21675460389826601</v>
      </c>
      <c r="G126" s="2692">
        <f>INDEX('5 Canaccord Genuity '!$A$1:$CD$90,ROW('5 Canaccord Genuity '!$A24),COLUMN('5 Canaccord Genuity '!$BH$1))+INDEX('5 Canaccord Genuity '!$A$1:$CD$90,ROW('5 Canaccord Genuity '!$A48),COLUMN('5 Canaccord Genuity '!$BH$1))</f>
        <v>704326</v>
      </c>
      <c r="H126" s="2283">
        <f>INDEX('5 Canaccord Genuity '!$A$1:$CD$90,ROW('5 Canaccord Genuity '!$A24),COLUMN('5 Canaccord Genuity '!$BI$1))+INDEX('5 Canaccord Genuity '!$A$1:$CD$90,ROW('5 Canaccord Genuity '!$A48),COLUMN('5 Canaccord Genuity '!$BI$1))</f>
        <v>637556</v>
      </c>
      <c r="I126" s="2665">
        <f>IF(OR(((G126-H126)/H126)&gt;3,((G126-H126)/H126)&lt;-3),"n.m.",((G126-H126)/H126))</f>
        <v>0.10472805526102805</v>
      </c>
      <c r="K126" s="1186" t="s">
        <v>93</v>
      </c>
      <c r="L126" s="191" t="e">
        <f>'5 Canaccord Genuity '!BH31+#REF!</f>
        <v>#REF!</v>
      </c>
      <c r="M126" s="191" t="e">
        <f>'5 Canaccord Genuity '!BI31+#REF!</f>
        <v>#REF!</v>
      </c>
      <c r="N126" s="191" t="e">
        <f>L126-M126</f>
        <v>#REF!</v>
      </c>
      <c r="O126" s="400" t="e">
        <f>N126/M126</f>
        <v>#REF!</v>
      </c>
      <c r="P126" s="191">
        <f t="shared" ref="P126:P140" si="31">IF((D126-E126)*F126&lt;0,"Reverse Sign",)</f>
        <v>0</v>
      </c>
      <c r="Q126" s="191">
        <f t="shared" ref="Q126:Q140" si="32">IF((G126-H126)*I126&lt;0,"Reverse Sign",)</f>
        <v>0</v>
      </c>
    </row>
    <row r="127" spans="3:17" x14ac:dyDescent="0.2">
      <c r="C127" s="2382" t="s">
        <v>463</v>
      </c>
      <c r="D127" s="2284"/>
      <c r="E127" s="2279"/>
      <c r="F127" s="2263"/>
      <c r="G127" s="2693"/>
      <c r="H127" s="2279"/>
      <c r="I127" s="2649"/>
      <c r="K127" s="1186" t="s">
        <v>66</v>
      </c>
      <c r="L127" s="191" t="e">
        <f>'5 Canaccord Genuity '!BH32+#REF!</f>
        <v>#REF!</v>
      </c>
      <c r="M127" s="191" t="e">
        <f>'5 Canaccord Genuity '!BI32+#REF!</f>
        <v>#REF!</v>
      </c>
      <c r="N127" s="191" t="e">
        <f t="shared" ref="N127:N132" si="33">L127-M127</f>
        <v>#REF!</v>
      </c>
      <c r="O127" s="400" t="e">
        <f t="shared" ref="O127:O132" si="34">N127/M127</f>
        <v>#REF!</v>
      </c>
      <c r="P127" s="191">
        <f t="shared" si="31"/>
        <v>0</v>
      </c>
      <c r="Q127" s="191">
        <f t="shared" si="32"/>
        <v>0</v>
      </c>
    </row>
    <row r="128" spans="3:17" x14ac:dyDescent="0.2">
      <c r="C128" s="2382" t="s">
        <v>437</v>
      </c>
      <c r="D128" s="2284">
        <f>(HLOOKUP($B$4,'5 Canaccord Genuity '!$13:$120,ROW('5 Canaccord Genuity '!$A$28)-12,0))+(HLOOKUP($B$4,'5 Canaccord Genuity '!$13:$120,ROW('5 Canaccord Genuity '!$A$52)-12,0))</f>
        <v>101842</v>
      </c>
      <c r="E128" s="2279">
        <f>(HLOOKUP($B$5,'5 Canaccord Genuity '!$13:$120,ROW('5 Canaccord Genuity '!$A$28)-12,0))+(HLOOKUP($B$5,'5 Canaccord Genuity '!$13:$120,ROW('5 Canaccord Genuity '!$A$52)-12,0))</f>
        <v>85984</v>
      </c>
      <c r="F128" s="2262">
        <f t="shared" ref="F128:F136" si="35">IF(OR(((D128-E128)/E128)&gt;3,((D128-E128)/E128)&lt;-3),"n.m.",((D128-E128)/E128))</f>
        <v>0.1844296613323409</v>
      </c>
      <c r="G128" s="2360">
        <f>INDEX('5 Canaccord Genuity '!$A$1:$CD$90,ROW('5 Canaccord Genuity '!$A28),COLUMN('5 Canaccord Genuity '!$BH$1))+INDEX('5 Canaccord Genuity '!$A$1:$CD$90,ROW('5 Canaccord Genuity '!$A52),COLUMN('5 Canaccord Genuity '!$BH$1))</f>
        <v>379714</v>
      </c>
      <c r="H128" s="2279">
        <f>INDEX('5 Canaccord Genuity '!$A$1:$CD$90,ROW('5 Canaccord Genuity '!$A28),COLUMN('5 Canaccord Genuity '!$BI$1))+INDEX('5 Canaccord Genuity '!$A$1:$CD$90,ROW('5 Canaccord Genuity '!$A52),COLUMN('5 Canaccord Genuity '!$BI$1))</f>
        <v>351458</v>
      </c>
      <c r="I128" s="2650">
        <f t="shared" ref="I128:I135" si="36">IF(OR(((G128-H128)/H128)&gt;3,((G128-H128)/H128)&lt;-3),"n.m.",((G128-H128)/H128))</f>
        <v>8.0396519641038194E-2</v>
      </c>
      <c r="K128" s="1059" t="s">
        <v>67</v>
      </c>
      <c r="L128" s="191" t="e">
        <f>'5 Canaccord Genuity '!BH33+#REF!</f>
        <v>#REF!</v>
      </c>
      <c r="M128" s="191" t="e">
        <f>'5 Canaccord Genuity '!BI33+#REF!</f>
        <v>#REF!</v>
      </c>
      <c r="N128" s="191" t="e">
        <f t="shared" si="33"/>
        <v>#REF!</v>
      </c>
      <c r="O128" s="400" t="e">
        <f t="shared" si="34"/>
        <v>#REF!</v>
      </c>
      <c r="P128" s="191">
        <f t="shared" si="31"/>
        <v>0</v>
      </c>
      <c r="Q128" s="191">
        <f t="shared" si="32"/>
        <v>0</v>
      </c>
    </row>
    <row r="129" spans="3:17" x14ac:dyDescent="0.2">
      <c r="C129" s="2378" t="s">
        <v>438</v>
      </c>
      <c r="D129" s="2284">
        <f>(HLOOKUP($B$4,'5 Canaccord Genuity '!$13:$120,ROW('5 Canaccord Genuity '!$A$29)-12,0))+(HLOOKUP($B$4,'5 Canaccord Genuity '!$13:$120,ROW('5 Canaccord Genuity '!$A$53)-12,0))</f>
        <v>7760</v>
      </c>
      <c r="E129" s="2279">
        <f>(HLOOKUP($B$5,'5 Canaccord Genuity '!$13:$120,ROW('5 Canaccord Genuity '!$A$29)-12,0))+(HLOOKUP($B$5,'5 Canaccord Genuity '!$13:$120,ROW('5 Canaccord Genuity '!$A$53)-12,0))</f>
        <v>5856</v>
      </c>
      <c r="F129" s="2262">
        <f t="shared" si="35"/>
        <v>0.3251366120218579</v>
      </c>
      <c r="G129" s="2360">
        <f>INDEX('5 Canaccord Genuity '!$A$1:$CD$90,ROW('5 Canaccord Genuity '!$A29),COLUMN('5 Canaccord Genuity '!$BH$1))+INDEX('5 Canaccord Genuity '!$A$1:$CD$90,ROW('5 Canaccord Genuity '!$A53),COLUMN('5 Canaccord Genuity '!$BH$1))</f>
        <v>24533</v>
      </c>
      <c r="H129" s="2279">
        <f>INDEX('5 Canaccord Genuity '!$A$1:$CD$90,ROW('5 Canaccord Genuity '!$A29),COLUMN('5 Canaccord Genuity '!$BI$1))+INDEX('5 Canaccord Genuity '!$A$1:$CD$90,ROW('5 Canaccord Genuity '!$A53),COLUMN('5 Canaccord Genuity '!$BI$1))</f>
        <v>25512</v>
      </c>
      <c r="I129" s="2650">
        <f t="shared" si="36"/>
        <v>-3.8374098463468169E-2</v>
      </c>
      <c r="K129" s="1059" t="s">
        <v>62</v>
      </c>
      <c r="L129" s="191" t="e">
        <f>'5 Canaccord Genuity '!BH34+#REF!</f>
        <v>#REF!</v>
      </c>
      <c r="M129" s="191" t="e">
        <f>'5 Canaccord Genuity '!BI34+#REF!</f>
        <v>#REF!</v>
      </c>
      <c r="N129" s="191" t="e">
        <f t="shared" si="33"/>
        <v>#REF!</v>
      </c>
      <c r="O129" s="400" t="e">
        <f t="shared" si="34"/>
        <v>#REF!</v>
      </c>
      <c r="P129" s="191">
        <f t="shared" si="31"/>
        <v>0</v>
      </c>
      <c r="Q129" s="191">
        <f t="shared" si="32"/>
        <v>0</v>
      </c>
    </row>
    <row r="130" spans="3:17" x14ac:dyDescent="0.2">
      <c r="C130" s="2378" t="s">
        <v>464</v>
      </c>
      <c r="D130" s="2278">
        <f>D133-SUM(D128:D129)-SUM(D131:D132)</f>
        <v>56977</v>
      </c>
      <c r="E130" s="2283">
        <f>E133-SUM(E128:E129)-SUM(E131:E132)</f>
        <v>47100</v>
      </c>
      <c r="F130" s="2262">
        <f t="shared" si="35"/>
        <v>0.20970276008492569</v>
      </c>
      <c r="G130" s="2360">
        <f>G133-SUM(G128:G129)-SUM(G131:G132)</f>
        <v>201969</v>
      </c>
      <c r="H130" s="2283">
        <f>H133-SUM(H128:H129)-SUM(H131:H132)</f>
        <v>224964</v>
      </c>
      <c r="I130" s="2650">
        <f t="shared" si="36"/>
        <v>-0.10221635461673868</v>
      </c>
      <c r="K130" s="1059" t="s">
        <v>68</v>
      </c>
      <c r="L130" s="191" t="e">
        <f>'5 Canaccord Genuity '!BH35+#REF!</f>
        <v>#REF!</v>
      </c>
      <c r="M130" s="191" t="e">
        <f>'5 Canaccord Genuity '!BI35+#REF!</f>
        <v>#REF!</v>
      </c>
      <c r="N130" s="191" t="e">
        <f t="shared" si="33"/>
        <v>#REF!</v>
      </c>
      <c r="O130" s="400" t="e">
        <f t="shared" si="34"/>
        <v>#REF!</v>
      </c>
      <c r="P130" s="191">
        <f t="shared" si="31"/>
        <v>0</v>
      </c>
      <c r="Q130" s="191">
        <f t="shared" si="32"/>
        <v>0</v>
      </c>
    </row>
    <row r="131" spans="3:17" x14ac:dyDescent="0.2">
      <c r="C131" s="2378" t="s">
        <v>568</v>
      </c>
      <c r="D131" s="2278">
        <f>(HLOOKUP($B$4,'5 Canaccord Genuity '!$13:$120,ROW('5 Canaccord Genuity '!$A$40)-12,0))</f>
        <v>177</v>
      </c>
      <c r="E131" s="2283">
        <f>(HLOOKUP($B$5,'5 Canaccord Genuity '!$13:$120,ROW('5 Canaccord Genuity '!$A$40)-12,0))</f>
        <v>1173</v>
      </c>
      <c r="F131" s="2262">
        <f>IFERROR(IF(OR(((D131-E131)/E131)&gt;3,((D131-E131)/E131)&lt;-3),"n.m.",((D131-E131)/E131)),"n.m.")</f>
        <v>-0.84910485933503832</v>
      </c>
      <c r="G131" s="2360">
        <f>INDEX('5 Canaccord Genuity '!$A$1:$CD$90,ROW('5 Canaccord Genuity '!$A40),COLUMN('5 Canaccord Genuity '!$BH$1))</f>
        <v>1976</v>
      </c>
      <c r="H131" s="2283">
        <f>INDEX('5 Canaccord Genuity '!$A$1:$CD$90,ROW('5 Canaccord Genuity '!$A40),COLUMN('5 Canaccord Genuity '!$BI$1))</f>
        <v>0</v>
      </c>
      <c r="I131" s="2650" t="str">
        <f>IFERROR(IF(OR(((G131-H131)/H131)&gt;3,((G131-H131)/H131)&lt;-3),"n.m.",((G131-H131)/H131)),"n.m.")</f>
        <v>n.m.</v>
      </c>
      <c r="K131" s="1059" t="s">
        <v>69</v>
      </c>
      <c r="L131" s="191" t="e">
        <f>'5 Canaccord Genuity '!BH36+#REF!</f>
        <v>#REF!</v>
      </c>
      <c r="M131" s="191" t="e">
        <f>'5 Canaccord Genuity '!BI36+#REF!</f>
        <v>#REF!</v>
      </c>
      <c r="N131" s="191" t="e">
        <f t="shared" si="33"/>
        <v>#REF!</v>
      </c>
      <c r="O131" s="400" t="e">
        <f t="shared" si="34"/>
        <v>#REF!</v>
      </c>
      <c r="P131" s="191">
        <f t="shared" si="31"/>
        <v>0</v>
      </c>
      <c r="Q131" s="191" t="e">
        <f t="shared" si="32"/>
        <v>#VALUE!</v>
      </c>
    </row>
    <row r="132" spans="3:17" ht="13.5" thickBot="1" x14ac:dyDescent="0.25">
      <c r="C132" s="2378" t="s">
        <v>465</v>
      </c>
      <c r="D132" s="2278">
        <f>(HLOOKUP($B$4,'5 Canaccord Genuity '!$13:$120,ROW('5 Canaccord Genuity '!$A$39)-12,0))+(HLOOKUP($B$4,'5 Canaccord Genuity '!$13:$120,ROW('5 Canaccord Genuity '!$A$57)-12,0))</f>
        <v>60</v>
      </c>
      <c r="E132" s="2283">
        <f>(HLOOKUP($B$5,'5 Canaccord Genuity '!$13:$120,ROW('5 Canaccord Genuity '!$A$39)-12,0))+(HLOOKUP($B$5,'5 Canaccord Genuity '!$13:$120,ROW('5 Canaccord Genuity '!$A$57)-12,0))</f>
        <v>1316</v>
      </c>
      <c r="F132" s="2262">
        <f t="shared" si="35"/>
        <v>-0.95440729483282671</v>
      </c>
      <c r="G132" s="2360">
        <f>INDEX('5 Canaccord Genuity '!$A$1:$CD$90,ROW('5 Canaccord Genuity '!$A39),COLUMN('5 Canaccord Genuity '!$BH$1))+INDEX('5 Canaccord Genuity '!$A$1:$CD$90,ROW('5 Canaccord Genuity '!$A57),COLUMN('5 Canaccord Genuity '!$BH$1))</f>
        <v>13070</v>
      </c>
      <c r="H132" s="2283">
        <f>INDEX('5 Canaccord Genuity '!$A$1:$CD$90,ROW('5 Canaccord Genuity '!$A39),COLUMN('5 Canaccord Genuity '!$BI$1))+INDEX('5 Canaccord Genuity '!$A$1:$CD$90,ROW('5 Canaccord Genuity '!$A57),COLUMN('5 Canaccord Genuity '!$BI$1))</f>
        <v>4704</v>
      </c>
      <c r="I132" s="2650">
        <f t="shared" si="36"/>
        <v>1.7784863945578231</v>
      </c>
      <c r="K132" s="1059" t="s">
        <v>70</v>
      </c>
      <c r="L132" s="191" t="e">
        <f>'5 Canaccord Genuity '!BH38+#REF!</f>
        <v>#REF!</v>
      </c>
      <c r="M132" s="191" t="e">
        <f>'5 Canaccord Genuity '!BI38+#REF!</f>
        <v>#REF!</v>
      </c>
      <c r="N132" s="191" t="e">
        <f t="shared" si="33"/>
        <v>#REF!</v>
      </c>
      <c r="O132" s="400" t="e">
        <f t="shared" si="34"/>
        <v>#REF!</v>
      </c>
      <c r="P132" s="191">
        <f t="shared" si="31"/>
        <v>0</v>
      </c>
      <c r="Q132" s="191">
        <f t="shared" si="32"/>
        <v>0</v>
      </c>
    </row>
    <row r="133" spans="3:17" x14ac:dyDescent="0.2">
      <c r="C133" s="2383" t="s">
        <v>80</v>
      </c>
      <c r="D133" s="2266">
        <f>(HLOOKUP($B$4,'5 Canaccord Genuity '!$13:$120,ROW('5 Canaccord Genuity '!$A$44)-12,0))+(HLOOKUP($B$4,'5 Canaccord Genuity '!$13:$120,ROW('5 Canaccord Genuity '!$A$60)-12,0))</f>
        <v>166816</v>
      </c>
      <c r="E133" s="2408">
        <f>(HLOOKUP($B$5,'5 Canaccord Genuity '!$13:$120,ROW('5 Canaccord Genuity '!$A$44)-12,0))+(HLOOKUP($B$5,'5 Canaccord Genuity '!$13:$120,ROW('5 Canaccord Genuity '!$A$60)-12,0))</f>
        <v>141429</v>
      </c>
      <c r="F133" s="2285">
        <f t="shared" si="35"/>
        <v>0.17950349645405114</v>
      </c>
      <c r="G133" s="2358">
        <f>INDEX('5 Canaccord Genuity '!$A$1:$CD$90,ROW('5 Canaccord Genuity '!$A44),COLUMN('5 Canaccord Genuity '!$BH$1))+INDEX('5 Canaccord Genuity '!$A$1:$CD$90,ROW('5 Canaccord Genuity '!$A60),COLUMN('5 Canaccord Genuity '!$BH$1))</f>
        <v>621262</v>
      </c>
      <c r="H133" s="2408">
        <f>INDEX('5 Canaccord Genuity '!$A$1:$CD$90,ROW('5 Canaccord Genuity '!$A44),COLUMN('5 Canaccord Genuity '!$BI$1))+INDEX('5 Canaccord Genuity '!$A$1:$CD$90,ROW('5 Canaccord Genuity '!$A60),COLUMN('5 Canaccord Genuity '!$BI$1))</f>
        <v>606638</v>
      </c>
      <c r="I133" s="2665">
        <f t="shared" si="36"/>
        <v>2.4106633610159602E-2</v>
      </c>
      <c r="P133" s="191">
        <f t="shared" si="31"/>
        <v>0</v>
      </c>
      <c r="Q133" s="191">
        <f t="shared" si="32"/>
        <v>0</v>
      </c>
    </row>
    <row r="134" spans="3:17" ht="13.5" x14ac:dyDescent="0.2">
      <c r="C134" s="2378" t="s">
        <v>466</v>
      </c>
      <c r="D134" s="2278">
        <f>(HLOOKUP($B$4,'5 Canaccord Genuity '!$13:$120,ROW('5 Canaccord Genuity '!$A$63)-12,0))</f>
        <v>4545</v>
      </c>
      <c r="E134" s="2283">
        <f>(HLOOKUP($B$5,'5 Canaccord Genuity '!$13:$120,ROW('5 Canaccord Genuity '!$A$63)-12,0))</f>
        <v>4305</v>
      </c>
      <c r="F134" s="2262">
        <f t="shared" si="35"/>
        <v>5.5749128919860627E-2</v>
      </c>
      <c r="G134" s="2360">
        <f>INDEX('5 Canaccord Genuity '!$A$1:$CD$90,ROW('5 Canaccord Genuity '!$A63),COLUMN('5 Canaccord Genuity '!$BH$1))</f>
        <v>18689</v>
      </c>
      <c r="H134" s="2283">
        <f>INDEX('5 Canaccord Genuity '!$A$1:$CD$90,ROW('5 Canaccord Genuity '!$A63),COLUMN('5 Canaccord Genuity '!$BI$1))</f>
        <v>16524</v>
      </c>
      <c r="I134" s="2650">
        <f t="shared" si="36"/>
        <v>0.13102154442023722</v>
      </c>
      <c r="P134" s="191">
        <f t="shared" si="31"/>
        <v>0</v>
      </c>
      <c r="Q134" s="191">
        <f t="shared" si="32"/>
        <v>0</v>
      </c>
    </row>
    <row r="135" spans="3:17" ht="13.5" x14ac:dyDescent="0.2">
      <c r="C135" s="2378" t="s">
        <v>467</v>
      </c>
      <c r="D135" s="2278">
        <f>(HLOOKUP($B$4,'5 Canaccord Genuity '!$13:$120,ROW('5 Canaccord Genuity '!$A$64)-12,0))</f>
        <v>17777</v>
      </c>
      <c r="E135" s="2283">
        <f>(HLOOKUP($B$5,'5 Canaccord Genuity '!$13:$120,ROW('5 Canaccord Genuity '!$A$64)-12,0))</f>
        <v>10096</v>
      </c>
      <c r="F135" s="2262">
        <f>IF(OR(((D135-E135)/E135)&gt;3,((D135-E135)/E135)&lt;-3),"n.m.",((D135-E135)/ABS(E135)))</f>
        <v>0.7607963549920761</v>
      </c>
      <c r="G135" s="2360">
        <f>INDEX('5 Canaccord Genuity '!$A$1:$CD$90,ROW('5 Canaccord Genuity '!$A64),COLUMN('5 Canaccord Genuity '!$BH$1))</f>
        <v>62877</v>
      </c>
      <c r="H135" s="2283">
        <f>INDEX('5 Canaccord Genuity '!$A$1:$CD$90,ROW('5 Canaccord Genuity '!$A64),COLUMN('5 Canaccord Genuity '!$BI$1))</f>
        <v>13126</v>
      </c>
      <c r="I135" s="2650" t="str">
        <f t="shared" si="36"/>
        <v>n.m.</v>
      </c>
      <c r="P135" s="191">
        <f t="shared" si="31"/>
        <v>0</v>
      </c>
      <c r="Q135" s="191" t="e">
        <f t="shared" si="32"/>
        <v>#VALUE!</v>
      </c>
    </row>
    <row r="136" spans="3:17" ht="13.5" thickBot="1" x14ac:dyDescent="0.25">
      <c r="C136" s="2384" t="s">
        <v>89</v>
      </c>
      <c r="D136" s="2257">
        <f>(HLOOKUP($B$4,'5 Canaccord Genuity '!$13:$120,ROW('5 Canaccord Genuity '!$A$75)-12,0))</f>
        <v>793</v>
      </c>
      <c r="E136" s="2258">
        <f>(HLOOKUP($B$5,'5 Canaccord Genuity '!$13:$120,ROW('5 Canaccord Genuity '!$A$75)-12,0))</f>
        <v>776</v>
      </c>
      <c r="F136" s="2264">
        <f t="shared" si="35"/>
        <v>2.1907216494845359E-2</v>
      </c>
      <c r="G136" s="2359"/>
      <c r="H136" s="2258"/>
      <c r="I136" s="2667"/>
      <c r="P136" s="191">
        <f t="shared" si="31"/>
        <v>0</v>
      </c>
      <c r="Q136" s="191">
        <f t="shared" si="32"/>
        <v>0</v>
      </c>
    </row>
    <row r="137" spans="3:17" ht="14.25" x14ac:dyDescent="0.2">
      <c r="C137" s="2397" t="s">
        <v>468</v>
      </c>
      <c r="D137" s="2278"/>
      <c r="E137" s="2283"/>
      <c r="F137" s="2263"/>
      <c r="G137" s="2360"/>
      <c r="H137" s="2283"/>
      <c r="I137" s="2650"/>
      <c r="L137" s="400"/>
      <c r="P137" s="191">
        <f t="shared" si="31"/>
        <v>0</v>
      </c>
      <c r="Q137" s="191">
        <f t="shared" si="32"/>
        <v>0</v>
      </c>
    </row>
    <row r="138" spans="3:17" x14ac:dyDescent="0.2">
      <c r="C138" s="2378" t="s">
        <v>80</v>
      </c>
      <c r="D138" s="2278">
        <f>(HLOOKUP($B$4,'5 Canaccord Genuity '!$13:$120,ROW('5 Canaccord Genuity '!$A$82)-12,0))</f>
        <v>165053</v>
      </c>
      <c r="E138" s="2283">
        <f>(HLOOKUP($B$5,'5 Canaccord Genuity '!$13:$120,ROW('5 Canaccord Genuity '!$A$82)-12,0))</f>
        <v>138703</v>
      </c>
      <c r="F138" s="2262">
        <f>IF(OR(((D138-E138)/E138)&gt;3,((D138-E138)/E138)&lt;-3),"n.m.",((D138-E138)/E138))</f>
        <v>0.18997426155166075</v>
      </c>
      <c r="G138" s="2360">
        <f>INDEX('5 Canaccord Genuity '!$A$1:$CD$90,ROW('5 Canaccord Genuity '!$A82),COLUMN('5 Canaccord Genuity '!$BH$1))</f>
        <v>605218</v>
      </c>
      <c r="H138" s="2283">
        <f>INDEX('5 Canaccord Genuity '!$A$1:$CD$90,ROW('5 Canaccord Genuity '!$A82),COLUMN('5 Canaccord Genuity '!$BI$1))</f>
        <v>558486</v>
      </c>
      <c r="I138" s="2650">
        <f>IF(OR(((G138-H138)/H138)&gt;3,((G138-H138)/H138)&lt;-3),"n.m.",((G138-H138)/H138))</f>
        <v>8.3676224650215042E-2</v>
      </c>
      <c r="P138" s="191">
        <f t="shared" si="31"/>
        <v>0</v>
      </c>
      <c r="Q138" s="191">
        <f t="shared" si="32"/>
        <v>0</v>
      </c>
    </row>
    <row r="139" spans="3:17" ht="13.5" x14ac:dyDescent="0.2">
      <c r="C139" s="2378" t="s">
        <v>466</v>
      </c>
      <c r="D139" s="2278">
        <f>(HLOOKUP($B$4,'5 Canaccord Genuity '!$13:$120,ROW('5 Canaccord Genuity '!$A$83)-12,0))</f>
        <v>4545</v>
      </c>
      <c r="E139" s="2283">
        <f>(HLOOKUP($B$5,'5 Canaccord Genuity '!$13:$120,ROW('5 Canaccord Genuity '!$A$83)-12,0))</f>
        <v>4305</v>
      </c>
      <c r="F139" s="2262">
        <f>IF(OR(((D139-E139)/E139)&gt;3,((D139-E139)/E139)&lt;-3),"n.m.",((D139-E139)/E139))</f>
        <v>5.5749128919860627E-2</v>
      </c>
      <c r="G139" s="2360">
        <f>INDEX('5 Canaccord Genuity '!$A$1:$CD$90,ROW('5 Canaccord Genuity '!$A83),COLUMN('5 Canaccord Genuity '!$BH$1))</f>
        <v>18689</v>
      </c>
      <c r="H139" s="2283">
        <f>INDEX('5 Canaccord Genuity '!$A$1:$CD$90,ROW('5 Canaccord Genuity '!$A83),COLUMN('5 Canaccord Genuity '!$BI$1))</f>
        <v>16524</v>
      </c>
      <c r="I139" s="2650">
        <f>IF(OR(((G139-H139)/H139)&gt;3,((G139-H139)/H139)&lt;-3),"n.m.",((G139-H139)/H139))</f>
        <v>0.13102154442023722</v>
      </c>
      <c r="P139" s="191">
        <f t="shared" si="31"/>
        <v>0</v>
      </c>
      <c r="Q139" s="191">
        <f t="shared" si="32"/>
        <v>0</v>
      </c>
    </row>
    <row r="140" spans="3:17" ht="14.25" thickBot="1" x14ac:dyDescent="0.25">
      <c r="C140" s="2384" t="s">
        <v>467</v>
      </c>
      <c r="D140" s="2257">
        <f>D126-D138-D139</f>
        <v>20425</v>
      </c>
      <c r="E140" s="2258">
        <f>E126-E138-E139</f>
        <v>13164</v>
      </c>
      <c r="F140" s="2264">
        <f>IF(OR(((D140-E140)/E140)&gt;3,((D140-E140)/E140)&lt;-3),"n.m.",((D140-E140)/ABS(E140)))</f>
        <v>0.55158006684898209</v>
      </c>
      <c r="G140" s="2359">
        <f>G126-G138-G139</f>
        <v>80419</v>
      </c>
      <c r="H140" s="2258">
        <f>H126-H138-H139</f>
        <v>62546</v>
      </c>
      <c r="I140" s="2667">
        <f>IF(OR(((G140-H140)/H140)&gt;3,((G140-H140)/H140)&lt;-3),"n.m.",((G140-H140)/H140))</f>
        <v>0.28575768234579352</v>
      </c>
      <c r="P140" s="191">
        <f t="shared" si="31"/>
        <v>0</v>
      </c>
      <c r="Q140" s="191">
        <f t="shared" si="32"/>
        <v>0</v>
      </c>
    </row>
    <row r="141" spans="3:17" x14ac:dyDescent="0.2">
      <c r="G141" s="2652"/>
      <c r="H141" s="2652"/>
      <c r="I141" s="2652"/>
    </row>
    <row r="142" spans="3:17" x14ac:dyDescent="0.2">
      <c r="G142" s="2652"/>
      <c r="H142" s="2652"/>
      <c r="I142" s="2652"/>
    </row>
    <row r="143" spans="3:17" ht="15" thickBot="1" x14ac:dyDescent="0.25">
      <c r="C143" s="2385" t="s">
        <v>469</v>
      </c>
      <c r="D143" s="2356"/>
      <c r="E143" s="2356"/>
      <c r="F143" s="2356"/>
      <c r="G143" s="2679"/>
      <c r="H143" s="2679"/>
      <c r="I143" s="2679"/>
    </row>
    <row r="144" spans="3:17" x14ac:dyDescent="0.2">
      <c r="C144" s="3108"/>
      <c r="D144" s="2405"/>
      <c r="E144" s="2406"/>
      <c r="F144" s="3110" t="s">
        <v>406</v>
      </c>
      <c r="G144" s="2672"/>
      <c r="H144" s="2687"/>
      <c r="I144" s="3095" t="s">
        <v>452</v>
      </c>
    </row>
    <row r="145" spans="3:17" ht="19.5" customHeight="1" x14ac:dyDescent="0.2">
      <c r="C145" s="3109"/>
      <c r="D145" s="3086" t="str">
        <f>D124</f>
        <v>Three months ended June 30</v>
      </c>
      <c r="E145" s="3086"/>
      <c r="F145" s="3111"/>
      <c r="G145" s="3087" t="str">
        <f>G124</f>
        <v>Twelve months ended March 31</v>
      </c>
      <c r="H145" s="3087"/>
      <c r="I145" s="3096"/>
    </row>
    <row r="146" spans="3:17" ht="13.5" thickBot="1" x14ac:dyDescent="0.25">
      <c r="C146" s="2386"/>
      <c r="D146" s="2407">
        <f>D125</f>
        <v>2018</v>
      </c>
      <c r="E146" s="2407">
        <f>E125</f>
        <v>2017</v>
      </c>
      <c r="F146" s="3112"/>
      <c r="G146" s="2690">
        <f>G125</f>
        <v>2018</v>
      </c>
      <c r="H146" s="2690">
        <f>H125</f>
        <v>2017</v>
      </c>
      <c r="I146" s="3097"/>
    </row>
    <row r="147" spans="3:17" x14ac:dyDescent="0.2">
      <c r="C147" s="2378" t="s">
        <v>470</v>
      </c>
      <c r="D147" s="2387"/>
      <c r="E147" s="2387"/>
      <c r="F147" s="2387"/>
      <c r="G147" s="2694"/>
      <c r="H147" s="2694"/>
      <c r="I147" s="2695"/>
    </row>
    <row r="148" spans="3:17" x14ac:dyDescent="0.2">
      <c r="C148" s="2388" t="s">
        <v>84</v>
      </c>
      <c r="D148" s="2269">
        <f>(HLOOKUP($B$4,'5 Canaccord Genuity '!$13:$120,ROW('5 Canaccord Genuity '!$A$20)-12,0))/$D$126</f>
        <v>0.33869057956142151</v>
      </c>
      <c r="E148" s="2421">
        <f>(HLOOKUP($B$5,'5 Canaccord Genuity '!$13:$120,ROW('5 Canaccord Genuity '!$A$20)-12,0))/$E$126</f>
        <v>0.29368900955356914</v>
      </c>
      <c r="F148" s="2273">
        <f>(D148-E148)*100</f>
        <v>4.5001570007852374</v>
      </c>
      <c r="G148" s="2674">
        <f>INDEX('5 Canaccord Genuity '!$A$1:$CD$90,ROW('5 Canaccord Genuity '!$A20),COLUMN('5 Canaccord Genuity '!$BH$1))/$G$126</f>
        <v>0.37009140653617784</v>
      </c>
      <c r="H148" s="2675">
        <f>INDEX('5 Canaccord Genuity '!$A$1:$CD$90,ROW('5 Canaccord Genuity '!$A20),COLUMN('5 Canaccord Genuity '!$BI$1))/$H$126</f>
        <v>0.33896002860925156</v>
      </c>
      <c r="I148" s="2676">
        <f>(G148-H148)*100</f>
        <v>3.1131377926926271</v>
      </c>
      <c r="P148" s="191">
        <f>IF((D148-E148)*F148&lt;0,"Reverse Sign",)</f>
        <v>0</v>
      </c>
      <c r="Q148" s="191">
        <f>IF((G148-H148)*I148&lt;0,"Reverse Sign",)</f>
        <v>0</v>
      </c>
    </row>
    <row r="149" spans="3:17" x14ac:dyDescent="0.2">
      <c r="C149" s="2388" t="s">
        <v>471</v>
      </c>
      <c r="D149" s="2269">
        <f>(HLOOKUP($B$4,'5 Canaccord Genuity '!$13:$120,ROW('5 Canaccord Genuity '!$A$21)-12,0))/$D$126</f>
        <v>0.11791204222646733</v>
      </c>
      <c r="E149" s="2421">
        <f>(HLOOKUP($B$5,'5 Canaccord Genuity '!$13:$120,ROW('5 Canaccord Genuity '!$A$21)-12,0))/$E$126</f>
        <v>0.13953205440155725</v>
      </c>
      <c r="F149" s="2273">
        <f>(D149-E149)*100</f>
        <v>-2.1620012175089922</v>
      </c>
      <c r="G149" s="2674">
        <f>INDEX('5 Canaccord Genuity '!$A$1:$CD$90,ROW('5 Canaccord Genuity '!$A21),COLUMN('5 Canaccord Genuity '!$BH$1))/$G$126</f>
        <v>0.15445830481907527</v>
      </c>
      <c r="H149" s="2675">
        <f>INDEX('5 Canaccord Genuity '!$A$1:$CD$90,ROW('5 Canaccord Genuity '!$A21),COLUMN('5 Canaccord Genuity '!$BI$1))/$H$126</f>
        <v>0.20148504601948691</v>
      </c>
      <c r="I149" s="2676">
        <f>(G149-H149)*100</f>
        <v>-4.7026741200411646</v>
      </c>
      <c r="P149" s="191">
        <f>IF((D149-E149)*F149&lt;0,"Reverse Sign",)</f>
        <v>0</v>
      </c>
      <c r="Q149" s="191">
        <f>IF((G149-H149)*I149&lt;0,"Reverse Sign",)</f>
        <v>0</v>
      </c>
    </row>
    <row r="150" spans="3:17" x14ac:dyDescent="0.2">
      <c r="C150" s="2388" t="s">
        <v>95</v>
      </c>
      <c r="D150" s="2269">
        <f>(HLOOKUP($B$4,'5 Canaccord Genuity '!$13:$120,ROW('5 Canaccord Genuity '!$A$22)-12,0))/$D$126</f>
        <v>0.49499271140861895</v>
      </c>
      <c r="E150" s="2421">
        <f>(HLOOKUP($B$5,'5 Canaccord Genuity '!$13:$120,ROW('5 Canaccord Genuity '!$A$22)-12,0))/$E$126</f>
        <v>0.48796199062572038</v>
      </c>
      <c r="F150" s="2273">
        <f>(D150-E150)*100</f>
        <v>0.70307207828985696</v>
      </c>
      <c r="G150" s="2674">
        <f>INDEX('5 Canaccord Genuity '!$A$1:$CD$90,ROW('5 Canaccord Genuity '!$A22),COLUMN('5 Canaccord Genuity '!$BH$1))/$G$126</f>
        <v>0.43103193691557601</v>
      </c>
      <c r="H150" s="2675">
        <f>INDEX('5 Canaccord Genuity '!$A$1:$CD$90,ROW('5 Canaccord Genuity '!$A22),COLUMN('5 Canaccord Genuity '!$BI$1))/$H$126</f>
        <v>0.37007258970192425</v>
      </c>
      <c r="I150" s="2676">
        <f>(G150-H150)*100</f>
        <v>6.0959347213651762</v>
      </c>
      <c r="P150" s="191">
        <f>IF((D150-E150)*F150&lt;0,"Reverse Sign",)</f>
        <v>0</v>
      </c>
      <c r="Q150" s="191">
        <f>IF((G150-H150)*I150&lt;0,"Reverse Sign",)</f>
        <v>0</v>
      </c>
    </row>
    <row r="151" spans="3:17" x14ac:dyDescent="0.2">
      <c r="C151" s="2388" t="s">
        <v>283</v>
      </c>
      <c r="D151" s="2269">
        <f>(HLOOKUP($B$4,'5 Canaccord Genuity '!$13:$120,ROW('5 Canaccord Genuity '!$A$23)-12,0))/$D$126</f>
        <v>4.8504654699694248E-2</v>
      </c>
      <c r="E151" s="2421">
        <f>(HLOOKUP($B$5,'5 Canaccord Genuity '!$13:$120,ROW('5 Canaccord Genuity '!$A$23)-12,0))/$E$126</f>
        <v>7.8957815741618212E-2</v>
      </c>
      <c r="F151" s="2273">
        <f>(D151-E151)*100</f>
        <v>-3.0453161041923962</v>
      </c>
      <c r="G151" s="2696">
        <f>INDEX('5 Canaccord Genuity '!$A$1:$CD$90,ROW('5 Canaccord Genuity '!$A23),COLUMN('5 Canaccord Genuity '!$BH$1))/$G$126</f>
        <v>4.4533355292861544E-2</v>
      </c>
      <c r="H151" s="2697">
        <f>INDEX('5 Canaccord Genuity '!$A$1:$CD$90,ROW('5 Canaccord Genuity '!$A23),COLUMN('5 Canaccord Genuity '!$BI$1))/$H$126</f>
        <v>8.9438417958579319E-2</v>
      </c>
      <c r="I151" s="2676">
        <f>(G151-H151)*100</f>
        <v>-4.4905062665717779</v>
      </c>
      <c r="P151" s="191">
        <f>IF((D151-E151)*F151&lt;0,"Reverse Sign",)</f>
        <v>0</v>
      </c>
      <c r="Q151" s="191">
        <f>IF((G151-H151)*I151&lt;0,"Reverse Sign",)</f>
        <v>0</v>
      </c>
    </row>
    <row r="152" spans="3:17" ht="13.5" thickBot="1" x14ac:dyDescent="0.25">
      <c r="C152" s="2389" t="s">
        <v>472</v>
      </c>
      <c r="D152" s="2270">
        <f>(HLOOKUP($B$4,'5 Canaccord Genuity '!$13:$120,ROW('5 Canaccord Genuity '!$A$48)-12,0))/$D$126</f>
        <v>-9.9987896202038704E-5</v>
      </c>
      <c r="E152" s="2422">
        <f>(HLOOKUP($B$5,'5 Canaccord Genuity '!$13:$120,ROW('5 Canaccord Genuity '!$A$48)-12,0))/$E$126</f>
        <v>-1.4087032246497451E-4</v>
      </c>
      <c r="F152" s="2287">
        <f>(D152-E152)*100</f>
        <v>4.0882426262935801E-3</v>
      </c>
      <c r="G152" s="2698">
        <f>INDEX('5 Canaccord Genuity '!$A$1:$CD$90,ROW('5 Canaccord Genuity '!$A48),COLUMN('5 Canaccord Genuity '!$BH$1))/$G$126</f>
        <v>-1.1500356369067733E-4</v>
      </c>
      <c r="H152" s="2699">
        <f>INDEX('5 Canaccord Genuity '!$A$1:$CD$90,ROW('5 Canaccord Genuity '!$A48),COLUMN('5 Canaccord Genuity '!$BI$1))/$H$126</f>
        <v>4.3917710757956945E-5</v>
      </c>
      <c r="I152" s="2700">
        <f>(G152-H152)*100</f>
        <v>-1.5892127444863426E-2</v>
      </c>
      <c r="P152" s="191">
        <f>IF((D152-E152)*F152&lt;0,"Reverse Sign",)</f>
        <v>0</v>
      </c>
      <c r="Q152" s="191">
        <f>IF((G152-H152)*I152&lt;0,"Reverse Sign",)</f>
        <v>0</v>
      </c>
    </row>
    <row r="153" spans="3:17" ht="13.5" thickBot="1" x14ac:dyDescent="0.25">
      <c r="C153" s="2389"/>
      <c r="D153" s="2267">
        <f>SUM(D148:D152)</f>
        <v>1</v>
      </c>
      <c r="E153" s="2268">
        <f>SUM(E148:E152)</f>
        <v>1</v>
      </c>
      <c r="F153" s="2268"/>
      <c r="G153" s="2701">
        <f>SUM(G148:G152)</f>
        <v>0.99999999999999989</v>
      </c>
      <c r="H153" s="2702">
        <f>SUM(H148:H152)</f>
        <v>1</v>
      </c>
      <c r="I153" s="2703"/>
    </row>
    <row r="154" spans="3:17" x14ac:dyDescent="0.2">
      <c r="G154" s="2652"/>
      <c r="H154" s="2652"/>
      <c r="I154" s="2652"/>
    </row>
    <row r="155" spans="3:17" x14ac:dyDescent="0.2">
      <c r="G155" s="2652"/>
      <c r="H155" s="2652"/>
      <c r="I155" s="2652"/>
    </row>
    <row r="156" spans="3:17" ht="16.5" thickBot="1" x14ac:dyDescent="0.25">
      <c r="C156" s="2580" t="s">
        <v>489</v>
      </c>
      <c r="D156" s="2356"/>
      <c r="E156" s="2356"/>
      <c r="F156" s="2356"/>
      <c r="G156" s="2679"/>
      <c r="H156" s="2679"/>
      <c r="I156" s="2679"/>
    </row>
    <row r="157" spans="3:17" x14ac:dyDescent="0.2">
      <c r="C157" s="3108"/>
      <c r="D157" s="2409"/>
      <c r="E157" s="2410"/>
      <c r="F157" s="3110" t="s">
        <v>406</v>
      </c>
      <c r="G157" s="2704"/>
      <c r="H157" s="2705"/>
      <c r="I157" s="3113" t="s">
        <v>452</v>
      </c>
    </row>
    <row r="158" spans="3:17" ht="21" customHeight="1" x14ac:dyDescent="0.2">
      <c r="C158" s="3109"/>
      <c r="D158" s="3088" t="str">
        <f>D145</f>
        <v>Three months ended June 30</v>
      </c>
      <c r="E158" s="3088"/>
      <c r="F158" s="3111"/>
      <c r="G158" s="3087" t="str">
        <f>G145</f>
        <v>Twelve months ended March 31</v>
      </c>
      <c r="H158" s="3087"/>
      <c r="I158" s="3114"/>
    </row>
    <row r="159" spans="3:17" ht="13.5" thickBot="1" x14ac:dyDescent="0.25">
      <c r="C159" s="2386"/>
      <c r="D159" s="2411">
        <f>D146</f>
        <v>2018</v>
      </c>
      <c r="E159" s="2411">
        <f>E146</f>
        <v>2017</v>
      </c>
      <c r="F159" s="3112"/>
      <c r="G159" s="2706">
        <f>G146</f>
        <v>2018</v>
      </c>
      <c r="H159" s="2706">
        <f>H146</f>
        <v>2017</v>
      </c>
      <c r="I159" s="3115"/>
    </row>
    <row r="160" spans="3:17" x14ac:dyDescent="0.2">
      <c r="C160" s="2388" t="s">
        <v>84</v>
      </c>
      <c r="D160" s="2269">
        <f>(HLOOKUP($B$4,'6 Capital Markets Canada'!$11:$121,ROW('6 Capital Markets Canada'!$A$40)-10,0))</f>
        <v>0.49764601687409687</v>
      </c>
      <c r="E160" s="2421">
        <f>(HLOOKUP($B$5,'6 Capital Markets Canada'!$11:$121,ROW('6 Capital Markets Canada'!$A$40)-10,0))</f>
        <v>0.52500763092486813</v>
      </c>
      <c r="F160" s="2298">
        <f t="shared" ref="F160:F165" si="37">(D160-E160)*100</f>
        <v>-2.7361614050771257</v>
      </c>
      <c r="G160" s="2674">
        <f>INDEX('6 Capital Markets Canada'!$A$1:$CC$91,ROW('6 Capital Markets Canada'!$A40),COLUMN('6 Capital Markets Canada'!$BH$1))</f>
        <v>0.51622580707037768</v>
      </c>
      <c r="H160" s="2675">
        <f>INDEX('6 Capital Markets Canada'!$A$1:$CC$91,ROW('6 Capital Markets Canada'!$A40),COLUMN('6 Capital Markets Canada'!$BI$1))</f>
        <v>0.54619492286192883</v>
      </c>
      <c r="I160" s="2707">
        <f t="shared" ref="I160:I165" si="38">(G160-H160)*100</f>
        <v>-2.9969115791551149</v>
      </c>
      <c r="P160" s="191">
        <f>IF((D160-E160)*F160&lt;0,"Reverse Sign",)</f>
        <v>0</v>
      </c>
      <c r="Q160" s="191">
        <f>IF((G160-H160)*I160&lt;0,"Reverse Sign",)</f>
        <v>0</v>
      </c>
    </row>
    <row r="161" spans="1:17" x14ac:dyDescent="0.2">
      <c r="C161" s="2388" t="s">
        <v>471</v>
      </c>
      <c r="D161" s="2269">
        <f>(HLOOKUP($B$4,'8 UK &amp; Dubai'!$12:$123,ROW('8 UK &amp; Dubai'!$A$40)-11,0))</f>
        <v>0.59323395519057398</v>
      </c>
      <c r="E161" s="2421">
        <f>(HLOOKUP($B$5,'8 UK &amp; Dubai'!$12:$123,ROW('8 UK &amp; Dubai'!$A$40)-11,0))</f>
        <v>0.74484879078518651</v>
      </c>
      <c r="F161" s="2298">
        <f t="shared" si="37"/>
        <v>-15.161483559461253</v>
      </c>
      <c r="G161" s="2674">
        <f>INDEX('8 UK &amp; Dubai'!$A$1:$CE$93,ROW('8 UK &amp; Dubai'!$A40),COLUMN('8 UK &amp; Dubai'!$BH$1))</f>
        <v>0.7195396593405583</v>
      </c>
      <c r="H161" s="2675">
        <f>INDEX('8 UK &amp; Dubai'!$A$1:$CE$93,ROW('8 UK &amp; Dubai'!$A40),COLUMN('8 UK &amp; Dubai'!$BI$1))</f>
        <v>0.66710520170016663</v>
      </c>
      <c r="I161" s="2707">
        <f t="shared" si="38"/>
        <v>5.2434457640391674</v>
      </c>
      <c r="P161" s="191">
        <f>IF((D161-E161)*F161&lt;0,"Reverse Sign",)</f>
        <v>0</v>
      </c>
      <c r="Q161" s="191">
        <f>IF((G161-H161)*I161&lt;0,"Reverse Sign",)</f>
        <v>0</v>
      </c>
    </row>
    <row r="162" spans="1:17" x14ac:dyDescent="0.2">
      <c r="C162" s="2388" t="s">
        <v>95</v>
      </c>
      <c r="D162" s="2269">
        <f>(HLOOKUP($B$4,'7 CG - US'!$12:$125,ROW('7 CG - US'!$A$40)-11,0))</f>
        <v>0.61108866680842011</v>
      </c>
      <c r="E162" s="2421">
        <f>(HLOOKUP($B$5,'7 CG - US'!$12:$125,ROW('7 CG - US'!$A$40)-11,0))</f>
        <v>0.57950817520930109</v>
      </c>
      <c r="F162" s="2298">
        <f t="shared" si="37"/>
        <v>3.158049159911902</v>
      </c>
      <c r="G162" s="2674">
        <f>INDEX('7 CG - US'!$A$1:$CE$95,ROW('7 CG - US'!$A40),COLUMN('7 CG - US'!$BH$1))</f>
        <v>0.56200693705593452</v>
      </c>
      <c r="H162" s="2675">
        <f>INDEX('7 CG - US'!$A$1:$CE$95,ROW('7 CG - US'!$A40),COLUMN('7 CG - US'!$BI$1))</f>
        <v>0.592997431572166</v>
      </c>
      <c r="I162" s="2707">
        <f t="shared" si="38"/>
        <v>-3.0990494516231482</v>
      </c>
      <c r="P162" s="191">
        <f>IF((D162-E162)*F162&lt;0,"Reverse Sign",)</f>
        <v>0</v>
      </c>
      <c r="Q162" s="191">
        <f>IF((G162-H162)*I162&lt;0,"Reverse Sign",)</f>
        <v>0</v>
      </c>
    </row>
    <row r="163" spans="1:17" x14ac:dyDescent="0.2">
      <c r="C163" s="2388" t="s">
        <v>283</v>
      </c>
      <c r="D163" s="2269">
        <f>(HLOOKUP($B$4,'9 CG - Australia'!$11:$123,ROW('9 CG - Australia'!$A$38)-10,0))</f>
        <v>0.66225452967342957</v>
      </c>
      <c r="E163" s="2421">
        <f>(HLOOKUP($B$5,'9 CG - Australia'!$11:$123,ROW('9 CG - Australia'!$A$38)-10,0))</f>
        <v>0.58243451463790452</v>
      </c>
      <c r="F163" s="2298">
        <f t="shared" si="37"/>
        <v>7.9820015035525049</v>
      </c>
      <c r="G163" s="2674">
        <f>INDEX('9 CG - Australia'!$A$1:$CE$93,ROW('9 CG - Australia'!$A38),COLUMN('9 CG - Australia'!$AB$1))</f>
        <v>0.63702735446024361</v>
      </c>
      <c r="H163" s="2675">
        <f>INDEX('9 CG - Australia'!$A$1:$CE$93,ROW('9 CG - Australia'!$A38),COLUMN('9 CG - Australia'!$AC$1))</f>
        <v>0.57232296306688646</v>
      </c>
      <c r="I163" s="2707">
        <f t="shared" si="38"/>
        <v>6.4704391393357152</v>
      </c>
      <c r="P163" s="191">
        <f>IF((D163-E163)*F163&lt;0,"Reverse Sign",)</f>
        <v>0</v>
      </c>
      <c r="Q163" s="191">
        <f>IF((G163-H163)*I163&lt;0,"Reverse Sign",)</f>
        <v>0</v>
      </c>
    </row>
    <row r="164" spans="1:17" ht="13.5" thickBot="1" x14ac:dyDescent="0.25">
      <c r="A164" s="2272" t="s">
        <v>455</v>
      </c>
      <c r="C164" s="2389" t="s">
        <v>472</v>
      </c>
      <c r="D164" s="2286" t="e">
        <f>(HLOOKUP($B$4,#REF!,ROW(#REF!)-11,0))</f>
        <v>#REF!</v>
      </c>
      <c r="E164" s="2422" t="e">
        <f>(HLOOKUP($B$5,#REF!,ROW(#REF!)-11,0))</f>
        <v>#REF!</v>
      </c>
      <c r="F164" s="2299" t="s">
        <v>41</v>
      </c>
      <c r="G164" s="2286" t="e">
        <f>(HLOOKUP($B$4,#REF!,ROW(#REF!)-11,0))</f>
        <v>#REF!</v>
      </c>
      <c r="H164" s="2422" t="e">
        <f>(HLOOKUP($B$5,#REF!,ROW(#REF!)-11,0))</f>
        <v>#REF!</v>
      </c>
      <c r="I164" s="2710" t="s">
        <v>41</v>
      </c>
      <c r="P164" s="191" t="e">
        <f>IF((D164-E164)*F164&lt;0,"Reverse Sign",)</f>
        <v>#REF!</v>
      </c>
      <c r="Q164" s="191" t="e">
        <f>IF((G164-H164)*I164&lt;0,"Reverse Sign",)</f>
        <v>#REF!</v>
      </c>
    </row>
    <row r="165" spans="1:17" ht="13.5" thickBot="1" x14ac:dyDescent="0.25">
      <c r="C165" s="2389" t="s">
        <v>490</v>
      </c>
      <c r="D165" s="2270">
        <f>(HLOOKUP($B$4,'5 Canaccord Genuity '!$13:$120,ROW('5 Canaccord Genuity '!$A$69)-12,0))</f>
        <v>0.57678281050188662</v>
      </c>
      <c r="E165" s="2423">
        <f>(HLOOKUP($B$5,'5 Canaccord Genuity '!$13:$120,ROW('5 Canaccord Genuity '!$A$69)-12,0))</f>
        <v>0.58806956432651181</v>
      </c>
      <c r="F165" s="2299">
        <f t="shared" si="37"/>
        <v>-1.1286753824625184</v>
      </c>
      <c r="G165" s="2708">
        <f>INDEX('5 Canaccord Genuity '!$A$1:$CD$90,ROW('5 Canaccord Genuity '!$A69),COLUMN('5 Canaccord Genuity '!$BH$1))</f>
        <v>0.57394871125018809</v>
      </c>
      <c r="H165" s="2709">
        <f>INDEX('5 Canaccord Genuity '!$A$1:$CD$90,ROW('5 Canaccord Genuity '!$A69),COLUMN('5 Canaccord Genuity '!$BI$1))</f>
        <v>0.59127355087239397</v>
      </c>
      <c r="I165" s="2710">
        <f t="shared" si="38"/>
        <v>-1.7324839622205879</v>
      </c>
    </row>
    <row r="166" spans="1:17" x14ac:dyDescent="0.2">
      <c r="G166" s="2652"/>
      <c r="H166" s="2652"/>
      <c r="I166" s="2652"/>
    </row>
    <row r="167" spans="1:17" x14ac:dyDescent="0.2">
      <c r="G167" s="2652"/>
      <c r="H167" s="2652"/>
      <c r="I167" s="2652"/>
    </row>
    <row r="168" spans="1:17" x14ac:dyDescent="0.2">
      <c r="G168" s="2652"/>
      <c r="H168" s="2652"/>
      <c r="I168" s="2652"/>
    </row>
    <row r="169" spans="1:17" x14ac:dyDescent="0.2">
      <c r="G169" s="2652"/>
      <c r="H169" s="2652"/>
      <c r="I169" s="2652"/>
    </row>
    <row r="170" spans="1:17" ht="16.5" x14ac:dyDescent="0.2">
      <c r="C170" s="2581" t="s">
        <v>575</v>
      </c>
      <c r="D170" s="2356"/>
      <c r="E170" s="2356"/>
      <c r="F170" s="2356"/>
      <c r="G170" s="2679"/>
      <c r="H170" s="2679"/>
      <c r="I170" s="2679"/>
    </row>
    <row r="171" spans="1:17" ht="13.5" thickBot="1" x14ac:dyDescent="0.25">
      <c r="C171" s="2390"/>
      <c r="D171" s="2356"/>
      <c r="E171" s="2356"/>
      <c r="F171" s="2356"/>
      <c r="G171" s="2679"/>
      <c r="H171" s="2679"/>
      <c r="I171" s="2679"/>
    </row>
    <row r="172" spans="1:17" ht="12.75" customHeight="1" x14ac:dyDescent="0.2">
      <c r="C172" s="3141" t="s">
        <v>474</v>
      </c>
      <c r="D172" s="2404"/>
      <c r="E172" s="2412"/>
      <c r="F172" s="3135" t="s">
        <v>406</v>
      </c>
      <c r="G172" s="2711"/>
      <c r="H172" s="2712"/>
      <c r="I172" s="3104" t="s">
        <v>452</v>
      </c>
    </row>
    <row r="173" spans="1:17" ht="22.5" customHeight="1" x14ac:dyDescent="0.2">
      <c r="C173" s="3142"/>
      <c r="D173" s="3089" t="str">
        <f>D158</f>
        <v>Three months ended June 30</v>
      </c>
      <c r="E173" s="3089"/>
      <c r="F173" s="3136"/>
      <c r="G173" s="3090" t="str">
        <f>G158</f>
        <v>Twelve months ended March 31</v>
      </c>
      <c r="H173" s="3090"/>
      <c r="I173" s="3129"/>
    </row>
    <row r="174" spans="1:17" ht="13.5" thickBot="1" x14ac:dyDescent="0.25">
      <c r="C174" s="3143"/>
      <c r="D174" s="2402">
        <f>D159</f>
        <v>2018</v>
      </c>
      <c r="E174" s="2402">
        <f>E159</f>
        <v>2017</v>
      </c>
      <c r="F174" s="3137"/>
      <c r="G174" s="2713">
        <f>G159</f>
        <v>2018</v>
      </c>
      <c r="H174" s="2713">
        <f>H159</f>
        <v>2017</v>
      </c>
      <c r="I174" s="3105"/>
    </row>
    <row r="175" spans="1:17" x14ac:dyDescent="0.2">
      <c r="C175" s="2378" t="s">
        <v>4</v>
      </c>
      <c r="D175" s="2278">
        <f>(HLOOKUP($B$4,'11 CWM Canada'!$11:$119,ROW('11 CWM Canada'!$A$16)-10,0))</f>
        <v>57818</v>
      </c>
      <c r="E175" s="2283">
        <f>(HLOOKUP($B$5,'11 CWM Canada'!$11:$119,ROW('11 CWM Canada'!$A$16)-10,0))</f>
        <v>46789</v>
      </c>
      <c r="F175" s="2262">
        <f>IF(OR(((D175-E175)/E175)&gt;3,((D175-E175)/E175)&lt;-3),"n.m.",((D175-E175)/E175))</f>
        <v>0.23571779691807904</v>
      </c>
      <c r="G175" s="2683">
        <f>INDEX('11 CWM Canada'!$A$1:$CE$89,ROW('11 CWM Canada'!$A16),COLUMN('11 CWM Canada'!$BH$1))</f>
        <v>206826</v>
      </c>
      <c r="H175" s="2684">
        <f>INDEX('11 CWM Canada'!$A$1:$CE$89,ROW('11 CWM Canada'!$A16),COLUMN('11 CWM Canada'!$BI$1))</f>
        <v>168882</v>
      </c>
      <c r="I175" s="2650">
        <f>IF(OR(((G175-H175)/H175)&gt;3,((G175-H175)/H175)&lt;-3),"n.m.",((G175-H175)/H175))</f>
        <v>0.22467758553309411</v>
      </c>
      <c r="J175" s="191">
        <f>D175-E175</f>
        <v>11029</v>
      </c>
      <c r="K175" s="347">
        <f>G175-H175</f>
        <v>37944</v>
      </c>
      <c r="P175" s="191">
        <f t="shared" ref="P175:P189" si="39">IF((D175-E175)*F175&lt;0,"Reverse Sign",)</f>
        <v>0</v>
      </c>
      <c r="Q175" s="191">
        <f t="shared" ref="Q175:Q189" si="40">IF((G175-H175)*I175&lt;0,"Reverse Sign",)</f>
        <v>0</v>
      </c>
    </row>
    <row r="176" spans="1:17" x14ac:dyDescent="0.2">
      <c r="C176" s="2378" t="s">
        <v>5</v>
      </c>
      <c r="D176" s="2278"/>
      <c r="E176" s="2283"/>
      <c r="F176" s="2291"/>
      <c r="G176" s="2683"/>
      <c r="H176" s="2684"/>
      <c r="I176" s="2714"/>
      <c r="J176" s="191">
        <f t="shared" ref="J176:J193" si="41">D176-E176</f>
        <v>0</v>
      </c>
      <c r="K176" s="347">
        <f t="shared" ref="K176:K193" si="42">G176-H176</f>
        <v>0</v>
      </c>
      <c r="P176" s="191">
        <f t="shared" si="39"/>
        <v>0</v>
      </c>
      <c r="Q176" s="191">
        <f t="shared" si="40"/>
        <v>0</v>
      </c>
    </row>
    <row r="177" spans="3:17" x14ac:dyDescent="0.2">
      <c r="C177" s="2378" t="s">
        <v>475</v>
      </c>
      <c r="D177" s="2278">
        <f>(HLOOKUP($B$4,'11 CWM Canada'!$11:$119,ROW('11 CWM Canada'!$A$20)-10,0))</f>
        <v>29454</v>
      </c>
      <c r="E177" s="2283">
        <f>(HLOOKUP($B$5,'11 CWM Canada'!$11:$119,ROW('11 CWM Canada'!$A$20)-10,0))</f>
        <v>23380</v>
      </c>
      <c r="F177" s="2291">
        <f t="shared" ref="F177:F182" si="43">IF(OR(((D177-E177)/E177)&gt;3,((D177-E177)/E177)&lt;-3),"n.m.",((D177-E177)/E177))</f>
        <v>0.25979469632164243</v>
      </c>
      <c r="G177" s="2683">
        <f>INDEX('11 CWM Canada'!$A$1:$CE$89,ROW('11 CWM Canada'!$A20),COLUMN('11 CWM Canada'!$BH$1))</f>
        <v>104768</v>
      </c>
      <c r="H177" s="2684">
        <f>INDEX('11 CWM Canada'!$A$1:$CE$89,ROW('11 CWM Canada'!$A20),COLUMN('11 CWM Canada'!$BI$1))</f>
        <v>86382</v>
      </c>
      <c r="I177" s="2714">
        <f t="shared" ref="I177:I182" si="44">IF(OR(((G177-H177)/H177)&gt;3,((G177-H177)/H177)&lt;-3),"n.m.",((G177-H177)/H177))</f>
        <v>0.2128452686902364</v>
      </c>
      <c r="J177" s="191">
        <f t="shared" si="41"/>
        <v>6074</v>
      </c>
      <c r="K177" s="347">
        <f t="shared" si="42"/>
        <v>18386</v>
      </c>
      <c r="P177" s="191">
        <f t="shared" si="39"/>
        <v>0</v>
      </c>
      <c r="Q177" s="191">
        <f t="shared" si="40"/>
        <v>0</v>
      </c>
    </row>
    <row r="178" spans="3:17" x14ac:dyDescent="0.2">
      <c r="C178" s="2378" t="s">
        <v>476</v>
      </c>
      <c r="D178" s="2278">
        <f>(HLOOKUP($B$4,'11 CWM Canada'!$11:$119,ROW('11 CWM Canada'!$A$21)-10,0))</f>
        <v>4038</v>
      </c>
      <c r="E178" s="2283">
        <f>(HLOOKUP($B$5,'11 CWM Canada'!$11:$119,ROW('11 CWM Canada'!$A$21)-10,0))</f>
        <v>3227</v>
      </c>
      <c r="F178" s="2291">
        <f t="shared" si="43"/>
        <v>0.25131701270529905</v>
      </c>
      <c r="G178" s="2683">
        <f>INDEX('11 CWM Canada'!$A$1:$CE$89,ROW('11 CWM Canada'!$A21),COLUMN('11 CWM Canada'!$BH$1))</f>
        <v>14092</v>
      </c>
      <c r="H178" s="2684">
        <f>INDEX('11 CWM Canada'!$A$1:$CE$89,ROW('11 CWM Canada'!$A21),COLUMN('11 CWM Canada'!$BI$1))</f>
        <v>11315</v>
      </c>
      <c r="I178" s="2714">
        <f t="shared" si="44"/>
        <v>0.24542642509942555</v>
      </c>
      <c r="J178" s="191">
        <f t="shared" si="41"/>
        <v>811</v>
      </c>
      <c r="K178" s="347">
        <f t="shared" si="42"/>
        <v>2777</v>
      </c>
      <c r="P178" s="191">
        <f t="shared" si="39"/>
        <v>0</v>
      </c>
      <c r="Q178" s="191">
        <f t="shared" si="40"/>
        <v>0</v>
      </c>
    </row>
    <row r="179" spans="3:17" ht="13.5" thickBot="1" x14ac:dyDescent="0.25">
      <c r="C179" s="2382" t="s">
        <v>477</v>
      </c>
      <c r="D179" s="2284">
        <f>D180-SUM(D177:D178)</f>
        <v>11354</v>
      </c>
      <c r="E179" s="2279">
        <f>E180-SUM(E177:E178)</f>
        <v>11981</v>
      </c>
      <c r="F179" s="2292">
        <f t="shared" si="43"/>
        <v>-5.2332860362240212E-2</v>
      </c>
      <c r="G179" s="2683">
        <f>G180-SUM(G177:G178)</f>
        <v>47968</v>
      </c>
      <c r="H179" s="2684">
        <f>H180-SUM(H177:H178)</f>
        <v>37463</v>
      </c>
      <c r="I179" s="2714">
        <f t="shared" si="44"/>
        <v>0.28041000453781062</v>
      </c>
      <c r="J179" s="191">
        <f t="shared" si="41"/>
        <v>-627</v>
      </c>
      <c r="K179" s="347">
        <f t="shared" si="42"/>
        <v>10505</v>
      </c>
      <c r="P179" s="191">
        <f t="shared" si="39"/>
        <v>0</v>
      </c>
      <c r="Q179" s="191">
        <f t="shared" si="40"/>
        <v>0</v>
      </c>
    </row>
    <row r="180" spans="3:17" x14ac:dyDescent="0.2">
      <c r="C180" s="2383" t="s">
        <v>80</v>
      </c>
      <c r="D180" s="2266">
        <f>(HLOOKUP($B$4,'11 CWM Canada'!$11:$119,ROW('11 CWM Canada'!$A$33)-10,0))</f>
        <v>44846</v>
      </c>
      <c r="E180" s="2408">
        <f>(HLOOKUP($B$5,'11 CWM Canada'!$11:$119,ROW('11 CWM Canada'!$A$33)-10,0))</f>
        <v>38588</v>
      </c>
      <c r="F180" s="2293">
        <f t="shared" si="43"/>
        <v>0.16217476935834974</v>
      </c>
      <c r="G180" s="2358">
        <f>INDEX('11 CWM Canada'!$A$1:$CE$89,ROW('11 CWM Canada'!$A33),COLUMN('11 CWM Canada'!$BH$1))</f>
        <v>166828</v>
      </c>
      <c r="H180" s="2664">
        <f>INDEX('11 CWM Canada'!$A$1:$CE$89,ROW('11 CWM Canada'!$A33),COLUMN('11 CWM Canada'!$BI$1))</f>
        <v>135160</v>
      </c>
      <c r="I180" s="2715">
        <f t="shared" si="44"/>
        <v>0.23430008878366382</v>
      </c>
      <c r="J180" s="191">
        <f t="shared" si="41"/>
        <v>6258</v>
      </c>
      <c r="K180" s="347">
        <f t="shared" si="42"/>
        <v>31668</v>
      </c>
      <c r="P180" s="191">
        <f t="shared" si="39"/>
        <v>0</v>
      </c>
      <c r="Q180" s="191">
        <f t="shared" si="40"/>
        <v>0</v>
      </c>
    </row>
    <row r="181" spans="3:17" ht="13.5" x14ac:dyDescent="0.2">
      <c r="C181" s="2378" t="s">
        <v>478</v>
      </c>
      <c r="D181" s="2278">
        <f>(HLOOKUP($B$4,'11 CWM Canada'!$11:$119,ROW('11 CWM Canada'!$A$35)-10,0))</f>
        <v>3712</v>
      </c>
      <c r="E181" s="2283">
        <f>(HLOOKUP($B$5,'11 CWM Canada'!$11:$119,ROW('11 CWM Canada'!$A$35)-10,0))</f>
        <v>3043</v>
      </c>
      <c r="F181" s="2291">
        <f t="shared" si="43"/>
        <v>0.21984883338810385</v>
      </c>
      <c r="G181" s="2683">
        <f>INDEX('11 CWM Canada'!$A$1:$CE$89,ROW('11 CWM Canada'!$A35),COLUMN('11 CWM Canada'!$BH$1))</f>
        <v>13152</v>
      </c>
      <c r="H181" s="2684">
        <f>INDEX('11 CWM Canada'!$A$1:$CE$89,ROW('11 CWM Canada'!$A35),COLUMN('11 CWM Canada'!$BI$1))</f>
        <v>14200</v>
      </c>
      <c r="I181" s="2714">
        <f t="shared" si="44"/>
        <v>-7.3802816901408455E-2</v>
      </c>
      <c r="J181" s="191">
        <f t="shared" si="41"/>
        <v>669</v>
      </c>
      <c r="K181" s="347">
        <f t="shared" si="42"/>
        <v>-1048</v>
      </c>
      <c r="P181" s="191">
        <f t="shared" si="39"/>
        <v>0</v>
      </c>
      <c r="Q181" s="191">
        <f t="shared" si="40"/>
        <v>0</v>
      </c>
    </row>
    <row r="182" spans="3:17" ht="13.5" x14ac:dyDescent="0.2">
      <c r="C182" s="2378" t="s">
        <v>479</v>
      </c>
      <c r="D182" s="2278">
        <f>(HLOOKUP($B$4,'11 CWM Canada'!$11:$119,ROW('11 CWM Canada'!$A$36)-10,0))</f>
        <v>9260</v>
      </c>
      <c r="E182" s="2283">
        <f>(HLOOKUP($B$5,'11 CWM Canada'!$11:$119,ROW('11 CWM Canada'!$A$36)-10,0))</f>
        <v>5158</v>
      </c>
      <c r="F182" s="2291">
        <f t="shared" si="43"/>
        <v>0.79526948429623889</v>
      </c>
      <c r="G182" s="2683">
        <f>INDEX('11 CWM Canada'!$A$1:$CE$89,ROW('11 CWM Canada'!$A36),COLUMN('11 CWM Canada'!$BH$1))</f>
        <v>26846</v>
      </c>
      <c r="H182" s="2684">
        <f>INDEX('11 CWM Canada'!$A$1:$CE$89,ROW('11 CWM Canada'!$A36),COLUMN('11 CWM Canada'!$BI$1))</f>
        <v>19522</v>
      </c>
      <c r="I182" s="2714">
        <f t="shared" si="44"/>
        <v>0.3751664788443807</v>
      </c>
      <c r="J182" s="191">
        <f t="shared" si="41"/>
        <v>4102</v>
      </c>
      <c r="K182" s="347">
        <f t="shared" si="42"/>
        <v>7324</v>
      </c>
      <c r="P182" s="191">
        <f t="shared" si="39"/>
        <v>0</v>
      </c>
      <c r="Q182" s="191">
        <f t="shared" si="40"/>
        <v>0</v>
      </c>
    </row>
    <row r="183" spans="3:17" x14ac:dyDescent="0.2">
      <c r="C183" s="2378"/>
      <c r="D183" s="2278"/>
      <c r="E183" s="2283"/>
      <c r="F183" s="2294"/>
      <c r="G183" s="2683"/>
      <c r="H183" s="2684"/>
      <c r="I183" s="2714"/>
      <c r="J183" s="191">
        <f t="shared" si="41"/>
        <v>0</v>
      </c>
      <c r="K183" s="347">
        <f t="shared" si="42"/>
        <v>0</v>
      </c>
      <c r="P183" s="191">
        <f t="shared" si="39"/>
        <v>0</v>
      </c>
      <c r="Q183" s="191">
        <f t="shared" si="40"/>
        <v>0</v>
      </c>
    </row>
    <row r="184" spans="3:17" ht="13.5" x14ac:dyDescent="0.2">
      <c r="C184" s="2378" t="s">
        <v>480</v>
      </c>
      <c r="D184" s="2278">
        <f>(HLOOKUP($B$4,'11 CWM Canada'!$11:$119,ROW('11 CWM Canada'!$A$45)-10,0))</f>
        <v>4346</v>
      </c>
      <c r="E184" s="2283">
        <f>(HLOOKUP($B$5,'11 CWM Canada'!$11:$119,ROW('11 CWM Canada'!$A$45)-10,0))</f>
        <v>3721</v>
      </c>
      <c r="F184" s="2292">
        <f>IF(OR(((D184-E184)/E184)&gt;3,((D184-E184)/E184)&lt;-3),"n.m.",((D184-E184)/E184))</f>
        <v>0.16796560064498792</v>
      </c>
      <c r="G184" s="2683"/>
      <c r="H184" s="2684"/>
      <c r="I184" s="2714"/>
      <c r="J184" s="191">
        <f t="shared" si="41"/>
        <v>625</v>
      </c>
      <c r="K184" s="347">
        <f t="shared" si="42"/>
        <v>0</v>
      </c>
      <c r="P184" s="191">
        <f t="shared" si="39"/>
        <v>0</v>
      </c>
      <c r="Q184" s="191">
        <f t="shared" si="40"/>
        <v>0</v>
      </c>
    </row>
    <row r="185" spans="3:17" ht="13.5" x14ac:dyDescent="0.2">
      <c r="C185" s="2378" t="s">
        <v>481</v>
      </c>
      <c r="D185" s="2278">
        <f>(HLOOKUP($B$4,'11 CWM Canada'!$11:$119,ROW('11 CWM Canada'!$A$46)-10,0))</f>
        <v>21223</v>
      </c>
      <c r="E185" s="2283">
        <f>(HLOOKUP($B$5,'11 CWM Canada'!$11:$119,ROW('11 CWM Canada'!$A$46)-10,0))</f>
        <v>18921</v>
      </c>
      <c r="F185" s="2292">
        <f>IF(OR(((D185-E185)/E185)&gt;3,((D185-E185)/E185)&lt;-3),"n.m.",((D185-E185)/E185))</f>
        <v>0.12166375984356007</v>
      </c>
      <c r="G185" s="2683"/>
      <c r="H185" s="2684"/>
      <c r="I185" s="2714"/>
      <c r="J185" s="191">
        <f t="shared" si="41"/>
        <v>2302</v>
      </c>
      <c r="K185" s="347">
        <f t="shared" si="42"/>
        <v>0</v>
      </c>
      <c r="P185" s="191">
        <f t="shared" si="39"/>
        <v>0</v>
      </c>
      <c r="Q185" s="191">
        <f t="shared" si="40"/>
        <v>0</v>
      </c>
    </row>
    <row r="186" spans="3:17" x14ac:dyDescent="0.2">
      <c r="C186" s="2378"/>
      <c r="D186" s="2278"/>
      <c r="E186" s="2283"/>
      <c r="F186" s="2294"/>
      <c r="G186" s="2683"/>
      <c r="H186" s="2684"/>
      <c r="I186" s="2714"/>
      <c r="J186" s="191">
        <f t="shared" si="41"/>
        <v>0</v>
      </c>
      <c r="K186" s="347">
        <f t="shared" si="42"/>
        <v>0</v>
      </c>
      <c r="P186" s="191">
        <f t="shared" si="39"/>
        <v>0</v>
      </c>
      <c r="Q186" s="191">
        <f t="shared" si="40"/>
        <v>0</v>
      </c>
    </row>
    <row r="187" spans="3:17" x14ac:dyDescent="0.2">
      <c r="C187" s="2378" t="s">
        <v>482</v>
      </c>
      <c r="D187" s="2278">
        <f>(HLOOKUP($B$4,'11 CWM Canada'!$11:$119,ROW('11 CWM Canada'!$A$51)-10,0))</f>
        <v>153</v>
      </c>
      <c r="E187" s="2283">
        <f>(HLOOKUP($B$5,'11 CWM Canada'!$11:$119,ROW('11 CWM Canada'!$A$51)-10,0))</f>
        <v>148</v>
      </c>
      <c r="F187" s="2292">
        <f>IF(OR(((D187-E187)/E187)&gt;3,((D187-E187)/E187)&lt;-3),"n.m.",((D187-E187)/E187))</f>
        <v>3.3783783783783786E-2</v>
      </c>
      <c r="G187" s="2683"/>
      <c r="H187" s="2684"/>
      <c r="I187" s="2714"/>
      <c r="J187" s="191">
        <f t="shared" si="41"/>
        <v>5</v>
      </c>
      <c r="K187" s="347">
        <f t="shared" si="42"/>
        <v>0</v>
      </c>
      <c r="P187" s="191">
        <f t="shared" si="39"/>
        <v>0</v>
      </c>
      <c r="Q187" s="191">
        <f t="shared" si="40"/>
        <v>0</v>
      </c>
    </row>
    <row r="188" spans="3:17" x14ac:dyDescent="0.2">
      <c r="C188" s="2378" t="s">
        <v>89</v>
      </c>
      <c r="D188" s="2278">
        <f>(HLOOKUP($B$4,'11 CWM Canada'!$11:$119,ROW('11 CWM Canada'!$A$50)-10,0))</f>
        <v>427</v>
      </c>
      <c r="E188" s="2283">
        <f>(HLOOKUP($B$5,'11 CWM Canada'!$11:$119,ROW('11 CWM Canada'!$A$50)-10,0))</f>
        <v>412</v>
      </c>
      <c r="F188" s="2292">
        <f>IF(OR(((D188-E188)/E188)&gt;3,((D188-E188)/E188)&lt;-3),"n.m.",((D188-E188)/E188))</f>
        <v>3.640776699029126E-2</v>
      </c>
      <c r="G188" s="2683"/>
      <c r="H188" s="2684"/>
      <c r="I188" s="2714"/>
      <c r="J188" s="191">
        <f t="shared" si="41"/>
        <v>15</v>
      </c>
      <c r="K188" s="347">
        <f t="shared" si="42"/>
        <v>0</v>
      </c>
      <c r="P188" s="191">
        <f t="shared" si="39"/>
        <v>0</v>
      </c>
      <c r="Q188" s="191">
        <f t="shared" si="40"/>
        <v>0</v>
      </c>
    </row>
    <row r="189" spans="3:17" ht="13.5" thickBot="1" x14ac:dyDescent="0.25">
      <c r="C189" s="2384"/>
      <c r="D189" s="2257"/>
      <c r="E189" s="2258"/>
      <c r="F189" s="2295"/>
      <c r="G189" s="2359"/>
      <c r="H189" s="2666"/>
      <c r="I189" s="2716"/>
      <c r="J189" s="191">
        <f t="shared" si="41"/>
        <v>0</v>
      </c>
      <c r="K189" s="347">
        <f t="shared" si="42"/>
        <v>0</v>
      </c>
      <c r="P189" s="191">
        <f t="shared" si="39"/>
        <v>0</v>
      </c>
      <c r="Q189" s="191">
        <f t="shared" si="40"/>
        <v>0</v>
      </c>
    </row>
    <row r="190" spans="3:17" ht="14.25" x14ac:dyDescent="0.2">
      <c r="C190" s="2397" t="s">
        <v>483</v>
      </c>
      <c r="D190" s="2278"/>
      <c r="E190" s="2283"/>
      <c r="F190" s="2292"/>
      <c r="G190" s="2683"/>
      <c r="H190" s="2684"/>
      <c r="I190" s="2717"/>
      <c r="J190" s="191">
        <f t="shared" si="41"/>
        <v>0</v>
      </c>
      <c r="K190" s="347">
        <f t="shared" si="42"/>
        <v>0</v>
      </c>
    </row>
    <row r="191" spans="3:17" x14ac:dyDescent="0.2">
      <c r="C191" s="2378" t="s">
        <v>80</v>
      </c>
      <c r="D191" s="2278">
        <f>(HLOOKUP($B$4,'11 CWM Canada'!$11:$119,ROW('11 CWM Canada'!$A$59)-10,0))</f>
        <v>44846</v>
      </c>
      <c r="E191" s="2283">
        <f>(HLOOKUP($B$5,'11 CWM Canada'!$11:$119,ROW('11 CWM Canada'!$A$59)-10,0))</f>
        <v>38588</v>
      </c>
      <c r="F191" s="2292">
        <f>IF(OR(((D191-E191)/E191)&gt;3,((D191-E191)/E191)&lt;-3),"n.m.",((D191-E191)/E191))</f>
        <v>0.16217476935834974</v>
      </c>
      <c r="G191" s="2683">
        <f>INDEX('11 CWM Canada'!$A$1:$CE$89,ROW('11 CWM Canada'!$A59),COLUMN('11 CWM Canada'!$BH$1))</f>
        <v>166828</v>
      </c>
      <c r="H191" s="2684">
        <f>INDEX('11 CWM Canada'!$A$1:$CE$89,ROW('11 CWM Canada'!$A59),COLUMN('11 CWM Canada'!$BI$1))</f>
        <v>134492</v>
      </c>
      <c r="I191" s="2714">
        <f>IF(OR(((G191-H191)/H191)&gt;3,((G191-H191)/H191)&lt;-3),"n.m.",((G191-H191)/H191))</f>
        <v>0.2404306575855813</v>
      </c>
      <c r="J191" s="191">
        <f t="shared" si="41"/>
        <v>6258</v>
      </c>
      <c r="K191" s="347">
        <f t="shared" si="42"/>
        <v>32336</v>
      </c>
      <c r="P191" s="191">
        <f>IF((D191-E191)*F191&lt;0,"Reverse Sign",)</f>
        <v>0</v>
      </c>
      <c r="Q191" s="191">
        <f>IF((G191-H191)*I191&lt;0,"Reverse Sign",)</f>
        <v>0</v>
      </c>
    </row>
    <row r="192" spans="3:17" ht="13.5" x14ac:dyDescent="0.2">
      <c r="C192" s="2378" t="s">
        <v>478</v>
      </c>
      <c r="D192" s="2278">
        <f>D181</f>
        <v>3712</v>
      </c>
      <c r="E192" s="2283">
        <f>E181</f>
        <v>3043</v>
      </c>
      <c r="F192" s="2292">
        <f>IF(OR(((D192-E192)/E192)&gt;3,((D192-E192)/E192)&lt;-3),"n.m.",((D192-E192)/E192))</f>
        <v>0.21984883338810385</v>
      </c>
      <c r="G192" s="2683">
        <f>G181</f>
        <v>13152</v>
      </c>
      <c r="H192" s="2684">
        <f>H181</f>
        <v>14200</v>
      </c>
      <c r="I192" s="2714">
        <f>IF(OR(((G192-H192)/H192)&gt;3,((G192-H192)/H192)&lt;-3),"n.m.",((G192-H192)/H192))</f>
        <v>-7.3802816901408455E-2</v>
      </c>
      <c r="J192" s="191">
        <f t="shared" si="41"/>
        <v>669</v>
      </c>
      <c r="K192" s="347">
        <f t="shared" si="42"/>
        <v>-1048</v>
      </c>
      <c r="P192" s="191">
        <f>IF((D192-E192)*F192&lt;0,"Reverse Sign",)</f>
        <v>0</v>
      </c>
      <c r="Q192" s="191">
        <f>IF((G192-H192)*I192&lt;0,"Reverse Sign",)</f>
        <v>0</v>
      </c>
    </row>
    <row r="193" spans="3:17" ht="14.25" thickBot="1" x14ac:dyDescent="0.25">
      <c r="C193" s="2384" t="s">
        <v>484</v>
      </c>
      <c r="D193" s="2257">
        <f>(HLOOKUP($B$4,'11 CWM Canada'!$11:$119,ROW('11 CWM Canada'!$A$61)-10,0))</f>
        <v>9260</v>
      </c>
      <c r="E193" s="2258">
        <f>(HLOOKUP($B$5,'11 CWM Canada'!$11:$119,ROW('11 CWM Canada'!$A$61)-10,0))</f>
        <v>5158</v>
      </c>
      <c r="F193" s="2296">
        <f>IF(OR(((D193-E193)/E193)&gt;3,((D193-E193)/E193)&lt;-3),"n.m.",((D193-E193)/E193))</f>
        <v>0.79526948429623889</v>
      </c>
      <c r="G193" s="2359">
        <f>INDEX('11 CWM Canada'!$A$1:$CE$89,ROW('11 CWM Canada'!$A61),COLUMN('11 CWM Canada'!$BH$1))</f>
        <v>26846</v>
      </c>
      <c r="H193" s="2666">
        <f>INDEX('11 CWM Canada'!$A$1:$CE$89,ROW('11 CWM Canada'!$A61),COLUMN('11 CWM Canada'!$BI$1))</f>
        <v>20190</v>
      </c>
      <c r="I193" s="2716">
        <f>IF(OR(((G193-H193)/H193)&gt;3,((G193-H193)/H193)&lt;-3),"n.m.",((G193-H193)/H193))</f>
        <v>0.3296681525507677</v>
      </c>
      <c r="J193" s="191">
        <f t="shared" si="41"/>
        <v>4102</v>
      </c>
      <c r="K193" s="347">
        <f t="shared" si="42"/>
        <v>6656</v>
      </c>
      <c r="P193" s="191">
        <f>IF((D193-E193)*F193&lt;0,"Reverse Sign",)</f>
        <v>0</v>
      </c>
      <c r="Q193" s="191">
        <f>IF((G193-H193)*I193&lt;0,"Reverse Sign",)</f>
        <v>0</v>
      </c>
    </row>
    <row r="194" spans="3:17" x14ac:dyDescent="0.2">
      <c r="G194" s="2652"/>
      <c r="H194" s="2652"/>
      <c r="I194" s="2652"/>
    </row>
    <row r="195" spans="3:17" x14ac:dyDescent="0.2">
      <c r="G195" s="2652"/>
      <c r="H195" s="2652"/>
      <c r="I195" s="2652"/>
    </row>
    <row r="196" spans="3:17" ht="15" x14ac:dyDescent="0.2">
      <c r="C196" s="2391"/>
      <c r="D196" s="2356"/>
      <c r="E196" s="2356"/>
      <c r="F196" s="2356"/>
      <c r="G196" s="2679"/>
      <c r="H196" s="2679"/>
      <c r="I196" s="2679"/>
    </row>
    <row r="197" spans="3:17" ht="17.25" thickBot="1" x14ac:dyDescent="0.25">
      <c r="C197" s="2581" t="s">
        <v>576</v>
      </c>
      <c r="D197" s="2356"/>
      <c r="E197" s="2356"/>
      <c r="F197" s="2356"/>
      <c r="G197" s="2679"/>
      <c r="H197" s="2679"/>
      <c r="I197" s="2679"/>
    </row>
    <row r="198" spans="3:17" ht="12.75" customHeight="1" x14ac:dyDescent="0.2">
      <c r="C198" s="3144" t="s">
        <v>491</v>
      </c>
      <c r="D198" s="2409"/>
      <c r="E198" s="2410"/>
      <c r="F198" s="3110" t="s">
        <v>406</v>
      </c>
      <c r="G198" s="2718"/>
      <c r="H198" s="2719"/>
      <c r="I198" s="3147" t="s">
        <v>452</v>
      </c>
    </row>
    <row r="199" spans="3:17" ht="24.75" customHeight="1" x14ac:dyDescent="0.2">
      <c r="C199" s="3145"/>
      <c r="D199" s="3088" t="str">
        <f>D173</f>
        <v>Three months ended June 30</v>
      </c>
      <c r="E199" s="3088"/>
      <c r="F199" s="3111"/>
      <c r="G199" s="3107" t="str">
        <f>G173</f>
        <v>Twelve months ended March 31</v>
      </c>
      <c r="H199" s="3107"/>
      <c r="I199" s="3148"/>
    </row>
    <row r="200" spans="3:17" ht="13.5" thickBot="1" x14ac:dyDescent="0.25">
      <c r="C200" s="3146"/>
      <c r="D200" s="2411">
        <f>D174</f>
        <v>2018</v>
      </c>
      <c r="E200" s="2411">
        <f>E174</f>
        <v>2017</v>
      </c>
      <c r="F200" s="3112"/>
      <c r="G200" s="2706">
        <f>G174</f>
        <v>2018</v>
      </c>
      <c r="H200" s="2706">
        <f>H174</f>
        <v>2017</v>
      </c>
      <c r="I200" s="3149"/>
    </row>
    <row r="201" spans="3:17" x14ac:dyDescent="0.2">
      <c r="C201" s="2378" t="s">
        <v>4</v>
      </c>
      <c r="D201" s="2278">
        <f>(HLOOKUP($B$4,'12 CWM UK and Europe'!$11:$123,ROW('12 CWM UK and Europe'!$A$15)-10,0))</f>
        <v>71923</v>
      </c>
      <c r="E201" s="2684">
        <f>(HLOOKUP($B$5,'12 CWM UK and Europe'!$11:$123,ROW('12 CWM UK and Europe'!$A$15)-10,0))</f>
        <v>65787</v>
      </c>
      <c r="F201" s="2291">
        <f>IF(OR(((D201-E201)/E201)&gt;3,((D201-E201)/E201)&lt;-3),"n.m.",((D201-E201)/E201))</f>
        <v>9.3270706978582391E-2</v>
      </c>
      <c r="G201" s="2683">
        <f>INDEX('12 CWM UK and Europe'!$A$1:$CE$93,ROW('12 CWM UK and Europe'!$A15),COLUMN('12 CWM UK and Europe'!$BH$1))</f>
        <v>254985</v>
      </c>
      <c r="H201" s="2684">
        <f>INDEX('12 CWM UK and Europe'!$A$1:$CE$93,ROW('12 CWM UK and Europe'!$A15),COLUMN('12 CWM UK and Europe'!$BI$1))</f>
        <v>201383</v>
      </c>
      <c r="I201" s="2714">
        <f>IF(OR(((G201-H201)/H201)&gt;3,((G201-H201)/H201)&lt;-3),"n.m.",((G201-H201)/H201))</f>
        <v>0.26616943833392093</v>
      </c>
      <c r="J201" s="191">
        <f>D201-E201</f>
        <v>6136</v>
      </c>
      <c r="K201" s="191">
        <f>G201-H201</f>
        <v>53602</v>
      </c>
      <c r="P201" s="191">
        <f>IF((D201-E201)*F201&lt;0,"Reverse Sign",)</f>
        <v>0</v>
      </c>
      <c r="Q201" s="191">
        <f>IF((G201-H201)*I201&lt;0,"Reverse Sign",)</f>
        <v>0</v>
      </c>
    </row>
    <row r="202" spans="3:17" x14ac:dyDescent="0.2">
      <c r="C202" s="2378" t="s">
        <v>5</v>
      </c>
      <c r="D202" s="2278"/>
      <c r="E202" s="2684"/>
      <c r="F202" s="2291"/>
      <c r="G202" s="2683"/>
      <c r="H202" s="2684"/>
      <c r="I202" s="2714"/>
      <c r="J202" s="191">
        <f t="shared" ref="J202:J219" si="45">D202-E202</f>
        <v>0</v>
      </c>
      <c r="K202" s="191">
        <f t="shared" ref="K202:K219" si="46">G202-H202</f>
        <v>0</v>
      </c>
    </row>
    <row r="203" spans="3:17" x14ac:dyDescent="0.2">
      <c r="C203" s="2378" t="s">
        <v>475</v>
      </c>
      <c r="D203" s="2278">
        <f>(HLOOKUP($B$4,'12 CWM UK and Europe'!$11:$123,ROW('12 CWM UK and Europe'!$A$19)-10,0))</f>
        <v>27341</v>
      </c>
      <c r="E203" s="2684">
        <f>(HLOOKUP($B$5,'12 CWM UK and Europe'!$11:$123,ROW('12 CWM UK and Europe'!$A$19)-10,0))</f>
        <v>25895</v>
      </c>
      <c r="F203" s="2291">
        <f t="shared" ref="F203:F210" si="47">IF(OR(((D203-E203)/E203)&gt;3,((D203-E203)/E203)&lt;-3),"n.m.",((D203-E203)/E203))</f>
        <v>5.5840895925854415E-2</v>
      </c>
      <c r="G203" s="2683">
        <f>INDEX('12 CWM UK and Europe'!$A$1:$CE$93,ROW('12 CWM UK and Europe'!$A19),COLUMN('12 CWM UK and Europe'!$BH$1))</f>
        <v>96005</v>
      </c>
      <c r="H203" s="2684">
        <f>INDEX('12 CWM UK and Europe'!$A$1:$CE$93,ROW('12 CWM UK and Europe'!$A19),COLUMN('12 CWM UK and Europe'!$BI$1))</f>
        <v>77303</v>
      </c>
      <c r="I203" s="2714">
        <f>IF(OR(((G203-H203)/H203)&gt;3,((G203-H203)/H203)&lt;-3),"n.m.",((G203-H203)/H203))</f>
        <v>0.24193110228581038</v>
      </c>
      <c r="J203" s="191">
        <f t="shared" si="45"/>
        <v>1446</v>
      </c>
      <c r="K203" s="191">
        <f t="shared" si="46"/>
        <v>18702</v>
      </c>
      <c r="P203" s="191">
        <f>IF((D203-E203)*F203&lt;0,"Reverse Sign",)</f>
        <v>0</v>
      </c>
      <c r="Q203" s="191">
        <f>IF((G203-H203)*I203&lt;0,"Reverse Sign",)</f>
        <v>0</v>
      </c>
    </row>
    <row r="204" spans="3:17" x14ac:dyDescent="0.2">
      <c r="C204" s="2378" t="s">
        <v>476</v>
      </c>
      <c r="D204" s="2278">
        <f>(HLOOKUP($B$4,'12 CWM UK and Europe'!$11:$123,ROW('12 CWM UK and Europe'!$A$20)-10,0))</f>
        <v>11870</v>
      </c>
      <c r="E204" s="2684">
        <f>(HLOOKUP($B$5,'12 CWM UK and Europe'!$11:$123,ROW('12 CWM UK and Europe'!$A$20)-10,0))</f>
        <v>12047</v>
      </c>
      <c r="F204" s="2291">
        <f t="shared" si="47"/>
        <v>-1.4692454553000747E-2</v>
      </c>
      <c r="G204" s="2683">
        <f>INDEX('12 CWM UK and Europe'!$A$1:$CE$93,ROW('12 CWM UK and Europe'!$A20),COLUMN('12 CWM UK and Europe'!$BH$1))</f>
        <v>48822</v>
      </c>
      <c r="H204" s="2684">
        <f>INDEX('12 CWM UK and Europe'!$A$1:$CE$93,ROW('12 CWM UK and Europe'!$A20),COLUMN('12 CWM UK and Europe'!$BI$1))</f>
        <v>36214</v>
      </c>
      <c r="I204" s="2714">
        <f>IF(OR(((G204-H204)/H204)&gt;3,((G204-H204)/H204)&lt;-3),"n.m.",((G204-H204)/H204))</f>
        <v>0.34815264814712543</v>
      </c>
      <c r="J204" s="191">
        <f t="shared" si="45"/>
        <v>-177</v>
      </c>
      <c r="K204" s="191">
        <f t="shared" si="46"/>
        <v>12608</v>
      </c>
      <c r="P204" s="191">
        <f>IF((D204-E204)*F204&lt;0,"Reverse Sign",)</f>
        <v>0</v>
      </c>
      <c r="Q204" s="191">
        <f>IF((G204-H204)*I204&lt;0,"Reverse Sign",)</f>
        <v>0</v>
      </c>
    </row>
    <row r="205" spans="3:17" x14ac:dyDescent="0.2">
      <c r="C205" s="2382" t="s">
        <v>477</v>
      </c>
      <c r="D205" s="2278">
        <f>D208-SUM(D203:D204)-SUM(D206:D207)</f>
        <v>22577</v>
      </c>
      <c r="E205" s="2684">
        <f>E208-SUM(E203:E204)-SUM(E206:E207)</f>
        <v>18393</v>
      </c>
      <c r="F205" s="2291">
        <f t="shared" si="47"/>
        <v>0.22747784483227315</v>
      </c>
      <c r="G205" s="2683">
        <f>G208-SUM(G203:G204)-SUM(G206:G207)</f>
        <v>75998</v>
      </c>
      <c r="H205" s="2684">
        <f>H208-SUM(H203:H204)-SUM(H206:H207)</f>
        <v>62389</v>
      </c>
      <c r="I205" s="2714">
        <f>IF(OR(((G205-H205)/H205)&gt;3,((G205-H205)/H205)&lt;-3),"n.m.",((G205-H205)/H205))</f>
        <v>0.21813140136883105</v>
      </c>
      <c r="J205" s="191">
        <f t="shared" si="45"/>
        <v>4184</v>
      </c>
      <c r="K205" s="191">
        <f t="shared" si="46"/>
        <v>13609</v>
      </c>
      <c r="P205" s="191">
        <f>IF((D205-E205)*F205&lt;0,"Reverse Sign",)</f>
        <v>0</v>
      </c>
      <c r="Q205" s="191">
        <f>IF((G205-H205)*I205&lt;0,"Reverse Sign",)</f>
        <v>0</v>
      </c>
    </row>
    <row r="206" spans="3:17" x14ac:dyDescent="0.2">
      <c r="C206" s="2382" t="s">
        <v>485</v>
      </c>
      <c r="D206" s="2413">
        <f>(HLOOKUP($B$4,'12 CWM UK and Europe'!$11:$123,ROW('12 CWM UK and Europe'!$A$30)-10,0))</f>
        <v>0</v>
      </c>
      <c r="E206" s="2684">
        <f>(HLOOKUP($B$5,'12 CWM UK and Europe'!$11:$123,ROW('12 CWM UK and Europe'!$A$30)-10,0))</f>
        <v>0</v>
      </c>
      <c r="F206" s="2414" t="e">
        <f t="shared" si="47"/>
        <v>#DIV/0!</v>
      </c>
      <c r="G206" s="2683">
        <f>INDEX('12 CWM UK and Europe'!$A$1:$CE$93,ROW('12 CWM UK and Europe'!$A30),COLUMN('12 CWM UK and Europe'!$BH$1))</f>
        <v>0</v>
      </c>
      <c r="H206" s="2684">
        <f>INDEX('12 CWM UK and Europe'!$A$1:$CE$93,ROW('12 CWM UK and Europe'!$A30),COLUMN('12 CWM UK and Europe'!$BI$1))</f>
        <v>2939</v>
      </c>
      <c r="I206" s="2714">
        <f>IF(OR(((G206-H206)/H206)&gt;3,((G206-H206)/H206)&lt;-3),"n.m.",((G206-H206)/H206))</f>
        <v>-1</v>
      </c>
      <c r="J206" s="191">
        <f t="shared" si="45"/>
        <v>0</v>
      </c>
      <c r="K206" s="191">
        <f t="shared" si="46"/>
        <v>-2939</v>
      </c>
    </row>
    <row r="207" spans="3:17" ht="13.5" thickBot="1" x14ac:dyDescent="0.25">
      <c r="C207" s="2382" t="s">
        <v>527</v>
      </c>
      <c r="D207" s="2300">
        <f>(HLOOKUP($B$4,'12 CWM UK and Europe'!$11:$123,ROW('12 CWM UK and Europe'!$A$31)-10,0))</f>
        <v>335</v>
      </c>
      <c r="E207" s="2666">
        <f>(HLOOKUP($B$5,'12 CWM UK and Europe'!$11:$123,ROW('12 CWM UK and Europe'!$A$31)-10,0))</f>
        <v>0</v>
      </c>
      <c r="F207" s="2296"/>
      <c r="G207" s="2359">
        <f>INDEX('12 CWM UK and Europe'!$A$1:$CE$93,ROW('12 CWM UK and Europe'!$A31),COLUMN('12 CWM UK and Europe'!$BH$1))</f>
        <v>1088</v>
      </c>
      <c r="H207" s="2666">
        <f>INDEX('12 CWM UK and Europe'!$A$1:$CE$93,ROW('12 CWM UK and Europe'!$A31),COLUMN('12 CWM UK and Europe'!$BI$1))</f>
        <v>6732</v>
      </c>
      <c r="I207" s="2716"/>
      <c r="J207" s="191">
        <f t="shared" si="45"/>
        <v>335</v>
      </c>
      <c r="K207" s="191">
        <f t="shared" si="46"/>
        <v>-5644</v>
      </c>
    </row>
    <row r="208" spans="3:17" x14ac:dyDescent="0.2">
      <c r="C208" s="2383" t="s">
        <v>80</v>
      </c>
      <c r="D208" s="2278">
        <f>(HLOOKUP($B$4,'12 CWM UK and Europe'!$11:$123,ROW('12 CWM UK and Europe'!$A$34)-10,0))</f>
        <v>62123</v>
      </c>
      <c r="E208" s="2684">
        <f>(HLOOKUP($B$5,'12 CWM UK and Europe'!$11:$123,ROW('12 CWM UK and Europe'!$A$34)-10,0))</f>
        <v>56335</v>
      </c>
      <c r="F208" s="2291">
        <f t="shared" si="47"/>
        <v>0.10274252241057957</v>
      </c>
      <c r="G208" s="2683">
        <f>INDEX('12 CWM UK and Europe'!$A$1:$CE$93,ROW('12 CWM UK and Europe'!$A34),COLUMN('12 CWM UK and Europe'!$BH$1))</f>
        <v>221913</v>
      </c>
      <c r="H208" s="2684">
        <f>INDEX('12 CWM UK and Europe'!$A$1:$CE$93,ROW('12 CWM UK and Europe'!$A34),COLUMN('12 CWM UK and Europe'!$BI$1))</f>
        <v>185577</v>
      </c>
      <c r="I208" s="2714">
        <f>IF(OR(((G208-H208)/H208)&gt;3,((G208-H208)/H208)&lt;-3),"n.m.",((G208-H208)/H208))</f>
        <v>0.19580012609321198</v>
      </c>
      <c r="J208" s="191">
        <f t="shared" si="45"/>
        <v>5788</v>
      </c>
      <c r="K208" s="191">
        <f t="shared" si="46"/>
        <v>36336</v>
      </c>
      <c r="P208" s="191">
        <f>IF((D208-E208)*F208&lt;0,"Reverse Sign",)</f>
        <v>0</v>
      </c>
      <c r="Q208" s="191">
        <f>IF((G208-H208)*I208&lt;0,"Reverse Sign",)</f>
        <v>0</v>
      </c>
    </row>
    <row r="209" spans="3:17" ht="13.5" x14ac:dyDescent="0.2">
      <c r="C209" s="2378" t="s">
        <v>478</v>
      </c>
      <c r="D209" s="2278">
        <f>(HLOOKUP($B$4,'12 CWM UK and Europe'!$11:$123,ROW('12 CWM UK and Europe'!$A$36)-10,0))</f>
        <v>301</v>
      </c>
      <c r="E209" s="2684">
        <f>(HLOOKUP($B$5,'12 CWM UK and Europe'!$11:$123,ROW('12 CWM UK and Europe'!$A$36)-10,0))</f>
        <v>304</v>
      </c>
      <c r="F209" s="2291">
        <f t="shared" si="47"/>
        <v>-9.8684210526315784E-3</v>
      </c>
      <c r="G209" s="2683">
        <f>INDEX('12 CWM UK and Europe'!$A$1:$CE$93,ROW('12 CWM UK and Europe'!$A36),COLUMN('12 CWM UK and Europe'!$BH$1))</f>
        <v>1315</v>
      </c>
      <c r="H209" s="2684">
        <f>INDEX('12 CWM UK and Europe'!$A$1:$CE$93,ROW('12 CWM UK and Europe'!$A36),COLUMN('12 CWM UK and Europe'!$BI$1))</f>
        <v>1329</v>
      </c>
      <c r="I209" s="2714">
        <f>IF(OR(((G209-H209)/H209)&gt;3,((G209-H209)/H209)&lt;-3),"n.m.",((G209-H209)/H209))</f>
        <v>-1.0534236267870579E-2</v>
      </c>
      <c r="J209" s="191">
        <f t="shared" si="45"/>
        <v>-3</v>
      </c>
      <c r="K209" s="191">
        <f t="shared" si="46"/>
        <v>-14</v>
      </c>
      <c r="P209" s="191">
        <f>IF((D209-E209)*F209&lt;0,"Reverse Sign",)</f>
        <v>0</v>
      </c>
      <c r="Q209" s="191">
        <f>IF((G209-H209)*I209&lt;0,"Reverse Sign",)</f>
        <v>0</v>
      </c>
    </row>
    <row r="210" spans="3:17" ht="13.5" x14ac:dyDescent="0.2">
      <c r="C210" s="2378" t="s">
        <v>492</v>
      </c>
      <c r="D210" s="2278">
        <f>(HLOOKUP($B$4,'12 CWM UK and Europe'!$11:$123,ROW('12 CWM UK and Europe'!$A$37)-10,0))</f>
        <v>9499</v>
      </c>
      <c r="E210" s="2684">
        <f>(HLOOKUP($B$5,'12 CWM UK and Europe'!$11:$123,ROW('12 CWM UK and Europe'!$A$37)-10,0))</f>
        <v>9148</v>
      </c>
      <c r="F210" s="2291">
        <f t="shared" si="47"/>
        <v>3.8369042413642328E-2</v>
      </c>
      <c r="G210" s="2683">
        <f>INDEX('12 CWM UK and Europe'!$A$1:$CE$93,ROW('12 CWM UK and Europe'!$A37),COLUMN('12 CWM UK and Europe'!$BH$1))</f>
        <v>31757</v>
      </c>
      <c r="H210" s="2684">
        <f>INDEX('12 CWM UK and Europe'!$A$1:$CE$93,ROW('12 CWM UK and Europe'!$A37),COLUMN('12 CWM UK and Europe'!$BI$1))</f>
        <v>14477</v>
      </c>
      <c r="I210" s="2714">
        <f>IF(OR(((G210-H210)/H210)&gt;3,((G210-H210)/H210)&lt;-3),"n.m.",((G210-H210)/H210))</f>
        <v>1.1936174621813911</v>
      </c>
      <c r="J210" s="191">
        <f t="shared" si="45"/>
        <v>351</v>
      </c>
      <c r="K210" s="191">
        <f t="shared" si="46"/>
        <v>17280</v>
      </c>
      <c r="P210" s="191">
        <f>IF((D210-E210)*F210&lt;0,"Reverse Sign",)</f>
        <v>0</v>
      </c>
      <c r="Q210" s="191">
        <f>IF((G210-H210)*I210&lt;0,"Reverse Sign",)</f>
        <v>0</v>
      </c>
    </row>
    <row r="211" spans="3:17" x14ac:dyDescent="0.2">
      <c r="C211" s="2378"/>
      <c r="D211" s="2278"/>
      <c r="E211" s="2684"/>
      <c r="F211" s="2291"/>
      <c r="G211" s="2683"/>
      <c r="H211" s="2684"/>
      <c r="I211" s="2714"/>
      <c r="J211" s="191">
        <f t="shared" si="45"/>
        <v>0</v>
      </c>
      <c r="K211" s="191">
        <f t="shared" si="46"/>
        <v>0</v>
      </c>
    </row>
    <row r="212" spans="3:17" ht="13.5" x14ac:dyDescent="0.2">
      <c r="C212" s="2378" t="s">
        <v>493</v>
      </c>
      <c r="D212" s="2278">
        <f>(HLOOKUP($B$4,'12 CWM UK and Europe'!$11:$123,ROW('12 CWM UK and Europe'!$A$46)-10,0))</f>
        <v>45574</v>
      </c>
      <c r="E212" s="2684">
        <f>(HLOOKUP($B$5,'12 CWM UK and Europe'!$11:$123,ROW('12 CWM UK and Europe'!$A$46)-10,0))</f>
        <v>46434</v>
      </c>
      <c r="F212" s="2291">
        <f>IF(OR(((D212-E212)/E212)&gt;3,((D212-E212)/E212)&lt;-3),"n.m.",((D212-E212)/E212))</f>
        <v>-1.8520911401128482E-2</v>
      </c>
      <c r="G212" s="2683"/>
      <c r="H212" s="2684"/>
      <c r="I212" s="2714"/>
      <c r="J212" s="191">
        <f t="shared" si="45"/>
        <v>-860</v>
      </c>
      <c r="K212" s="191">
        <f t="shared" si="46"/>
        <v>0</v>
      </c>
    </row>
    <row r="213" spans="3:17" x14ac:dyDescent="0.2">
      <c r="C213" s="2388" t="s">
        <v>494</v>
      </c>
      <c r="D213" s="2278">
        <f>(HLOOKUP($B$4,'12 CWM UK and Europe'!$11:$123,ROW('12 CWM UK and Europe'!$A$49)-10,0))</f>
        <v>218</v>
      </c>
      <c r="E213" s="2684">
        <f>(HLOOKUP($B$5,'12 CWM UK and Europe'!$11:$123,ROW('12 CWM UK and Europe'!$A$49)-10,0))</f>
        <v>190</v>
      </c>
      <c r="F213" s="2291">
        <f>IF(OR(((D213-E213)/E213)&gt;3,((D213-E213)/E213)&lt;-3),"n.m.",((D213-E213)/E213))</f>
        <v>0.14736842105263157</v>
      </c>
      <c r="G213" s="2683"/>
      <c r="H213" s="2684"/>
      <c r="I213" s="2714"/>
      <c r="J213" s="191">
        <f t="shared" si="45"/>
        <v>28</v>
      </c>
      <c r="K213" s="191">
        <f t="shared" si="46"/>
        <v>0</v>
      </c>
    </row>
    <row r="214" spans="3:17" x14ac:dyDescent="0.2">
      <c r="C214" s="2378" t="s">
        <v>89</v>
      </c>
      <c r="D214" s="2278">
        <f>(HLOOKUP($B$4,'12 CWM UK and Europe'!$11:$123,ROW('12 CWM UK and Europe'!$A$48)-10,0))</f>
        <v>593</v>
      </c>
      <c r="E214" s="2684">
        <f>(HLOOKUP($B$5,'12 CWM UK and Europe'!$11:$123,ROW('12 CWM UK and Europe'!$A$48)-10,0))</f>
        <v>559</v>
      </c>
      <c r="F214" s="2291">
        <f>IF(OR(((D214-E214)/E214)&gt;3,((D214-E214)/E214)&lt;-3),"n.m.",((D214-E214)/E214))</f>
        <v>6.0822898032200361E-2</v>
      </c>
      <c r="G214" s="2683"/>
      <c r="H214" s="2684"/>
      <c r="I214" s="2714"/>
      <c r="J214" s="191">
        <f t="shared" si="45"/>
        <v>34</v>
      </c>
      <c r="K214" s="191">
        <f t="shared" si="46"/>
        <v>0</v>
      </c>
    </row>
    <row r="215" spans="3:17" ht="13.5" thickBot="1" x14ac:dyDescent="0.25">
      <c r="C215" s="2384"/>
      <c r="D215" s="2257"/>
      <c r="E215" s="2666"/>
      <c r="F215" s="2301"/>
      <c r="G215" s="2359"/>
      <c r="H215" s="2666"/>
      <c r="I215" s="2716"/>
      <c r="J215" s="191">
        <f t="shared" si="45"/>
        <v>0</v>
      </c>
      <c r="K215" s="191">
        <f t="shared" si="46"/>
        <v>0</v>
      </c>
    </row>
    <row r="216" spans="3:17" ht="14.25" x14ac:dyDescent="0.2">
      <c r="C216" s="2397" t="s">
        <v>468</v>
      </c>
      <c r="D216" s="2278"/>
      <c r="E216" s="2684"/>
      <c r="F216" s="2291"/>
      <c r="G216" s="2683"/>
      <c r="H216" s="2684"/>
      <c r="I216" s="2714"/>
      <c r="J216" s="191">
        <f t="shared" si="45"/>
        <v>0</v>
      </c>
      <c r="K216" s="191">
        <f t="shared" si="46"/>
        <v>0</v>
      </c>
    </row>
    <row r="217" spans="3:17" x14ac:dyDescent="0.2">
      <c r="C217" s="2378" t="s">
        <v>80</v>
      </c>
      <c r="D217" s="2278">
        <f>(HLOOKUP($B$4,'12 CWM UK and Europe'!$11:$123,ROW('12 CWM UK and Europe'!$A$56)-10,0))</f>
        <v>57593</v>
      </c>
      <c r="E217" s="2684">
        <f>(HLOOKUP($B$5,'12 CWM UK and Europe'!$11:$123,ROW('12 CWM UK and Europe'!$A$56)-10,0))</f>
        <v>51936</v>
      </c>
      <c r="F217" s="2291">
        <f>IF(OR(((D217-E217)/E217)&gt;3,((D217-E217)/E217)&lt;-3),"n.m.",((D217-E217)/E217))</f>
        <v>0.10892252002464571</v>
      </c>
      <c r="G217" s="2683">
        <f>INDEX('12 CWM UK and Europe'!$A$1:$CE$93,ROW('12 CWM UK and Europe'!$A56),COLUMN('12 CWM UK and Europe'!$BH$1))</f>
        <v>205133</v>
      </c>
      <c r="H217" s="2684">
        <f>INDEX('12 CWM UK and Europe'!$A$1:$CE$93,ROW('12 CWM UK and Europe'!$A56),COLUMN('12 CWM UK and Europe'!$BI$1))</f>
        <v>162702</v>
      </c>
      <c r="I217" s="2714">
        <f>IF(OR(((G217-H217)/H217)&gt;3,((G217-H217)/H217)&lt;-3),"n.m.",((G217-H217)/H217))</f>
        <v>0.2607896645400794</v>
      </c>
      <c r="J217" s="191">
        <f t="shared" si="45"/>
        <v>5657</v>
      </c>
      <c r="K217" s="191">
        <f t="shared" si="46"/>
        <v>42431</v>
      </c>
      <c r="P217" s="191">
        <f>IF((D217-E217)*F217&lt;0,"Reverse Sign",)</f>
        <v>0</v>
      </c>
      <c r="Q217" s="191">
        <f>IF((G217-H217)*I217&lt;0,"Reverse Sign",)</f>
        <v>0</v>
      </c>
    </row>
    <row r="218" spans="3:17" ht="13.5" x14ac:dyDescent="0.2">
      <c r="C218" s="2378" t="s">
        <v>478</v>
      </c>
      <c r="D218" s="2278">
        <f>D209</f>
        <v>301</v>
      </c>
      <c r="E218" s="2684">
        <f>E209</f>
        <v>304</v>
      </c>
      <c r="F218" s="2291">
        <f>IF(OR(((D218-E218)/E218)&gt;3,((D218-E218)/E218)&lt;-3),"n.m.",((D218-E218)/E218))</f>
        <v>-9.8684210526315784E-3</v>
      </c>
      <c r="G218" s="2683">
        <f>G209</f>
        <v>1315</v>
      </c>
      <c r="H218" s="2684">
        <f>H209</f>
        <v>1329</v>
      </c>
      <c r="I218" s="2714">
        <f>IF(OR(((G218-H218)/H218)&gt;3,((G218-H218)/H218)&lt;-3),"n.m.",((G218-H218)/H218))</f>
        <v>-1.0534236267870579E-2</v>
      </c>
      <c r="J218" s="191">
        <f t="shared" si="45"/>
        <v>-3</v>
      </c>
      <c r="K218" s="191">
        <f t="shared" si="46"/>
        <v>-14</v>
      </c>
      <c r="P218" s="191">
        <f>IF((D218-E218)*F218&lt;0,"Reverse Sign",)</f>
        <v>0</v>
      </c>
      <c r="Q218" s="191">
        <f>IF((G218-H218)*I218&lt;0,"Reverse Sign",)</f>
        <v>0</v>
      </c>
    </row>
    <row r="219" spans="3:17" ht="14.25" thickBot="1" x14ac:dyDescent="0.25">
      <c r="C219" s="2384" t="s">
        <v>495</v>
      </c>
      <c r="D219" s="2257">
        <f>(HLOOKUP($B$4,'12 CWM UK and Europe'!$11:$123,ROW('12 CWM UK and Europe'!$A$58)-10,0))</f>
        <v>14029</v>
      </c>
      <c r="E219" s="2666">
        <f>(HLOOKUP($B$5,'12 CWM UK and Europe'!$11:$123,ROW('12 CWM UK and Europe'!$A$58)-10,0))</f>
        <v>13547</v>
      </c>
      <c r="F219" s="2301">
        <f>IF(OR(((D219-E219)/E219)&gt;3,((D219-E219)/E219)&lt;-3),"n.m.",((D219-E219)/E219))</f>
        <v>3.5579833173396323E-2</v>
      </c>
      <c r="G219" s="2359">
        <f>INDEX('12 CWM UK and Europe'!$A$1:$CE$93,ROW('12 CWM UK and Europe'!$A58),COLUMN('12 CWM UK and Europe'!$BH$1))</f>
        <v>48537</v>
      </c>
      <c r="H219" s="2666">
        <f>INDEX('12 CWM UK and Europe'!$A$1:$CE$93,ROW('12 CWM UK and Europe'!$A58),COLUMN('12 CWM UK and Europe'!$BI$1))</f>
        <v>37352</v>
      </c>
      <c r="I219" s="2716">
        <f>IF(OR(((G219-H219)/H219)&gt;3,((G219-H219)/H219)&lt;-3),"n.m.",((G219-H219)/H219))</f>
        <v>0.29944849004069396</v>
      </c>
      <c r="J219" s="191">
        <f t="shared" si="45"/>
        <v>482</v>
      </c>
      <c r="K219" s="191">
        <f t="shared" si="46"/>
        <v>11185</v>
      </c>
      <c r="P219" s="191">
        <f>IF((D219-E219)*F219&lt;0,"Reverse Sign",)</f>
        <v>0</v>
      </c>
      <c r="Q219" s="191">
        <f>IF((G219-H219)*I219&lt;0,"Reverse Sign",)</f>
        <v>0</v>
      </c>
    </row>
    <row r="220" spans="3:17" x14ac:dyDescent="0.2">
      <c r="G220" s="2652"/>
      <c r="H220" s="2652"/>
      <c r="I220" s="2652"/>
    </row>
    <row r="221" spans="3:17" x14ac:dyDescent="0.2">
      <c r="G221" s="2652"/>
      <c r="H221" s="2652"/>
      <c r="I221" s="2652"/>
    </row>
    <row r="222" spans="3:17" x14ac:dyDescent="0.2">
      <c r="G222" s="2652"/>
      <c r="H222" s="2652"/>
      <c r="I222" s="2652"/>
    </row>
    <row r="223" spans="3:17" ht="16.5" x14ac:dyDescent="0.2">
      <c r="C223" s="2581" t="s">
        <v>577</v>
      </c>
      <c r="D223" s="2356"/>
      <c r="E223" s="2356"/>
      <c r="F223" s="2356"/>
      <c r="G223" s="2679"/>
      <c r="H223" s="2679"/>
      <c r="I223" s="2679"/>
    </row>
    <row r="224" spans="3:17" ht="13.5" thickBot="1" x14ac:dyDescent="0.25">
      <c r="C224" s="2390"/>
      <c r="D224" s="2356"/>
      <c r="E224" s="2356"/>
      <c r="F224" s="2356"/>
      <c r="G224" s="2679"/>
      <c r="H224" s="2679"/>
      <c r="I224" s="2679"/>
    </row>
    <row r="225" spans="3:17" x14ac:dyDescent="0.2">
      <c r="C225" s="3108"/>
      <c r="D225" s="2404"/>
      <c r="E225" s="2412"/>
      <c r="F225" s="3135" t="s">
        <v>406</v>
      </c>
      <c r="G225" s="2680"/>
      <c r="H225" s="2720"/>
      <c r="I225" s="3138" t="s">
        <v>452</v>
      </c>
    </row>
    <row r="226" spans="3:17" ht="32.25" customHeight="1" x14ac:dyDescent="0.2">
      <c r="C226" s="3109"/>
      <c r="D226" s="3089" t="str">
        <f>D199</f>
        <v>Three months ended June 30</v>
      </c>
      <c r="E226" s="3089"/>
      <c r="F226" s="3136"/>
      <c r="G226" s="3084" t="str">
        <f>G199</f>
        <v>Twelve months ended March 31</v>
      </c>
      <c r="H226" s="3084"/>
      <c r="I226" s="3139"/>
    </row>
    <row r="227" spans="3:17" ht="13.5" thickBot="1" x14ac:dyDescent="0.25">
      <c r="C227" s="2399" t="s">
        <v>461</v>
      </c>
      <c r="D227" s="2402">
        <f>D200</f>
        <v>2018</v>
      </c>
      <c r="E227" s="2402">
        <f>E200</f>
        <v>2017</v>
      </c>
      <c r="F227" s="3137"/>
      <c r="G227" s="2713">
        <f>G200</f>
        <v>2018</v>
      </c>
      <c r="H227" s="2713">
        <f>H200</f>
        <v>2017</v>
      </c>
      <c r="I227" s="3140"/>
    </row>
    <row r="228" spans="3:17" x14ac:dyDescent="0.2">
      <c r="C228" s="2378" t="s">
        <v>4</v>
      </c>
      <c r="D228" s="2278">
        <f>(HLOOKUP($B$4,'13 Other'!$11:$124,ROW('13 Other'!$A$16)-9,0))</f>
        <v>0</v>
      </c>
      <c r="E228" s="2684">
        <f>(HLOOKUP($B$5,'13 Other'!$11:$124,ROW('13 Other'!$A$16)-9,0))</f>
        <v>0</v>
      </c>
      <c r="F228" s="2291" t="e">
        <f>IF(OR(((D228-E228)/E228)&gt;3,((D228-E228)/E228)&lt;-3),"n.m.",((D228-E228)/E228))</f>
        <v>#DIV/0!</v>
      </c>
      <c r="G228" s="2683">
        <f>INDEX('13 Other'!$A$1:$CC$94,ROW('13 Other'!$A16),COLUMN('13 Other'!$BH$1))</f>
        <v>24430</v>
      </c>
      <c r="H228" s="2684">
        <f>INDEX('13 Other'!$A$1:$CC$94,ROW('13 Other'!$A16),COLUMN('13 Other'!$BI$1))</f>
        <v>15056</v>
      </c>
      <c r="I228" s="2714">
        <f>IF(OR(((G228-H228)/H228)&gt;3,((G228-H228)/H228)&lt;-3),"n.m.",((G228-H228)/H228))</f>
        <v>0.62260892667375134</v>
      </c>
      <c r="J228" s="191">
        <f>D228-E228</f>
        <v>0</v>
      </c>
      <c r="K228" s="191">
        <f>G228-H228</f>
        <v>9374</v>
      </c>
      <c r="P228" s="191" t="e">
        <f t="shared" ref="P228:P245" si="48">IF((D228-E228)*F228&lt;0,"Reverse Sign",)</f>
        <v>#DIV/0!</v>
      </c>
      <c r="Q228" s="191">
        <f t="shared" ref="Q228:Q245" si="49">IF((G228-H228)*I228&lt;0,"Reverse Sign",)</f>
        <v>0</v>
      </c>
    </row>
    <row r="229" spans="3:17" x14ac:dyDescent="0.2">
      <c r="C229" s="2378" t="s">
        <v>5</v>
      </c>
      <c r="D229" s="2278"/>
      <c r="E229" s="2684"/>
      <c r="F229" s="2291"/>
      <c r="G229" s="2683"/>
      <c r="H229" s="2684"/>
      <c r="I229" s="2714"/>
      <c r="J229" s="191">
        <f t="shared" ref="J229:J244" si="50">D229-E229</f>
        <v>0</v>
      </c>
      <c r="K229" s="191">
        <f t="shared" ref="K229:K244" si="51">G229-H229</f>
        <v>0</v>
      </c>
      <c r="P229" s="191">
        <f t="shared" si="48"/>
        <v>0</v>
      </c>
      <c r="Q229" s="191">
        <f t="shared" si="49"/>
        <v>0</v>
      </c>
    </row>
    <row r="230" spans="3:17" x14ac:dyDescent="0.2">
      <c r="C230" s="2382" t="s">
        <v>475</v>
      </c>
      <c r="D230" s="2278">
        <f>(HLOOKUP($B$4,'13 Other'!$11:$124,ROW('13 Other'!$A$20)-9,0))</f>
        <v>8551</v>
      </c>
      <c r="E230" s="2684">
        <f>(HLOOKUP($B$5,'13 Other'!$11:$124,ROW('13 Other'!$A$20)-9,0))</f>
        <v>7457</v>
      </c>
      <c r="F230" s="2291">
        <f t="shared" ref="F230:F239" si="52">IF(OR(((D230-E230)/E230)&gt;3,((D230-E230)/E230)&lt;-3),"n.m.",((D230-E230)/E230))</f>
        <v>0.14670779133699879</v>
      </c>
      <c r="G230" s="2683">
        <f>INDEX('13 Other'!$A$1:$CC$94,ROW('13 Other'!$A20),COLUMN('13 Other'!$BH$1))</f>
        <v>19380</v>
      </c>
      <c r="H230" s="2684">
        <f>INDEX('13 Other'!$A$1:$CC$94,ROW('13 Other'!$A20),COLUMN('13 Other'!$BI$1))</f>
        <v>11471</v>
      </c>
      <c r="I230" s="2714">
        <f t="shared" ref="I230:I236" si="53">IF(OR(((G230-H230)/H230)&gt;3,((G230-H230)/H230)&lt;-3),"n.m.",((G230-H230)/H230))</f>
        <v>0.68947781361694704</v>
      </c>
      <c r="J230" s="191">
        <f t="shared" si="50"/>
        <v>1094</v>
      </c>
      <c r="K230" s="191">
        <f t="shared" si="51"/>
        <v>7909</v>
      </c>
      <c r="P230" s="191">
        <f t="shared" si="48"/>
        <v>0</v>
      </c>
      <c r="Q230" s="191">
        <f t="shared" si="49"/>
        <v>0</v>
      </c>
    </row>
    <row r="231" spans="3:17" x14ac:dyDescent="0.2">
      <c r="C231" s="2382" t="s">
        <v>476</v>
      </c>
      <c r="D231" s="2278">
        <f>(HLOOKUP($B$4,'13 Other'!$11:$124,ROW('13 Other'!$A$21)-9,0))</f>
        <v>12603</v>
      </c>
      <c r="E231" s="2684">
        <f>(HLOOKUP($B$5,'13 Other'!$11:$124,ROW('13 Other'!$A$21)-9,0))</f>
        <v>9944</v>
      </c>
      <c r="F231" s="2291">
        <f t="shared" si="52"/>
        <v>0.26739742558326629</v>
      </c>
      <c r="G231" s="2683">
        <f>INDEX('13 Other'!$A$1:$CC$94,ROW('13 Other'!$A21),COLUMN('13 Other'!$BH$1))</f>
        <v>29311</v>
      </c>
      <c r="H231" s="2684">
        <f>INDEX('13 Other'!$A$1:$CC$94,ROW('13 Other'!$A21),COLUMN('13 Other'!$BI$1))</f>
        <v>26198</v>
      </c>
      <c r="I231" s="2714">
        <f t="shared" si="53"/>
        <v>0.11882586456981449</v>
      </c>
      <c r="J231" s="191">
        <f t="shared" si="50"/>
        <v>2659</v>
      </c>
      <c r="K231" s="191">
        <f t="shared" si="51"/>
        <v>3113</v>
      </c>
      <c r="P231" s="191">
        <f t="shared" si="48"/>
        <v>0</v>
      </c>
      <c r="Q231" s="191">
        <f t="shared" si="49"/>
        <v>0</v>
      </c>
    </row>
    <row r="232" spans="3:17" x14ac:dyDescent="0.2">
      <c r="C232" s="2382" t="s">
        <v>477</v>
      </c>
      <c r="D232" s="2261">
        <f>D236-SUM(D230:D231)-SUM(D233:D235)</f>
        <v>-54651</v>
      </c>
      <c r="E232" s="2363">
        <f>E236-SUM(E230:E231)-SUM(E233:E235)</f>
        <v>-43120</v>
      </c>
      <c r="F232" s="2302">
        <f t="shared" si="52"/>
        <v>0.26741651205936923</v>
      </c>
      <c r="G232" s="2360">
        <f>G236-SUM(G230:G231)-SUM(G233:G235)</f>
        <v>28807</v>
      </c>
      <c r="H232" s="2363">
        <f>H236-SUM(H230:H231)-SUM(H233:H235)</f>
        <v>20521</v>
      </c>
      <c r="I232" s="2714">
        <f t="shared" si="53"/>
        <v>0.40378149213001313</v>
      </c>
      <c r="J232" s="191">
        <f t="shared" si="50"/>
        <v>-11531</v>
      </c>
      <c r="K232" s="191">
        <f t="shared" si="51"/>
        <v>8286</v>
      </c>
      <c r="P232" s="191" t="str">
        <f>IF((D232-E232)*F232&lt;0,"Reverse Sign",)</f>
        <v>Reverse Sign</v>
      </c>
      <c r="Q232" s="191">
        <f t="shared" si="49"/>
        <v>0</v>
      </c>
    </row>
    <row r="233" spans="3:17" x14ac:dyDescent="0.2">
      <c r="C233" s="2382" t="s">
        <v>485</v>
      </c>
      <c r="D233" s="2261">
        <f>(HLOOKUP($B$4,'13 Other'!$11:$124,ROW('13 Other'!$A$31)-9,0))</f>
        <v>0</v>
      </c>
      <c r="E233" s="2363">
        <f>(HLOOKUP($B$5,'13 Other'!$11:$124,ROW('13 Other'!$A$31)-9,0))</f>
        <v>0</v>
      </c>
      <c r="F233" s="2302" t="e">
        <f t="shared" si="52"/>
        <v>#DIV/0!</v>
      </c>
      <c r="G233" s="2360">
        <f>INDEX('13 Other'!$A$1:$CC$94,ROW('13 Other'!$A31),COLUMN('13 Other'!$BH$1))</f>
        <v>0</v>
      </c>
      <c r="H233" s="2363">
        <f>INDEX('13 Other'!$A$1:$CC$94,ROW('13 Other'!$A31),COLUMN('13 Other'!$BI$1))</f>
        <v>0</v>
      </c>
      <c r="I233" s="2714" t="e">
        <f t="shared" si="53"/>
        <v>#DIV/0!</v>
      </c>
      <c r="J233" s="191">
        <f t="shared" si="50"/>
        <v>0</v>
      </c>
      <c r="K233" s="191">
        <f t="shared" si="51"/>
        <v>0</v>
      </c>
      <c r="P233" s="191" t="e">
        <f t="shared" si="48"/>
        <v>#DIV/0!</v>
      </c>
      <c r="Q233" s="191" t="e">
        <f t="shared" si="49"/>
        <v>#DIV/0!</v>
      </c>
    </row>
    <row r="234" spans="3:17" x14ac:dyDescent="0.2">
      <c r="C234" s="2516" t="s">
        <v>586</v>
      </c>
      <c r="D234" s="2261">
        <f>(HLOOKUP($B$4,'13 Other'!$11:$124,ROW('13 Other'!$A$35)-9,0))</f>
        <v>269</v>
      </c>
      <c r="E234" s="2363">
        <f>(HLOOKUP($B$5,'13 Other'!$11:$124,ROW('13 Other'!$A$31)-9,0))</f>
        <v>0</v>
      </c>
      <c r="F234" s="2302" t="e">
        <f t="shared" ref="F234:F235" si="54">IF(OR(((D234-E234)/E234)&gt;3,((D234-E234)/E234)&lt;-3),"n.m.",((D234-E234)/E234))</f>
        <v>#DIV/0!</v>
      </c>
      <c r="G234" s="2360">
        <f>INDEX('13 Other'!$A$1:$CC$94,ROW('13 Other'!$A35),COLUMN('13 Other'!$BH$1))</f>
        <v>8608</v>
      </c>
      <c r="H234" s="2363">
        <f>INDEX('13 Other'!$A$1:$CC$94,ROW('13 Other'!$A32),COLUMN('13 Other'!$BI$1))</f>
        <v>0</v>
      </c>
      <c r="I234" s="2714" t="e">
        <f t="shared" ref="I234:I235" si="55">IF(OR(((G234-H234)/H234)&gt;3,((G234-H234)/H234)&lt;-3),"n.m.",((G234-H234)/H234))</f>
        <v>#DIV/0!</v>
      </c>
      <c r="J234" s="191">
        <f t="shared" si="50"/>
        <v>269</v>
      </c>
      <c r="K234" s="191">
        <f t="shared" si="51"/>
        <v>8608</v>
      </c>
    </row>
    <row r="235" spans="3:17" ht="13.5" thickBot="1" x14ac:dyDescent="0.25">
      <c r="C235" s="2382" t="s">
        <v>514</v>
      </c>
      <c r="D235" s="2257">
        <f>(HLOOKUP($B$4,'13 Other'!$11:$124,ROW('13 Other'!$A$36)-9,0))</f>
        <v>19486</v>
      </c>
      <c r="E235" s="2666">
        <f>(HLOOKUP($B$5,'13 Other'!$11:$124,ROW('13 Other'!$A$36)-9,0))</f>
        <v>15547</v>
      </c>
      <c r="F235" s="2301">
        <f t="shared" si="54"/>
        <v>0.2533607769987779</v>
      </c>
      <c r="G235" s="2359">
        <f>INDEX('13 Other'!$A$1:$CC$94,ROW('13 Other'!$A36),COLUMN('13 Other'!$BH$1))</f>
        <v>304</v>
      </c>
      <c r="H235" s="2666">
        <f>INDEX('13 Other'!$A$1:$CC$94,ROW('13 Other'!$A36),COLUMN('13 Other'!$BI$1))</f>
        <v>298</v>
      </c>
      <c r="I235" s="2716">
        <f t="shared" si="55"/>
        <v>2.0134228187919462E-2</v>
      </c>
      <c r="J235" s="191">
        <f t="shared" si="50"/>
        <v>3939</v>
      </c>
      <c r="K235" s="191">
        <f t="shared" si="51"/>
        <v>6</v>
      </c>
    </row>
    <row r="236" spans="3:17" x14ac:dyDescent="0.2">
      <c r="C236" s="2392" t="s">
        <v>80</v>
      </c>
      <c r="D236" s="2278">
        <f>(HLOOKUP($B$4,'13 Other'!$11:$124,ROW('13 Other'!$A$37)-9,0))</f>
        <v>-13742</v>
      </c>
      <c r="E236" s="2684">
        <f>(HLOOKUP($B$5,'13 Other'!$11:$124,ROW('13 Other'!$A$37)-9,0))</f>
        <v>-10172</v>
      </c>
      <c r="F236" s="2291">
        <f t="shared" si="52"/>
        <v>0.35096342902084154</v>
      </c>
      <c r="G236" s="2683">
        <f>INDEX('13 Other'!$A$1:$CC$94,ROW('13 Other'!$A37),COLUMN('13 Other'!$BH$1))</f>
        <v>86410</v>
      </c>
      <c r="H236" s="2684">
        <f>INDEX('13 Other'!$A$1:$CC$94,ROW('13 Other'!$A37),COLUMN('13 Other'!$BI$1))</f>
        <v>58488</v>
      </c>
      <c r="I236" s="2714">
        <f t="shared" si="53"/>
        <v>0.47739707290384353</v>
      </c>
      <c r="J236" s="191">
        <f t="shared" si="50"/>
        <v>-3570</v>
      </c>
      <c r="K236" s="191">
        <f t="shared" si="51"/>
        <v>27922</v>
      </c>
      <c r="P236" s="191" t="str">
        <f t="shared" si="48"/>
        <v>Reverse Sign</v>
      </c>
      <c r="Q236" s="191">
        <f t="shared" si="49"/>
        <v>0</v>
      </c>
    </row>
    <row r="237" spans="3:17" ht="13.5" x14ac:dyDescent="0.2">
      <c r="C237" s="2378" t="s">
        <v>478</v>
      </c>
      <c r="D237" s="2278">
        <f>(HLOOKUP($B$4,'13 Other'!$11:$124,ROW('13 Other'!$A$39)-9,0))</f>
        <v>-5184</v>
      </c>
      <c r="E237" s="2684">
        <f>(HLOOKUP($B$5,'13 Other'!$11:$124,ROW('13 Other'!$A$39)-9,0))</f>
        <v>-2520</v>
      </c>
      <c r="F237" s="2291">
        <f>IF(OR(((D237-E237)/E237)&gt;3,((D237-E237)/E237)&lt;-3),"n.m.",((D237-E237)/ABS(E237)))</f>
        <v>-1.0571428571428572</v>
      </c>
      <c r="G237" s="2683">
        <f>INDEX('13 Other'!$A$1:$CC$94,ROW('13 Other'!$A39),COLUMN('13 Other'!$BH$1))</f>
        <v>-33156</v>
      </c>
      <c r="H237" s="2684">
        <f>INDEX('13 Other'!$A$1:$CC$94,ROW('13 Other'!$A39),COLUMN('13 Other'!$BI$1))</f>
        <v>-32053</v>
      </c>
      <c r="I237" s="2714">
        <f>IF(OR(((G237-H237)/H237)&gt;3,((G237-H237)/H237)&lt;-3),"n.m.",((G237-H237)/ABS(H237)))</f>
        <v>-3.4411755529903595E-2</v>
      </c>
      <c r="J237" s="191">
        <f t="shared" si="50"/>
        <v>-2664</v>
      </c>
      <c r="K237" s="191">
        <f t="shared" si="51"/>
        <v>-1103</v>
      </c>
      <c r="P237" s="191">
        <f t="shared" si="48"/>
        <v>0</v>
      </c>
      <c r="Q237" s="191">
        <f t="shared" si="49"/>
        <v>0</v>
      </c>
    </row>
    <row r="238" spans="3:17" ht="13.5" x14ac:dyDescent="0.2">
      <c r="C238" s="2378" t="s">
        <v>486</v>
      </c>
      <c r="D238" s="2278">
        <f>(HLOOKUP($B$4,'13 Other'!$11:$124,ROW('13 Other'!$A$40)-9,0))</f>
        <v>0</v>
      </c>
      <c r="E238" s="2684">
        <f>(HLOOKUP($B$5,'13 Other'!$11:$124,ROW('13 Other'!$A$40)-9,0))</f>
        <v>0</v>
      </c>
      <c r="F238" s="2291" t="e">
        <f>IF(OR(((D238-E238)/E238)&gt;3,((D238-E238)/E238)&lt;-3),"n.m.",((D238-E238)/ABS(E238)))</f>
        <v>#DIV/0!</v>
      </c>
      <c r="G238" s="2683">
        <f>INDEX('13 Other'!$A$1:$CC$94,ROW('13 Other'!$A40),COLUMN('13 Other'!$BH$1))</f>
        <v>-28824</v>
      </c>
      <c r="H238" s="2684">
        <f>INDEX('13 Other'!$A$1:$CC$94,ROW('13 Other'!$A40),COLUMN('13 Other'!$BI$1))</f>
        <v>-11379</v>
      </c>
      <c r="I238" s="2714">
        <f>IF(OR(((G238-H238)/H238)&gt;3,((G238-H238)/H238)&lt;-3),"n.m.",((G238-H238)/ABS(H238)))</f>
        <v>-1.5330872660163459</v>
      </c>
      <c r="J238" s="191">
        <f t="shared" si="50"/>
        <v>0</v>
      </c>
      <c r="K238" s="191">
        <f t="shared" si="51"/>
        <v>-17445</v>
      </c>
      <c r="P238" s="191" t="e">
        <f t="shared" si="48"/>
        <v>#DIV/0!</v>
      </c>
      <c r="Q238" s="191">
        <f t="shared" si="49"/>
        <v>0</v>
      </c>
    </row>
    <row r="239" spans="3:17" x14ac:dyDescent="0.2">
      <c r="C239" s="2378" t="s">
        <v>89</v>
      </c>
      <c r="D239" s="2278">
        <f>(HLOOKUP($B$4,'13 Other'!$11:$124,ROW('13 Other'!$A$46)-9,0))</f>
        <v>0</v>
      </c>
      <c r="E239" s="2684">
        <f>(HLOOKUP($B$5,'13 Other'!$11:$124,ROW('13 Other'!$A$46)-9,0))</f>
        <v>0</v>
      </c>
      <c r="F239" s="2291" t="e">
        <f t="shared" si="52"/>
        <v>#DIV/0!</v>
      </c>
      <c r="G239" s="2683"/>
      <c r="H239" s="2684"/>
      <c r="I239" s="2714"/>
      <c r="J239" s="191">
        <f t="shared" si="50"/>
        <v>0</v>
      </c>
      <c r="K239" s="191">
        <f t="shared" si="51"/>
        <v>0</v>
      </c>
      <c r="P239" s="191" t="e">
        <f t="shared" si="48"/>
        <v>#DIV/0!</v>
      </c>
      <c r="Q239" s="191">
        <f t="shared" si="49"/>
        <v>0</v>
      </c>
    </row>
    <row r="240" spans="3:17" x14ac:dyDescent="0.2">
      <c r="C240" s="2378"/>
      <c r="D240" s="2278"/>
      <c r="E240" s="2684"/>
      <c r="F240" s="2291"/>
      <c r="G240" s="2683"/>
      <c r="H240" s="2684"/>
      <c r="I240" s="2714"/>
      <c r="J240" s="191">
        <f t="shared" si="50"/>
        <v>0</v>
      </c>
      <c r="K240" s="191">
        <f t="shared" si="51"/>
        <v>0</v>
      </c>
      <c r="P240" s="191">
        <f t="shared" si="48"/>
        <v>0</v>
      </c>
      <c r="Q240" s="191">
        <f t="shared" si="49"/>
        <v>0</v>
      </c>
    </row>
    <row r="241" spans="3:23" ht="14.25" x14ac:dyDescent="0.2">
      <c r="C241" s="2397" t="s">
        <v>487</v>
      </c>
      <c r="D241" s="2278"/>
      <c r="E241" s="2684"/>
      <c r="F241" s="2291"/>
      <c r="G241" s="2683"/>
      <c r="H241" s="2684"/>
      <c r="I241" s="2714"/>
      <c r="J241" s="191">
        <f t="shared" si="50"/>
        <v>0</v>
      </c>
      <c r="K241" s="191">
        <f t="shared" si="51"/>
        <v>0</v>
      </c>
      <c r="P241" s="191">
        <f t="shared" si="48"/>
        <v>0</v>
      </c>
      <c r="Q241" s="191">
        <f t="shared" si="49"/>
        <v>0</v>
      </c>
    </row>
    <row r="242" spans="3:23" x14ac:dyDescent="0.2">
      <c r="C242" s="2378" t="s">
        <v>80</v>
      </c>
      <c r="D242" s="2278">
        <f>(HLOOKUP($B$4,'13 Other'!$11:$124,ROW('13 Other'!$A$55)-9,0))</f>
        <v>-8558</v>
      </c>
      <c r="E242" s="2684">
        <f>(HLOOKUP($B$5,'13 Other'!$11:$124,ROW('13 Other'!$A$55)-9,0))</f>
        <v>-7652</v>
      </c>
      <c r="F242" s="2291">
        <f>IF(OR(((D242-E242)/E242)&gt;3,((D242-E242)/E242)&lt;-3),"n.m.",((D242-E242)/E242))</f>
        <v>0.11840041819132253</v>
      </c>
      <c r="G242" s="2683">
        <f>INDEX('13 Other'!$A$1:$CC$94,ROW('13 Other'!$A55),COLUMN('13 Other'!$BH$1))</f>
        <v>77802</v>
      </c>
      <c r="H242" s="2684">
        <f>INDEX('13 Other'!$A$1:$CC$94,ROW('13 Other'!$A55),COLUMN('13 Other'!$BI$1))</f>
        <v>56590</v>
      </c>
      <c r="I242" s="2714">
        <f>IF(OR(((G242-H242)/H242)&gt;3,((G242-H242)/H242)&lt;-3),"n.m.",((G242-H242)/H242))</f>
        <v>0.3748365435589327</v>
      </c>
      <c r="J242" s="191">
        <f t="shared" si="50"/>
        <v>-906</v>
      </c>
      <c r="K242" s="191">
        <f t="shared" si="51"/>
        <v>21212</v>
      </c>
      <c r="P242" s="191" t="str">
        <f t="shared" si="48"/>
        <v>Reverse Sign</v>
      </c>
      <c r="Q242" s="191">
        <f t="shared" si="49"/>
        <v>0</v>
      </c>
    </row>
    <row r="243" spans="3:23" ht="13.5" x14ac:dyDescent="0.2">
      <c r="C243" s="2378" t="s">
        <v>478</v>
      </c>
      <c r="D243" s="2278">
        <f>D237</f>
        <v>-5184</v>
      </c>
      <c r="E243" s="2684">
        <f>E237</f>
        <v>-2520</v>
      </c>
      <c r="F243" s="2291">
        <f>IF(OR(((D243-E243)/E243)&gt;3,((D243-E243)/E243)&lt;-3),"n.m.",((D243-E243)/ABS(E243)))</f>
        <v>-1.0571428571428572</v>
      </c>
      <c r="G243" s="2683">
        <f>G237</f>
        <v>-33156</v>
      </c>
      <c r="H243" s="2684">
        <f>H237</f>
        <v>-32053</v>
      </c>
      <c r="I243" s="2714">
        <f>IF(OR(((G243-H243)/H243)&gt;3,((G243-H243)/H243)&lt;-3),"n.m.",((G243-H243)/ABS(H243)))</f>
        <v>-3.4411755529903595E-2</v>
      </c>
      <c r="J243" s="191">
        <f t="shared" si="50"/>
        <v>-2664</v>
      </c>
      <c r="K243" s="191">
        <f t="shared" si="51"/>
        <v>-1103</v>
      </c>
      <c r="P243" s="191">
        <f t="shared" si="48"/>
        <v>0</v>
      </c>
      <c r="Q243" s="191">
        <f t="shared" si="49"/>
        <v>0</v>
      </c>
    </row>
    <row r="244" spans="3:23" ht="14.25" thickBot="1" x14ac:dyDescent="0.25">
      <c r="C244" s="2384" t="s">
        <v>488</v>
      </c>
      <c r="D244" s="2257">
        <f>(HLOOKUP($B$4,'13 Other'!$11:$124,ROW('13 Other'!$A$57)-9,0))</f>
        <v>0</v>
      </c>
      <c r="E244" s="2666">
        <f>(HLOOKUP($B$5,'13 Other'!$11:$124,ROW('13 Other'!$A$57)-9,0))</f>
        <v>0</v>
      </c>
      <c r="F244" s="2301" t="e">
        <f>IF(OR(((D244-E244)/E244)&gt;3,((D244-E244)/E244)&lt;-3),"n.m.",((D244-E244)/ABS(E244)))</f>
        <v>#DIV/0!</v>
      </c>
      <c r="G244" s="2359">
        <f>INDEX('13 Other'!$A$1:$CC$94,ROW('13 Other'!$A57),COLUMN('13 Other'!$BH$1))</f>
        <v>-20216</v>
      </c>
      <c r="H244" s="2666">
        <f>INDEX('13 Other'!$A$1:$CC$94,ROW('13 Other'!$A57),COLUMN('13 Other'!$BI$1))</f>
        <v>-9481</v>
      </c>
      <c r="I244" s="2716">
        <f>IF(OR(((G244-H244)/H244)&gt;3,((G244-H244)/H244)&lt;-3),"n.m.",((G244-H244)/ABS(H244)))</f>
        <v>-1.1322645290581161</v>
      </c>
      <c r="J244" s="191">
        <f t="shared" si="50"/>
        <v>0</v>
      </c>
      <c r="K244" s="191">
        <f t="shared" si="51"/>
        <v>-10735</v>
      </c>
      <c r="P244" s="191" t="e">
        <f t="shared" si="48"/>
        <v>#DIV/0!</v>
      </c>
      <c r="Q244" s="191">
        <f t="shared" si="49"/>
        <v>0</v>
      </c>
    </row>
    <row r="245" spans="3:23" x14ac:dyDescent="0.2">
      <c r="P245" s="191">
        <f t="shared" si="48"/>
        <v>0</v>
      </c>
      <c r="Q245" s="191">
        <f t="shared" si="49"/>
        <v>0</v>
      </c>
    </row>
    <row r="248" spans="3:23" x14ac:dyDescent="0.2">
      <c r="C248" s="2579" t="s">
        <v>525</v>
      </c>
    </row>
    <row r="250" spans="3:23" x14ac:dyDescent="0.2">
      <c r="F250" s="191">
        <f>'2 Consolidated IS'!I20-'2 Consolidated IS'!J20</f>
        <v>25913</v>
      </c>
      <c r="G250" s="400">
        <f>F250/'2 Consolidated IS'!J20</f>
        <v>9.4530557450487551E-2</v>
      </c>
    </row>
    <row r="253" spans="3:23" ht="13.5" thickBot="1" x14ac:dyDescent="0.25"/>
    <row r="254" spans="3:23" ht="13.5" thickBot="1" x14ac:dyDescent="0.25">
      <c r="C254" s="2582"/>
      <c r="D254" s="2583" t="s">
        <v>664</v>
      </c>
      <c r="E254" s="2583"/>
      <c r="F254" s="2583"/>
      <c r="G254" s="2583"/>
      <c r="H254" s="2584"/>
      <c r="I254" s="2585" t="s">
        <v>663</v>
      </c>
      <c r="J254" s="2585"/>
      <c r="K254" s="2585"/>
      <c r="L254" s="2585"/>
      <c r="M254" s="480"/>
      <c r="N254" s="480"/>
      <c r="O254" s="480"/>
      <c r="P254" s="480"/>
      <c r="Q254" s="480"/>
      <c r="R254" s="480"/>
      <c r="S254" s="480"/>
      <c r="T254" s="480"/>
      <c r="U254" s="480"/>
      <c r="V254" s="480"/>
      <c r="W254" s="480"/>
    </row>
    <row r="255" spans="3:23" x14ac:dyDescent="0.2">
      <c r="C255" s="2582"/>
      <c r="D255" s="2586"/>
      <c r="E255" s="2586" t="s">
        <v>515</v>
      </c>
      <c r="F255" s="2587"/>
      <c r="G255" s="2586"/>
      <c r="H255" s="2584"/>
      <c r="I255" s="2586"/>
      <c r="J255" s="2586" t="s">
        <v>515</v>
      </c>
      <c r="K255" s="2588"/>
      <c r="L255" s="2588"/>
      <c r="M255" s="480"/>
      <c r="N255" s="480"/>
      <c r="O255" s="480"/>
      <c r="P255" s="480"/>
      <c r="Q255" s="480"/>
      <c r="R255" s="480"/>
      <c r="S255" s="480"/>
      <c r="T255" s="480"/>
      <c r="U255" s="480"/>
      <c r="V255" s="480"/>
      <c r="W255" s="480"/>
    </row>
    <row r="256" spans="3:23" ht="25.5" x14ac:dyDescent="0.2">
      <c r="C256" s="2582"/>
      <c r="D256" s="2586" t="s">
        <v>515</v>
      </c>
      <c r="E256" s="2586" t="s">
        <v>518</v>
      </c>
      <c r="F256" s="2586" t="s">
        <v>578</v>
      </c>
      <c r="G256" s="2589"/>
      <c r="H256" s="2590"/>
      <c r="I256" s="2586" t="s">
        <v>515</v>
      </c>
      <c r="J256" s="2586" t="s">
        <v>518</v>
      </c>
      <c r="K256" s="2586" t="s">
        <v>579</v>
      </c>
      <c r="L256" s="2589"/>
      <c r="M256" s="480"/>
      <c r="N256" s="480"/>
      <c r="O256" s="480"/>
      <c r="P256" s="480"/>
      <c r="Q256" s="480"/>
      <c r="R256" s="480"/>
      <c r="S256" s="480"/>
      <c r="T256" s="480"/>
      <c r="U256" s="480"/>
      <c r="V256" s="480"/>
      <c r="W256" s="480"/>
    </row>
    <row r="257" spans="3:23" x14ac:dyDescent="0.2">
      <c r="C257" s="2582"/>
      <c r="D257" s="2586" t="s">
        <v>520</v>
      </c>
      <c r="E257" s="2586" t="s">
        <v>521</v>
      </c>
      <c r="F257" s="2586" t="s">
        <v>63</v>
      </c>
      <c r="G257" s="2586" t="s">
        <v>58</v>
      </c>
      <c r="H257" s="2584"/>
      <c r="I257" s="2586" t="s">
        <v>520</v>
      </c>
      <c r="J257" s="2586" t="s">
        <v>521</v>
      </c>
      <c r="K257" s="2586" t="s">
        <v>63</v>
      </c>
      <c r="L257" s="2586" t="s">
        <v>58</v>
      </c>
      <c r="M257" s="480"/>
      <c r="N257" s="480"/>
      <c r="O257" s="480"/>
      <c r="P257" s="480"/>
      <c r="Q257" s="480"/>
      <c r="R257" s="480"/>
      <c r="S257" s="480"/>
      <c r="T257" s="480"/>
      <c r="U257" s="480"/>
      <c r="V257" s="480"/>
      <c r="W257" s="480"/>
    </row>
    <row r="258" spans="3:23" ht="13.5" thickBot="1" x14ac:dyDescent="0.25">
      <c r="C258" s="2591"/>
      <c r="D258" s="2592" t="s">
        <v>522</v>
      </c>
      <c r="E258" s="2592" t="s">
        <v>522</v>
      </c>
      <c r="F258" s="2592" t="s">
        <v>522</v>
      </c>
      <c r="G258" s="2592" t="s">
        <v>522</v>
      </c>
      <c r="H258" s="2593"/>
      <c r="I258" s="2592" t="s">
        <v>522</v>
      </c>
      <c r="J258" s="2592" t="s">
        <v>522</v>
      </c>
      <c r="K258" s="2592" t="s">
        <v>522</v>
      </c>
      <c r="L258" s="2592" t="s">
        <v>522</v>
      </c>
      <c r="M258" s="480"/>
      <c r="N258" s="480"/>
      <c r="O258" s="480"/>
      <c r="P258" s="480"/>
      <c r="Q258" s="480"/>
      <c r="R258" s="480"/>
      <c r="S258" s="2594"/>
      <c r="T258" s="3091" t="s">
        <v>580</v>
      </c>
      <c r="U258" s="3091"/>
      <c r="V258" s="3091"/>
      <c r="W258" s="3091"/>
    </row>
    <row r="259" spans="3:23" ht="13.5" customHeight="1" x14ac:dyDescent="0.2">
      <c r="C259" s="2595" t="s">
        <v>300</v>
      </c>
      <c r="D259" s="2596">
        <f>'3 Business Segments FY20'!I16</f>
        <v>35858</v>
      </c>
      <c r="E259" s="2596">
        <f>'3 Business Segments FY20'!L16</f>
        <v>105934</v>
      </c>
      <c r="F259" s="2576">
        <v>0</v>
      </c>
      <c r="G259" s="2596">
        <f>SUM(D259:F259)</f>
        <v>141792</v>
      </c>
      <c r="H259" s="2597">
        <f>SUM(D259:F259)-G259</f>
        <v>0</v>
      </c>
      <c r="I259" s="2598">
        <f>'5 Canaccord Genuity '!M94</f>
        <v>36039</v>
      </c>
      <c r="J259" s="2598">
        <f>'10 Wealth Management'!M74</f>
        <v>60089</v>
      </c>
      <c r="L259" s="2598">
        <f>SUM(I259:K259)</f>
        <v>96128</v>
      </c>
      <c r="M259" s="480"/>
      <c r="N259" s="480"/>
      <c r="O259" s="480"/>
      <c r="P259" s="480"/>
      <c r="Q259" s="480"/>
      <c r="R259" s="480"/>
      <c r="S259" s="2620"/>
      <c r="T259" s="2599" t="str">
        <f>D254</f>
        <v>04/31/2019</v>
      </c>
      <c r="U259" s="2600" t="s">
        <v>581</v>
      </c>
      <c r="V259" s="2601">
        <v>42916</v>
      </c>
      <c r="W259" s="2601" t="str">
        <f>I254</f>
        <v>04/31/2017</v>
      </c>
    </row>
    <row r="260" spans="3:23" ht="13.5" customHeight="1" x14ac:dyDescent="0.2">
      <c r="C260" s="2595" t="s">
        <v>60</v>
      </c>
      <c r="D260" s="2596">
        <f>'3 Business Segments FY20'!I17</f>
        <v>69484</v>
      </c>
      <c r="E260" s="2596">
        <f>'3 Business Segments FY20'!L17</f>
        <v>15317</v>
      </c>
      <c r="F260" s="2576">
        <v>0</v>
      </c>
      <c r="G260" s="2596">
        <f t="shared" ref="G260" si="56">SUM(D260:F260)</f>
        <v>84801</v>
      </c>
      <c r="H260" s="2597">
        <f>SUM(D260:F260)-G260</f>
        <v>0</v>
      </c>
      <c r="I260" s="2598">
        <f>'5 Canaccord Genuity '!M95</f>
        <v>27392</v>
      </c>
      <c r="J260" s="2598">
        <f>'10 Wealth Management'!M75</f>
        <v>5964</v>
      </c>
      <c r="L260" s="2598">
        <f t="shared" ref="L260:L272" si="57">SUM(I260:K260)</f>
        <v>33356</v>
      </c>
      <c r="M260" s="480"/>
      <c r="N260" s="480"/>
      <c r="O260" s="480"/>
      <c r="P260" s="480"/>
      <c r="Q260" s="480"/>
      <c r="R260" s="480"/>
      <c r="S260" s="2620"/>
      <c r="T260" s="2599" t="s">
        <v>522</v>
      </c>
      <c r="U260" s="2600" t="s">
        <v>522</v>
      </c>
      <c r="V260" s="2601" t="s">
        <v>522</v>
      </c>
      <c r="W260" s="2601" t="s">
        <v>522</v>
      </c>
    </row>
    <row r="261" spans="3:23" ht="13.5" customHeight="1" x14ac:dyDescent="0.2">
      <c r="C261" s="2595" t="s">
        <v>208</v>
      </c>
      <c r="D261" s="2596">
        <f>'3 Business Segments FY20'!I18</f>
        <v>53462</v>
      </c>
      <c r="E261" s="2596">
        <f>'3 Business Segments FY20'!L18</f>
        <v>342</v>
      </c>
      <c r="F261" s="2576">
        <v>0</v>
      </c>
      <c r="G261" s="2596">
        <f>SUM(D261:F261)</f>
        <v>53804</v>
      </c>
      <c r="H261" s="2597">
        <f t="shared" ref="H261:H264" si="58">SUM(D261:F261)-G261</f>
        <v>0</v>
      </c>
      <c r="I261" s="2598">
        <f>'5 Canaccord Genuity '!M96</f>
        <v>30449</v>
      </c>
      <c r="J261" s="2598">
        <f>'10 Wealth Management'!M76</f>
        <v>140</v>
      </c>
      <c r="K261" s="2598"/>
      <c r="L261" s="2598">
        <f t="shared" si="57"/>
        <v>30589</v>
      </c>
      <c r="M261" s="480"/>
      <c r="N261" s="480"/>
      <c r="O261" s="480"/>
      <c r="P261" s="480"/>
      <c r="Q261" s="480"/>
      <c r="R261" s="480"/>
      <c r="S261" s="2620" t="s">
        <v>84</v>
      </c>
      <c r="T261" s="2721">
        <f>'3 Business Segments FY20'!D22+'3 Business Segments FY20'!J22+'3 Business Segments FY20'!M22</f>
        <v>127921</v>
      </c>
      <c r="U261" s="2722">
        <v>57502</v>
      </c>
      <c r="V261" s="2723">
        <f>'3 Business Segments FY20'!R22+'3 Business Segments FY20'!X22+'3 Business Segments FY20'!AA22</f>
        <v>491921</v>
      </c>
      <c r="W261" s="2723">
        <f>W266-W265-W263-W262-W264</f>
        <v>285845</v>
      </c>
    </row>
    <row r="262" spans="3:23" ht="13.5" customHeight="1" x14ac:dyDescent="0.2">
      <c r="C262" s="2595" t="s">
        <v>61</v>
      </c>
      <c r="D262" s="2596">
        <f>'3 Business Segments FY20'!I19</f>
        <v>25076</v>
      </c>
      <c r="E262" s="2596">
        <f>'3 Business Segments FY20'!L19</f>
        <v>-3</v>
      </c>
      <c r="F262" s="2576">
        <v>0</v>
      </c>
      <c r="G262" s="2596">
        <f t="shared" ref="G262:G264" si="59">SUM(D262:F262)</f>
        <v>25073</v>
      </c>
      <c r="H262" s="2597">
        <f t="shared" si="58"/>
        <v>0</v>
      </c>
      <c r="I262" s="2598">
        <f>'5 Canaccord Genuity '!M97</f>
        <v>22746</v>
      </c>
      <c r="J262" s="2598">
        <f>'10 Wealth Management'!M77</f>
        <v>102</v>
      </c>
      <c r="K262" s="2598"/>
      <c r="L262" s="2598">
        <f t="shared" si="57"/>
        <v>22848</v>
      </c>
      <c r="M262" s="480"/>
      <c r="N262" s="480"/>
      <c r="O262" s="480"/>
      <c r="P262" s="480"/>
      <c r="Q262" s="480"/>
      <c r="R262" s="480"/>
      <c r="S262" s="2620" t="s">
        <v>251</v>
      </c>
      <c r="T262" s="2721">
        <f>'3 Business Segments FY20'!F22+'3 Business Segments FY20'!K22</f>
        <v>94329</v>
      </c>
      <c r="U262" s="2722">
        <v>64381</v>
      </c>
      <c r="V262" s="2723">
        <f>'3 Business Segments FY20'!T22+'3 Business Segments FY20'!Y22</f>
        <v>363774</v>
      </c>
      <c r="W262" s="2723">
        <f>138359+106654</f>
        <v>245013</v>
      </c>
    </row>
    <row r="263" spans="3:23" ht="13.5" customHeight="1" x14ac:dyDescent="0.2">
      <c r="C263" s="2595" t="s">
        <v>62</v>
      </c>
      <c r="D263" s="2596">
        <f>'3 Business Segments FY20'!I20</f>
        <v>4935</v>
      </c>
      <c r="E263" s="2596">
        <f>'3 Business Segments FY20'!L20</f>
        <v>7149</v>
      </c>
      <c r="F263" s="2576">
        <f>'3 Business Segments FY20'!M20</f>
        <v>3101</v>
      </c>
      <c r="G263" s="2596">
        <f t="shared" si="59"/>
        <v>15185</v>
      </c>
      <c r="H263" s="2597">
        <f t="shared" si="58"/>
        <v>0</v>
      </c>
      <c r="I263" s="2598">
        <f>'5 Canaccord Genuity '!M98</f>
        <v>1814</v>
      </c>
      <c r="J263" s="2598">
        <f>'10 Wealth Management'!M78</f>
        <v>2632</v>
      </c>
      <c r="K263" s="2598">
        <v>1347</v>
      </c>
      <c r="L263" s="2598">
        <f t="shared" si="57"/>
        <v>5793</v>
      </c>
      <c r="M263" s="480"/>
      <c r="N263" s="480"/>
      <c r="O263" s="480"/>
      <c r="P263" s="480"/>
      <c r="Q263" s="480"/>
      <c r="R263" s="480"/>
      <c r="S263" s="2620" t="s">
        <v>526</v>
      </c>
      <c r="T263" s="2721">
        <f>'3 Business Segments FY20'!E22</f>
        <v>94060</v>
      </c>
      <c r="U263" s="2722">
        <v>51791</v>
      </c>
      <c r="V263" s="2723">
        <f>'3 Business Segments FY20'!S22</f>
        <v>303587</v>
      </c>
      <c r="W263" s="2723">
        <f>217411+1554</f>
        <v>218965</v>
      </c>
    </row>
    <row r="264" spans="3:23" ht="13.5" customHeight="1" x14ac:dyDescent="0.2">
      <c r="C264" s="2595" t="s">
        <v>63</v>
      </c>
      <c r="D264" s="2596">
        <f>'3 Business Segments FY20'!I21</f>
        <v>1208</v>
      </c>
      <c r="E264" s="2596">
        <f>'3 Business Segments FY20'!L21</f>
        <v>1002</v>
      </c>
      <c r="F264" s="2576">
        <f>'3 Business Segments FY20'!M21</f>
        <v>2643</v>
      </c>
      <c r="G264" s="2596">
        <f t="shared" si="59"/>
        <v>4853</v>
      </c>
      <c r="H264" s="2597">
        <f t="shared" si="58"/>
        <v>0</v>
      </c>
      <c r="I264" s="2598">
        <f>'5 Canaccord Genuity '!M99</f>
        <v>440</v>
      </c>
      <c r="J264" s="2598">
        <f>'10 Wealth Management'!M79</f>
        <v>636</v>
      </c>
      <c r="K264" s="2598">
        <v>1757</v>
      </c>
      <c r="L264" s="2598">
        <f t="shared" si="57"/>
        <v>2833</v>
      </c>
      <c r="M264" s="480"/>
      <c r="N264" s="480"/>
      <c r="O264" s="480"/>
      <c r="P264" s="480"/>
      <c r="Q264" s="480"/>
      <c r="R264" s="480"/>
      <c r="S264" s="2620" t="s">
        <v>283</v>
      </c>
      <c r="T264" s="2721">
        <f>'3 Business Segments FY20'!G22</f>
        <v>9217</v>
      </c>
      <c r="U264" s="2722">
        <v>6906</v>
      </c>
      <c r="V264" s="2723">
        <f>'3 Business Segments FY20'!U22</f>
        <v>31366</v>
      </c>
      <c r="W264" s="2723">
        <v>31138</v>
      </c>
    </row>
    <row r="265" spans="3:23" ht="13.5" customHeight="1" x14ac:dyDescent="0.2">
      <c r="C265" s="2595" t="s">
        <v>523</v>
      </c>
      <c r="D265" s="2596">
        <f>'3 Business Segments FY20'!I42-SUM(D266:D272)</f>
        <v>161228</v>
      </c>
      <c r="E265" s="2596">
        <f>'3 Business Segments FY20'!L42-SUM(E266:E272)</f>
        <v>96176</v>
      </c>
      <c r="F265" s="2576">
        <f>'3 Business Segments FY20'!M42-SUM(F266:F272)</f>
        <v>15050</v>
      </c>
      <c r="G265" s="2596">
        <f>'3 Business Segments FY20'!N42-SUM(G266:G272)</f>
        <v>271850</v>
      </c>
      <c r="H265" s="2597">
        <f>SUM(D265:F265)-G265</f>
        <v>604</v>
      </c>
      <c r="I265" s="2598" t="e">
        <f>'5 Canaccord Genuity '!M44+'5 Canaccord Genuity '!M52+'5 Canaccord Genuity '!M53+'5 Canaccord Genuity '!M55+'5 Canaccord Genuity '!M59-SUM(I266:I272)</f>
        <v>#REF!</v>
      </c>
      <c r="J265" s="2598">
        <f>'10 Wealth Management'!M35-SUM(J266:J270)</f>
        <v>54456</v>
      </c>
      <c r="K265" s="2598">
        <f>'13 Other'!M37-SUM(K266:K272)</f>
        <v>10497</v>
      </c>
      <c r="L265" s="2598" t="e">
        <f t="shared" si="57"/>
        <v>#REF!</v>
      </c>
      <c r="M265" s="480"/>
      <c r="N265" s="480"/>
      <c r="O265" s="480"/>
      <c r="P265" s="480"/>
      <c r="Q265" s="480"/>
      <c r="R265" s="480"/>
      <c r="S265" s="2620" t="s">
        <v>472</v>
      </c>
      <c r="T265" s="2721">
        <f>'3 Business Segments FY20'!H22</f>
        <v>-19</v>
      </c>
      <c r="U265" s="2722">
        <v>1257</v>
      </c>
      <c r="V265" s="2723">
        <f>'3 Business Segments FY20'!V22</f>
        <v>-81</v>
      </c>
      <c r="W265" s="2723">
        <v>6844</v>
      </c>
    </row>
    <row r="266" spans="3:23" ht="13.5" customHeight="1" x14ac:dyDescent="0.2">
      <c r="C266" s="2595" t="s">
        <v>69</v>
      </c>
      <c r="D266" s="2596">
        <f>'3 Business Segments FY20'!I34</f>
        <v>3435</v>
      </c>
      <c r="E266" s="2596">
        <f>'3 Business Segments FY20'!L34</f>
        <v>4384</v>
      </c>
      <c r="F266" s="2576">
        <f>'3 Business Segments FY20'!M34</f>
        <v>117</v>
      </c>
      <c r="G266" s="2596">
        <f>'3 Business Segments FY20'!N34</f>
        <v>7936</v>
      </c>
      <c r="H266" s="2597">
        <f t="shared" ref="H266:H275" si="60">SUM(D266:F266)-G266</f>
        <v>0</v>
      </c>
      <c r="I266" s="2598">
        <f>'5 Canaccord Genuity '!M36+'5 Canaccord Genuity '!M55</f>
        <v>2438</v>
      </c>
      <c r="J266" s="2598">
        <f>'10 Wealth Management'!M29</f>
        <v>2358</v>
      </c>
      <c r="K266" s="2598">
        <f>'13 Other'!M28</f>
        <v>352</v>
      </c>
      <c r="L266" s="2598">
        <f t="shared" si="57"/>
        <v>5148</v>
      </c>
      <c r="M266" s="480"/>
      <c r="N266" s="480"/>
      <c r="O266" s="480"/>
      <c r="P266" s="480"/>
      <c r="Q266" s="480"/>
      <c r="R266" s="480"/>
      <c r="S266" s="2620"/>
      <c r="T266" s="2721">
        <f>SUM(T261:T265)</f>
        <v>325508</v>
      </c>
      <c r="U266" s="2722">
        <f>SUM(U261:U265)</f>
        <v>181837</v>
      </c>
      <c r="V266" s="2721">
        <f>SUM(V261:V265)</f>
        <v>1190567</v>
      </c>
      <c r="W266" s="2723">
        <v>787805</v>
      </c>
    </row>
    <row r="267" spans="3:23" ht="13.5" customHeight="1" x14ac:dyDescent="0.2">
      <c r="C267" s="2595" t="s">
        <v>70</v>
      </c>
      <c r="D267" s="2596">
        <f>'3 Business Segments FY20'!I36</f>
        <v>159</v>
      </c>
      <c r="E267" s="2596">
        <f>'3 Business Segments FY20'!L36</f>
        <v>4967</v>
      </c>
      <c r="F267" s="2576">
        <f t="shared" ref="F267:F268" si="61">G267-E267-D267</f>
        <v>83</v>
      </c>
      <c r="G267" s="2596">
        <f>'3 Business Segments FY20'!N36</f>
        <v>5209</v>
      </c>
      <c r="H267" s="2597">
        <f t="shared" si="60"/>
        <v>0</v>
      </c>
      <c r="I267" s="2598">
        <f>'5 Canaccord Genuity '!M38</f>
        <v>256</v>
      </c>
      <c r="J267" s="2598">
        <f>'10 Wealth Management'!M31</f>
        <v>1191</v>
      </c>
      <c r="K267" s="2598">
        <f>'13 Other'!M30</f>
        <v>39</v>
      </c>
      <c r="L267" s="2598">
        <f t="shared" si="57"/>
        <v>1486</v>
      </c>
      <c r="M267" s="480"/>
      <c r="N267" s="480"/>
      <c r="O267" s="480"/>
      <c r="P267" s="480"/>
      <c r="Q267" s="480"/>
      <c r="R267" s="480"/>
      <c r="S267" s="2620"/>
      <c r="T267" s="2599"/>
      <c r="U267" s="2600"/>
      <c r="V267" s="2601"/>
      <c r="W267" s="2601"/>
    </row>
    <row r="268" spans="3:23" ht="13.5" customHeight="1" x14ac:dyDescent="0.2">
      <c r="C268" s="2595" t="s">
        <v>524</v>
      </c>
      <c r="D268" s="2596">
        <v>2702</v>
      </c>
      <c r="E268" s="2596">
        <f>'3 Business Segments FY20'!L32</f>
        <v>1442</v>
      </c>
      <c r="F268" s="2576">
        <f t="shared" si="61"/>
        <v>3967</v>
      </c>
      <c r="G268" s="2596">
        <f>'3 Business Segments FY20'!N32</f>
        <v>8111</v>
      </c>
      <c r="H268" s="2597">
        <f t="shared" si="60"/>
        <v>0</v>
      </c>
      <c r="I268" s="2598" t="e">
        <f>'5 Canaccord Genuity '!M34+#REF!</f>
        <v>#REF!</v>
      </c>
      <c r="J268" s="2598">
        <f>'10 Wealth Management'!M27</f>
        <v>184</v>
      </c>
      <c r="K268" s="2598">
        <f>'13 Other'!M26</f>
        <v>1180</v>
      </c>
      <c r="L268" s="2598" t="e">
        <f t="shared" si="57"/>
        <v>#REF!</v>
      </c>
      <c r="M268" s="480"/>
      <c r="N268" s="480"/>
      <c r="O268" s="480"/>
      <c r="P268" s="480"/>
      <c r="Q268" s="480"/>
      <c r="R268" s="480"/>
      <c r="S268" s="2620"/>
      <c r="T268" s="2599"/>
      <c r="U268" s="2600"/>
      <c r="V268" s="2601"/>
      <c r="W268" s="2601"/>
    </row>
    <row r="269" spans="3:23" ht="13.5" customHeight="1" x14ac:dyDescent="0.2">
      <c r="C269" s="2595" t="s">
        <v>164</v>
      </c>
      <c r="D269" s="2596">
        <f>'3 Business Segments FY20'!I37</f>
        <v>0</v>
      </c>
      <c r="E269" s="2596">
        <v>0</v>
      </c>
      <c r="F269" s="2576">
        <v>0</v>
      </c>
      <c r="G269" s="2596">
        <f>'3 Business Segments FY20'!N37</f>
        <v>0</v>
      </c>
      <c r="H269" s="2597">
        <f t="shared" si="60"/>
        <v>0</v>
      </c>
      <c r="I269" s="2598">
        <f>'5 Canaccord Genuity '!M39</f>
        <v>4256</v>
      </c>
      <c r="J269" s="2598">
        <f>'10 Wealth Management'!M32</f>
        <v>2000</v>
      </c>
      <c r="K269" s="2598">
        <f>'13 Other'!M31</f>
        <v>0</v>
      </c>
      <c r="L269" s="2598">
        <f t="shared" si="57"/>
        <v>6256</v>
      </c>
      <c r="M269" s="480"/>
      <c r="N269" s="480"/>
      <c r="O269" s="480"/>
      <c r="P269" s="480"/>
      <c r="Q269" s="480"/>
      <c r="R269" s="480"/>
      <c r="S269" s="2620"/>
      <c r="T269" s="2599"/>
      <c r="U269" s="2600"/>
      <c r="V269" s="2601"/>
      <c r="W269" s="2601"/>
    </row>
    <row r="270" spans="3:23" ht="13.5" customHeight="1" x14ac:dyDescent="0.2">
      <c r="C270" s="2595" t="s">
        <v>185</v>
      </c>
      <c r="D270" s="2596">
        <f>'3 Business Segments FY20'!I38</f>
        <v>177</v>
      </c>
      <c r="E270" s="2596"/>
      <c r="F270" s="2576">
        <v>0</v>
      </c>
      <c r="G270" s="2596">
        <f>'3 Business Segments FY20'!N38</f>
        <v>512</v>
      </c>
      <c r="H270" s="2597">
        <f t="shared" si="60"/>
        <v>-335</v>
      </c>
      <c r="I270" s="2598">
        <v>0</v>
      </c>
      <c r="J270" s="2598">
        <f>'10 Wealth Management'!M34</f>
        <v>4364</v>
      </c>
      <c r="K270" s="2598" t="s">
        <v>582</v>
      </c>
      <c r="L270" s="2598">
        <f t="shared" si="57"/>
        <v>4364</v>
      </c>
      <c r="M270" s="480"/>
      <c r="N270" s="480"/>
      <c r="O270" s="480"/>
      <c r="P270" s="480"/>
      <c r="Q270" s="480"/>
      <c r="R270" s="480"/>
      <c r="S270" s="2620"/>
      <c r="T270" s="2599"/>
      <c r="U270" s="2600"/>
      <c r="V270" s="2601"/>
      <c r="W270" s="2601"/>
    </row>
    <row r="271" spans="3:23" ht="23.25" customHeight="1" x14ac:dyDescent="0.2">
      <c r="C271" s="2595" t="s">
        <v>587</v>
      </c>
      <c r="D271" s="2596"/>
      <c r="E271" s="2596"/>
      <c r="F271" s="2576">
        <f>'3 Business Segments FY20'!M41</f>
        <v>269</v>
      </c>
      <c r="G271" s="2596">
        <f>F271</f>
        <v>269</v>
      </c>
      <c r="H271" s="2597">
        <f t="shared" si="60"/>
        <v>0</v>
      </c>
      <c r="I271" s="2598"/>
      <c r="J271" s="2598"/>
      <c r="K271" s="2598"/>
      <c r="L271" s="2598">
        <f t="shared" si="57"/>
        <v>0</v>
      </c>
      <c r="M271" s="480"/>
      <c r="N271" s="480"/>
      <c r="O271" s="480"/>
      <c r="P271" s="480"/>
      <c r="Q271" s="480"/>
      <c r="R271" s="480"/>
      <c r="S271" s="2620"/>
      <c r="T271" s="2599"/>
      <c r="U271" s="2600"/>
      <c r="V271" s="2601"/>
      <c r="W271" s="2601"/>
    </row>
    <row r="272" spans="3:23" ht="13.5" customHeight="1" thickBot="1" x14ac:dyDescent="0.25">
      <c r="C272" s="2639" t="s">
        <v>583</v>
      </c>
      <c r="D272" s="2609">
        <v>0</v>
      </c>
      <c r="E272" s="2609"/>
      <c r="F272" s="2400">
        <f>'3 Business Segments FY20'!M40</f>
        <v>0</v>
      </c>
      <c r="G272" s="2609">
        <f>'3 Business Segments FY20'!N41</f>
        <v>269</v>
      </c>
      <c r="H272" s="2597">
        <f>SUM(D272:F272)-G272</f>
        <v>-269</v>
      </c>
      <c r="I272" s="2605"/>
      <c r="J272" s="2605"/>
      <c r="K272" s="2605">
        <f>'13 Other'!M36</f>
        <v>208</v>
      </c>
      <c r="L272" s="2605">
        <f t="shared" si="57"/>
        <v>208</v>
      </c>
      <c r="M272" s="480"/>
      <c r="N272" s="480"/>
      <c r="O272" s="480"/>
      <c r="P272" s="480"/>
      <c r="Q272" s="480"/>
      <c r="R272" s="480"/>
      <c r="S272" s="2620"/>
      <c r="T272" s="2599"/>
      <c r="U272" s="2600"/>
      <c r="V272" s="2601"/>
      <c r="W272" s="2601"/>
    </row>
    <row r="273" spans="3:23" ht="13.5" customHeight="1" thickTop="1" thickBot="1" x14ac:dyDescent="0.25">
      <c r="C273" s="2606" t="s">
        <v>183</v>
      </c>
      <c r="D273" s="2607">
        <f>SUM(D259:D264)-SUM(D265:D272)</f>
        <v>22322</v>
      </c>
      <c r="E273" s="2607">
        <f>SUM(E259:E264)-SUM(E265:E272)</f>
        <v>22772</v>
      </c>
      <c r="F273" s="2607">
        <f>SUM(F259:F264)-SUM(F265:F272)</f>
        <v>-13742</v>
      </c>
      <c r="G273" s="2607">
        <f>SUM(G259:G264)-SUM(G265:G272)</f>
        <v>31352</v>
      </c>
      <c r="H273" s="2597">
        <f t="shared" si="60"/>
        <v>0</v>
      </c>
      <c r="I273" s="2607" t="e">
        <f>SUM(I259:I264)-SUM(I265:I272)</f>
        <v>#REF!</v>
      </c>
      <c r="J273" s="2607">
        <f>SUM(J259:J264)-SUM(J265:J272)</f>
        <v>5010</v>
      </c>
      <c r="K273" s="2607">
        <f>SUM(K261:K264)-SUM(K265:K272)</f>
        <v>-9172</v>
      </c>
      <c r="L273" s="2607" t="e">
        <f t="shared" ref="L273" si="62">SUM(L259:L264)-SUM(L265:L272)</f>
        <v>#REF!</v>
      </c>
      <c r="M273" s="480"/>
      <c r="N273" s="480"/>
      <c r="O273" s="480"/>
      <c r="P273" s="480"/>
      <c r="Q273" s="480"/>
      <c r="R273" s="480"/>
      <c r="S273" s="480"/>
      <c r="T273" s="480"/>
      <c r="U273" s="480"/>
      <c r="V273" s="480"/>
      <c r="W273" s="480"/>
    </row>
    <row r="274" spans="3:23" ht="13.5" customHeight="1" thickBot="1" x14ac:dyDescent="0.25">
      <c r="C274" s="2608" t="s">
        <v>332</v>
      </c>
      <c r="D274" s="2609">
        <f>'3 Business Segments FY20'!I45</f>
        <v>4545</v>
      </c>
      <c r="E274" s="2609">
        <f>'3 Business Segments FY20'!L45</f>
        <v>4013</v>
      </c>
      <c r="F274" s="2609">
        <f>G274-E274-D274</f>
        <v>-8558</v>
      </c>
      <c r="G274" s="2609">
        <v>0</v>
      </c>
      <c r="H274" s="2597">
        <f t="shared" si="60"/>
        <v>0</v>
      </c>
      <c r="I274" s="2605">
        <f>'5 Canaccord Genuity '!M63</f>
        <v>3869</v>
      </c>
      <c r="J274" s="2605">
        <f>'10 Wealth Management'!M37</f>
        <v>4091</v>
      </c>
      <c r="K274" s="2605">
        <f>'13 Other'!M39</f>
        <v>-7960</v>
      </c>
      <c r="L274" s="2725">
        <v>0</v>
      </c>
      <c r="M274" s="480"/>
      <c r="N274" s="480"/>
      <c r="O274" s="480"/>
      <c r="P274" s="480"/>
      <c r="Q274" s="480"/>
      <c r="R274" s="480"/>
      <c r="S274" s="480"/>
      <c r="T274" s="480"/>
      <c r="U274" s="480"/>
      <c r="V274" s="480"/>
      <c r="W274" s="480"/>
    </row>
    <row r="275" spans="3:23" ht="13.5" customHeight="1" thickTop="1" thickBot="1" x14ac:dyDescent="0.25">
      <c r="C275" s="2608" t="s">
        <v>72</v>
      </c>
      <c r="D275" s="2609">
        <f>D273-D274</f>
        <v>17777</v>
      </c>
      <c r="E275" s="2612">
        <f>E273-E274</f>
        <v>18759</v>
      </c>
      <c r="F275" s="2609">
        <f>G275-E275-D275</f>
        <v>-5184</v>
      </c>
      <c r="G275" s="2609">
        <f>G273</f>
        <v>31352</v>
      </c>
      <c r="H275" s="2597">
        <f t="shared" si="60"/>
        <v>0</v>
      </c>
      <c r="I275" s="2609" t="e">
        <f>I273-I274</f>
        <v>#REF!</v>
      </c>
      <c r="J275" s="2609">
        <f t="shared" ref="J275:K275" si="63">J273-J274</f>
        <v>919</v>
      </c>
      <c r="K275" s="2609">
        <f t="shared" si="63"/>
        <v>-1212</v>
      </c>
      <c r="L275" s="2724" t="e">
        <f>L273-L274</f>
        <v>#REF!</v>
      </c>
      <c r="M275" s="480"/>
      <c r="N275" s="480"/>
      <c r="O275" s="480"/>
      <c r="P275" s="480"/>
      <c r="Q275" s="480"/>
      <c r="R275" s="480"/>
      <c r="S275" s="480"/>
      <c r="T275" s="480"/>
      <c r="U275" s="480"/>
      <c r="V275" s="480"/>
      <c r="W275" s="480"/>
    </row>
    <row r="276" spans="3:23" ht="13.5" customHeight="1" thickTop="1" x14ac:dyDescent="0.25">
      <c r="C276" s="480"/>
      <c r="D276" s="480"/>
      <c r="E276" s="2613"/>
      <c r="F276" s="480"/>
      <c r="G276" s="480"/>
      <c r="H276" s="2614"/>
      <c r="I276" s="480"/>
      <c r="J276" s="480"/>
      <c r="K276" s="480"/>
      <c r="L276" s="480"/>
      <c r="M276" s="480"/>
      <c r="N276" s="480"/>
      <c r="O276" s="480"/>
      <c r="P276" s="480"/>
      <c r="Q276" s="480"/>
      <c r="R276" s="480"/>
      <c r="S276" s="480"/>
      <c r="T276" s="480"/>
      <c r="U276" s="480"/>
      <c r="V276" s="480"/>
      <c r="W276" s="480"/>
    </row>
    <row r="277" spans="3:23" ht="13.5" customHeight="1" x14ac:dyDescent="0.25">
      <c r="C277" s="480"/>
      <c r="D277" s="2615" t="s">
        <v>584</v>
      </c>
      <c r="E277" s="2613"/>
      <c r="F277" s="2613"/>
      <c r="G277" s="2613"/>
      <c r="H277" s="2614"/>
      <c r="I277" s="480"/>
      <c r="J277" s="480"/>
      <c r="K277" s="480"/>
      <c r="L277" s="480"/>
      <c r="M277" s="480"/>
      <c r="N277" s="480"/>
      <c r="O277" s="480"/>
      <c r="P277" s="480"/>
      <c r="Q277" s="480"/>
      <c r="R277" s="480"/>
      <c r="S277" s="480"/>
      <c r="T277" s="480"/>
      <c r="U277" s="480"/>
      <c r="V277" s="480"/>
      <c r="W277" s="480"/>
    </row>
    <row r="278" spans="3:23" ht="13.5" customHeight="1" x14ac:dyDescent="0.25">
      <c r="C278" s="480"/>
      <c r="D278" s="2613"/>
      <c r="E278" s="480"/>
      <c r="F278" s="480"/>
      <c r="G278" s="480"/>
      <c r="H278" s="2614"/>
      <c r="I278" s="480"/>
      <c r="J278" s="480"/>
      <c r="K278" s="480"/>
      <c r="L278" s="480"/>
      <c r="M278" s="480"/>
      <c r="N278" s="480"/>
      <c r="O278" s="480"/>
      <c r="P278" s="480"/>
      <c r="Q278" s="480"/>
      <c r="R278" s="480"/>
      <c r="S278" s="480"/>
      <c r="T278" s="480"/>
      <c r="U278" s="480"/>
      <c r="V278" s="480"/>
      <c r="W278" s="480"/>
    </row>
    <row r="279" spans="3:23" ht="13.5" customHeight="1" x14ac:dyDescent="0.25">
      <c r="C279" s="480"/>
      <c r="D279" s="2613"/>
      <c r="E279" s="2613"/>
      <c r="F279" s="2613"/>
      <c r="G279" s="2613"/>
      <c r="H279" s="2614"/>
      <c r="I279" s="480"/>
      <c r="J279" s="480"/>
      <c r="K279" s="480"/>
      <c r="L279" s="480"/>
      <c r="M279" s="480"/>
      <c r="N279" s="480"/>
      <c r="O279" s="480"/>
      <c r="P279" s="480"/>
      <c r="Q279" s="480"/>
      <c r="R279" s="480"/>
      <c r="S279" s="480"/>
      <c r="T279" s="480"/>
      <c r="U279" s="480"/>
      <c r="V279" s="480"/>
      <c r="W279" s="480"/>
    </row>
    <row r="280" spans="3:23" ht="13.5" customHeight="1" x14ac:dyDescent="0.25">
      <c r="C280" s="480"/>
      <c r="D280" s="2613"/>
      <c r="E280" s="2613"/>
      <c r="F280" s="2613"/>
      <c r="G280" s="2613"/>
      <c r="H280" s="2614"/>
      <c r="I280" s="480"/>
      <c r="J280" s="480"/>
      <c r="K280" s="480"/>
      <c r="L280" s="480"/>
      <c r="M280" s="480"/>
      <c r="N280" s="480"/>
      <c r="O280" s="480"/>
      <c r="P280" s="480"/>
      <c r="Q280" s="480"/>
      <c r="R280" s="480"/>
      <c r="S280" s="480"/>
      <c r="T280" s="480"/>
      <c r="U280" s="480"/>
      <c r="V280" s="480"/>
      <c r="W280" s="480"/>
    </row>
    <row r="281" spans="3:23" ht="13.5" customHeight="1" x14ac:dyDescent="0.25">
      <c r="C281" s="480"/>
      <c r="D281" s="2613"/>
      <c r="E281" s="2613"/>
      <c r="F281" s="2613"/>
      <c r="G281" s="2613"/>
      <c r="H281" s="2614"/>
      <c r="I281" s="480"/>
      <c r="J281" s="480"/>
      <c r="K281" s="480"/>
      <c r="L281" s="480"/>
      <c r="M281" s="480"/>
      <c r="N281" s="480"/>
      <c r="O281" s="480"/>
      <c r="P281" s="480"/>
      <c r="Q281" s="480"/>
      <c r="R281" s="480"/>
      <c r="S281" s="480"/>
      <c r="T281" s="480"/>
      <c r="U281" s="480"/>
      <c r="V281" s="480"/>
      <c r="W281" s="480"/>
    </row>
    <row r="282" spans="3:23" ht="13.5" customHeight="1" x14ac:dyDescent="0.25">
      <c r="C282" s="480"/>
      <c r="D282" s="480"/>
      <c r="E282" s="480"/>
      <c r="F282" s="480"/>
      <c r="G282" s="480"/>
      <c r="H282" s="2614"/>
      <c r="I282" s="480"/>
      <c r="J282" s="480"/>
      <c r="K282" s="480"/>
      <c r="L282" s="480"/>
      <c r="M282" s="480"/>
      <c r="N282" s="480"/>
      <c r="O282" s="480"/>
      <c r="P282" s="480"/>
      <c r="Q282" s="480"/>
      <c r="R282" s="480"/>
      <c r="S282" s="480"/>
      <c r="T282" s="480"/>
      <c r="U282" s="480"/>
      <c r="V282" s="480"/>
      <c r="W282" s="480"/>
    </row>
    <row r="283" spans="3:23" ht="13.5" customHeight="1" x14ac:dyDescent="0.25">
      <c r="C283" s="480"/>
      <c r="D283" s="480"/>
      <c r="E283" s="480"/>
      <c r="F283" s="480"/>
      <c r="G283" s="480"/>
      <c r="H283" s="2614"/>
      <c r="I283" s="480"/>
      <c r="J283" s="480"/>
      <c r="K283" s="480"/>
      <c r="L283" s="480"/>
      <c r="M283" s="480"/>
      <c r="N283" s="480"/>
      <c r="O283" s="480"/>
      <c r="P283" s="480"/>
      <c r="Q283" s="480"/>
      <c r="R283" s="480"/>
      <c r="S283" s="480"/>
      <c r="T283" s="480"/>
      <c r="U283" s="480"/>
      <c r="V283" s="480"/>
      <c r="W283" s="480"/>
    </row>
    <row r="284" spans="3:23" ht="13.5" customHeight="1" x14ac:dyDescent="0.2">
      <c r="C284" s="3092"/>
      <c r="D284" s="3093"/>
      <c r="E284" s="3093" t="s">
        <v>665</v>
      </c>
      <c r="F284" s="3093"/>
      <c r="G284" s="3093"/>
      <c r="H284" s="3093"/>
      <c r="I284" s="3093"/>
      <c r="J284" s="3093"/>
      <c r="K284" s="3093"/>
      <c r="L284" s="3093"/>
      <c r="M284" s="3093"/>
      <c r="N284" s="2769"/>
      <c r="O284" s="2769"/>
      <c r="P284" s="3094"/>
      <c r="Q284" s="3094"/>
      <c r="R284" s="480"/>
      <c r="S284" s="480"/>
      <c r="T284" s="2"/>
      <c r="U284" s="2"/>
      <c r="V284" s="2"/>
      <c r="W284" s="2"/>
    </row>
    <row r="285" spans="3:23" ht="13.5" customHeight="1" thickBot="1" x14ac:dyDescent="0.25">
      <c r="C285" s="3092"/>
      <c r="D285" s="3091"/>
      <c r="E285" s="3091"/>
      <c r="F285" s="3091"/>
      <c r="G285" s="3091"/>
      <c r="H285" s="3091"/>
      <c r="I285" s="3091"/>
      <c r="J285" s="3091"/>
      <c r="K285" s="3091"/>
      <c r="L285" s="3091"/>
      <c r="M285" s="3091"/>
      <c r="N285" s="2770"/>
      <c r="O285" s="2770"/>
      <c r="P285" s="3094"/>
      <c r="Q285" s="3094"/>
      <c r="R285" s="480"/>
      <c r="S285" s="480"/>
      <c r="T285" s="2"/>
      <c r="U285" s="2"/>
      <c r="V285" s="2"/>
      <c r="W285" s="2"/>
    </row>
    <row r="286" spans="3:23" ht="16.5" thickBot="1" x14ac:dyDescent="0.25">
      <c r="C286" s="2594"/>
      <c r="D286" s="2583" t="str">
        <f>D254</f>
        <v>04/31/2019</v>
      </c>
      <c r="E286" s="2583"/>
      <c r="F286" s="2583"/>
      <c r="G286" s="2583"/>
      <c r="H286" s="2616"/>
      <c r="I286" s="2583"/>
      <c r="J286" s="2583"/>
      <c r="K286" s="2583"/>
      <c r="L286" s="2583"/>
      <c r="M286" s="2583"/>
      <c r="N286" s="2583"/>
      <c r="O286" s="2583"/>
      <c r="P286" s="2583"/>
      <c r="Q286" s="2617"/>
      <c r="R286" s="480"/>
      <c r="S286" s="480"/>
      <c r="T286" s="2"/>
      <c r="U286" s="2"/>
      <c r="V286" s="2"/>
      <c r="W286" s="2"/>
    </row>
    <row r="287" spans="3:23" ht="15.75" x14ac:dyDescent="0.2">
      <c r="C287" s="3092"/>
      <c r="D287" s="3133"/>
      <c r="E287" s="2618" t="s">
        <v>515</v>
      </c>
      <c r="F287" s="3133" t="s">
        <v>200</v>
      </c>
      <c r="G287" s="3133"/>
      <c r="H287" s="3081"/>
      <c r="I287" s="2619"/>
      <c r="J287" s="2602" t="s">
        <v>515</v>
      </c>
      <c r="K287" s="2619"/>
      <c r="L287" s="2619"/>
      <c r="M287" s="2619"/>
      <c r="N287" s="2772"/>
      <c r="O287" s="2772"/>
      <c r="P287" s="2617"/>
      <c r="Q287" s="480"/>
      <c r="R287" s="480"/>
      <c r="S287" s="480"/>
      <c r="T287" s="2"/>
      <c r="U287" s="2"/>
      <c r="V287" s="2"/>
      <c r="W287" s="2"/>
    </row>
    <row r="288" spans="3:23" ht="15.75" x14ac:dyDescent="0.2">
      <c r="C288" s="3092"/>
      <c r="D288" s="3093"/>
      <c r="E288" s="2602" t="s">
        <v>516</v>
      </c>
      <c r="F288" s="3134"/>
      <c r="G288" s="3134"/>
      <c r="H288" s="3081"/>
      <c r="I288" s="2620"/>
      <c r="J288" s="2602" t="s">
        <v>516</v>
      </c>
      <c r="K288" s="2620"/>
      <c r="L288" s="2620"/>
      <c r="M288" s="2620"/>
      <c r="N288" s="2620"/>
      <c r="O288" s="2620"/>
      <c r="P288" s="2617"/>
      <c r="Q288" s="480"/>
      <c r="R288" s="480"/>
      <c r="S288" s="480"/>
      <c r="T288" s="2"/>
      <c r="U288" s="2"/>
      <c r="V288" s="2"/>
      <c r="W288" s="2"/>
    </row>
    <row r="289" spans="3:23" ht="25.5" x14ac:dyDescent="0.2">
      <c r="C289" s="2594"/>
      <c r="D289" s="2602" t="s">
        <v>517</v>
      </c>
      <c r="E289" s="2602" t="s">
        <v>518</v>
      </c>
      <c r="F289" s="2602" t="s">
        <v>519</v>
      </c>
      <c r="G289" s="2602"/>
      <c r="H289" s="2616"/>
      <c r="I289" s="2602" t="s">
        <v>517</v>
      </c>
      <c r="J289" s="2602" t="s">
        <v>518</v>
      </c>
      <c r="K289" s="2620" t="s">
        <v>579</v>
      </c>
      <c r="L289" s="2620"/>
      <c r="M289" s="2620"/>
      <c r="N289" s="2620"/>
      <c r="O289" s="2620"/>
      <c r="P289" s="2617"/>
      <c r="Q289" s="480"/>
      <c r="R289" s="480"/>
      <c r="S289" s="480"/>
      <c r="T289" s="2621"/>
      <c r="U289" s="3082"/>
      <c r="V289" s="3082"/>
      <c r="W289" s="2622"/>
    </row>
    <row r="290" spans="3:23" x14ac:dyDescent="0.2">
      <c r="C290" s="2594"/>
      <c r="D290" s="2602" t="s">
        <v>520</v>
      </c>
      <c r="E290" s="2602" t="s">
        <v>521</v>
      </c>
      <c r="F290" s="2602" t="s">
        <v>63</v>
      </c>
      <c r="G290" s="2602" t="s">
        <v>58</v>
      </c>
      <c r="H290" s="2616"/>
      <c r="I290" s="2602" t="s">
        <v>520</v>
      </c>
      <c r="J290" s="2602" t="s">
        <v>521</v>
      </c>
      <c r="K290" s="2620" t="s">
        <v>63</v>
      </c>
      <c r="L290" s="2620" t="s">
        <v>58</v>
      </c>
      <c r="M290" s="480"/>
      <c r="N290" s="480"/>
      <c r="O290" s="480"/>
      <c r="P290" s="480"/>
      <c r="Q290" s="480"/>
      <c r="R290" s="480"/>
      <c r="S290" s="480"/>
      <c r="T290" s="3083"/>
      <c r="U290" s="2623"/>
      <c r="V290" s="2623"/>
      <c r="W290" s="2623"/>
    </row>
    <row r="291" spans="3:23" ht="13.5" thickBot="1" x14ac:dyDescent="0.25">
      <c r="C291" s="2624"/>
      <c r="D291" s="2625" t="s">
        <v>522</v>
      </c>
      <c r="E291" s="2625" t="s">
        <v>522</v>
      </c>
      <c r="F291" s="2625" t="s">
        <v>522</v>
      </c>
      <c r="G291" s="2625" t="s">
        <v>522</v>
      </c>
      <c r="H291" s="2593"/>
      <c r="I291" s="2625" t="s">
        <v>522</v>
      </c>
      <c r="J291" s="2625" t="s">
        <v>522</v>
      </c>
      <c r="K291" s="2626" t="s">
        <v>522</v>
      </c>
      <c r="L291" s="2626" t="s">
        <v>522</v>
      </c>
      <c r="M291" s="480"/>
      <c r="N291" s="480"/>
      <c r="O291" s="480"/>
      <c r="P291" s="480"/>
      <c r="Q291" s="480"/>
      <c r="R291" s="480"/>
      <c r="S291" s="480"/>
      <c r="T291" s="3083"/>
      <c r="U291" s="2622"/>
      <c r="V291" s="2622"/>
      <c r="W291" s="2622"/>
    </row>
    <row r="292" spans="3:23" x14ac:dyDescent="0.2">
      <c r="C292" s="2627"/>
      <c r="D292" s="2627"/>
      <c r="E292" s="2627"/>
      <c r="F292" s="2627"/>
      <c r="G292" s="2627"/>
      <c r="H292" s="2628"/>
      <c r="I292" s="2627"/>
      <c r="J292" s="2627"/>
      <c r="K292" s="2629"/>
      <c r="L292" s="2629"/>
      <c r="M292" s="480"/>
      <c r="N292" s="480"/>
      <c r="O292" s="480"/>
      <c r="P292" s="480"/>
      <c r="Q292" s="480"/>
      <c r="R292" s="480"/>
      <c r="S292" s="480"/>
      <c r="T292" s="2630"/>
      <c r="U292" s="2631"/>
      <c r="V292" s="2632"/>
      <c r="W292" s="2631"/>
    </row>
    <row r="293" spans="3:23" x14ac:dyDescent="0.2">
      <c r="C293" s="2603" t="s">
        <v>300</v>
      </c>
      <c r="D293" s="2596">
        <f>'3 Business Segments FY20'!W16</f>
        <v>175511</v>
      </c>
      <c r="E293" s="2596">
        <f>'3 Business Segments FY20'!Z16</f>
        <v>380964</v>
      </c>
      <c r="F293" s="2596">
        <f>'3 Business Segments FY20'!AA16</f>
        <v>0</v>
      </c>
      <c r="G293" s="2596">
        <f>'3 Business Segments FY20'!AB16</f>
        <v>556475</v>
      </c>
      <c r="H293" s="2597">
        <f>SUM(D293:F293)-G293</f>
        <v>0</v>
      </c>
      <c r="I293" s="2598">
        <f>'5 Canaccord Genuity '!BI94</f>
        <v>155126</v>
      </c>
      <c r="J293" s="2598">
        <f>'10 Wealth Management'!BI74</f>
        <v>306816</v>
      </c>
      <c r="K293" s="2604"/>
      <c r="L293" s="2604">
        <f>SUM(I293:K293)</f>
        <v>461942</v>
      </c>
      <c r="M293" s="480"/>
      <c r="N293" s="480"/>
      <c r="O293" s="480"/>
      <c r="P293" s="480"/>
      <c r="Q293" s="480"/>
      <c r="R293" s="480"/>
      <c r="S293" s="480"/>
      <c r="T293" s="2633"/>
      <c r="U293" s="2634"/>
      <c r="V293" s="2635"/>
      <c r="W293" s="2634"/>
    </row>
    <row r="294" spans="3:23" x14ac:dyDescent="0.2">
      <c r="C294" s="2603" t="s">
        <v>60</v>
      </c>
      <c r="D294" s="2596">
        <f>'3 Business Segments FY20'!W17</f>
        <v>243715</v>
      </c>
      <c r="E294" s="2596">
        <f>'3 Business Segments FY20'!Z17</f>
        <v>50526</v>
      </c>
      <c r="F294" s="2596">
        <f>'3 Business Segments FY20'!AA17</f>
        <v>0</v>
      </c>
      <c r="G294" s="2596">
        <f>'3 Business Segments FY20'!AB17</f>
        <v>294241</v>
      </c>
      <c r="H294" s="2597"/>
      <c r="I294" s="2598">
        <f>'5 Canaccord Genuity '!BI95</f>
        <v>234820</v>
      </c>
      <c r="J294" s="2598">
        <f>'10 Wealth Management'!BI75</f>
        <v>47375</v>
      </c>
      <c r="K294" s="2604"/>
      <c r="L294" s="2604">
        <f t="shared" ref="L294:L306" si="64">SUM(I294:K294)</f>
        <v>282195</v>
      </c>
      <c r="M294" s="480"/>
      <c r="N294" s="480"/>
      <c r="O294" s="480"/>
      <c r="P294" s="480"/>
      <c r="Q294" s="480"/>
      <c r="R294" s="480"/>
      <c r="S294" s="480"/>
      <c r="T294" s="2633"/>
      <c r="U294" s="2634"/>
      <c r="V294" s="2635"/>
      <c r="W294" s="2634"/>
    </row>
    <row r="295" spans="3:23" x14ac:dyDescent="0.2">
      <c r="C295" s="2603" t="s">
        <v>208</v>
      </c>
      <c r="D295" s="2596">
        <f>'3 Business Segments FY20'!W18</f>
        <v>140744</v>
      </c>
      <c r="E295" s="2596">
        <f>'3 Business Segments FY20'!Z18</f>
        <v>1484</v>
      </c>
      <c r="F295" s="2596">
        <f>'3 Business Segments FY20'!AA18</f>
        <v>0</v>
      </c>
      <c r="G295" s="2596">
        <f>'3 Business Segments FY20'!AB18</f>
        <v>142228</v>
      </c>
      <c r="H295" s="2597"/>
      <c r="I295" s="2598">
        <f>'5 Canaccord Genuity '!BI96</f>
        <v>122372</v>
      </c>
      <c r="J295" s="2598">
        <f>'10 Wealth Management'!BI76</f>
        <v>0</v>
      </c>
      <c r="K295" s="2604"/>
      <c r="L295" s="2604">
        <f t="shared" si="64"/>
        <v>122372</v>
      </c>
      <c r="M295" s="480"/>
      <c r="N295" s="480"/>
      <c r="O295" s="480"/>
      <c r="P295" s="480"/>
      <c r="Q295" s="480"/>
      <c r="R295" s="480"/>
      <c r="S295" s="480"/>
      <c r="T295" s="2633"/>
      <c r="U295" s="2634"/>
      <c r="V295" s="2635"/>
      <c r="W295" s="2634"/>
    </row>
    <row r="296" spans="3:23" x14ac:dyDescent="0.2">
      <c r="C296" s="2603" t="s">
        <v>61</v>
      </c>
      <c r="D296" s="2596">
        <f>'3 Business Segments FY20'!W19</f>
        <v>125753</v>
      </c>
      <c r="E296" s="2596">
        <f>'3 Business Segments FY20'!Z19</f>
        <v>100</v>
      </c>
      <c r="F296" s="2596">
        <f>'3 Business Segments FY20'!AA19</f>
        <v>-23</v>
      </c>
      <c r="G296" s="2596">
        <f>'3 Business Segments FY20'!AB19</f>
        <v>125830</v>
      </c>
      <c r="H296" s="2597"/>
      <c r="I296" s="2598">
        <f>'5 Canaccord Genuity '!BI97</f>
        <v>113715</v>
      </c>
      <c r="J296" s="2598">
        <f>'10 Wealth Management'!BI77</f>
        <v>201</v>
      </c>
      <c r="K296" s="2604"/>
      <c r="L296" s="2604">
        <f t="shared" si="64"/>
        <v>113916</v>
      </c>
      <c r="M296" s="480"/>
      <c r="N296" s="480"/>
      <c r="O296" s="480"/>
      <c r="P296" s="480"/>
      <c r="Q296" s="480"/>
      <c r="R296" s="480"/>
      <c r="S296" s="480"/>
      <c r="T296" s="2633"/>
      <c r="U296" s="2634"/>
      <c r="V296" s="2635"/>
      <c r="W296" s="2634"/>
    </row>
    <row r="297" spans="3:23" x14ac:dyDescent="0.2">
      <c r="C297" s="2603" t="s">
        <v>62</v>
      </c>
      <c r="D297" s="2596">
        <f>'3 Business Segments FY20'!W20</f>
        <v>13882</v>
      </c>
      <c r="E297" s="2596">
        <f>'3 Business Segments FY20'!Z20</f>
        <v>24136</v>
      </c>
      <c r="F297" s="2596">
        <f>'3 Business Segments FY20'!AA20</f>
        <v>12990</v>
      </c>
      <c r="G297" s="2596">
        <f>'3 Business Segments FY20'!AB20</f>
        <v>51008</v>
      </c>
      <c r="H297" s="2597"/>
      <c r="I297" s="2598">
        <f>'5 Canaccord Genuity '!BI98</f>
        <v>9735</v>
      </c>
      <c r="J297" s="2598">
        <f>'10 Wealth Management'!BI78</f>
        <v>12072</v>
      </c>
      <c r="K297" s="2604">
        <v>2094</v>
      </c>
      <c r="L297" s="2604">
        <f t="shared" si="64"/>
        <v>23901</v>
      </c>
      <c r="M297" s="480"/>
      <c r="N297" s="480"/>
      <c r="O297" s="480"/>
      <c r="P297" s="480"/>
      <c r="Q297" s="480"/>
      <c r="R297" s="480"/>
      <c r="S297" s="480"/>
      <c r="T297" s="2633"/>
      <c r="U297" s="2634"/>
      <c r="V297" s="2635"/>
      <c r="W297" s="2634"/>
    </row>
    <row r="298" spans="3:23" x14ac:dyDescent="0.2">
      <c r="C298" s="2603" t="s">
        <v>63</v>
      </c>
      <c r="D298" s="2596">
        <f>'3 Business Segments FY20'!W21</f>
        <v>4721</v>
      </c>
      <c r="E298" s="2596">
        <f>'3 Business Segments FY20'!Z21</f>
        <v>4601</v>
      </c>
      <c r="F298" s="2596">
        <f>'3 Business Segments FY20'!AA21</f>
        <v>11463</v>
      </c>
      <c r="G298" s="2596">
        <f>'3 Business Segments FY20'!AB21</f>
        <v>20785</v>
      </c>
      <c r="H298" s="2597">
        <f t="shared" ref="H298:H309" si="65">SUM(D298:F298)-G298</f>
        <v>0</v>
      </c>
      <c r="I298" s="2598">
        <f>'5 Canaccord Genuity '!BI99</f>
        <v>1788</v>
      </c>
      <c r="J298" s="2598">
        <f>'10 Wealth Management'!BI79</f>
        <v>3801</v>
      </c>
      <c r="K298" s="2604">
        <v>4081</v>
      </c>
      <c r="L298" s="2604">
        <f t="shared" si="64"/>
        <v>9670</v>
      </c>
      <c r="M298" s="480"/>
      <c r="N298" s="480"/>
      <c r="O298" s="480"/>
      <c r="P298" s="480"/>
      <c r="Q298" s="480"/>
      <c r="R298" s="480"/>
      <c r="S298" s="480"/>
      <c r="T298" s="2633"/>
      <c r="U298" s="2634"/>
      <c r="V298" s="2635"/>
      <c r="W298" s="2634"/>
    </row>
    <row r="299" spans="3:23" x14ac:dyDescent="0.2">
      <c r="C299" s="2603" t="s">
        <v>523</v>
      </c>
      <c r="D299" s="2596">
        <f>SUM('3 Business Segments FY20'!R42:V42)-SUM(D300:D306)</f>
        <v>590253</v>
      </c>
      <c r="E299" s="2596">
        <f>SUM('3 Business Segments FY20'!X42:Y42)-SUM(E300:E306)</f>
        <v>351929</v>
      </c>
      <c r="F299" s="2596">
        <f>G299-E299-D299</f>
        <v>65437</v>
      </c>
      <c r="G299" s="2596">
        <f>'3 Business Segments FY20'!AB42-SUM(G300:G306)</f>
        <v>1007619</v>
      </c>
      <c r="H299" s="2597">
        <f>SUM(D299:F299)-G299</f>
        <v>0</v>
      </c>
      <c r="I299" s="2598" t="e">
        <f>'5 Canaccord Genuity '!BI44+'5 Canaccord Genuity '!BI52+'5 Canaccord Genuity '!BI53+'5 Canaccord Genuity '!BI55+'5 Canaccord Genuity '!BI59-SUM(I300:I306)</f>
        <v>#REF!</v>
      </c>
      <c r="J299" s="2598">
        <f>'10 Wealth Management'!BI35-SUM(J300:J306)</f>
        <v>288400</v>
      </c>
      <c r="K299" s="2604">
        <f>'13 Other'!BI37-SUM(K300:K306)</f>
        <v>49875</v>
      </c>
      <c r="L299" s="2604" t="e">
        <f t="shared" si="64"/>
        <v>#REF!</v>
      </c>
      <c r="M299" s="480"/>
      <c r="N299" s="480"/>
      <c r="O299" s="480"/>
      <c r="P299" s="480"/>
      <c r="Q299" s="480"/>
      <c r="R299" s="480"/>
      <c r="S299" s="480"/>
      <c r="T299" s="2633"/>
      <c r="U299" s="2634"/>
      <c r="V299" s="2635"/>
      <c r="W299" s="2634"/>
    </row>
    <row r="300" spans="3:23" x14ac:dyDescent="0.2">
      <c r="C300" s="2603" t="s">
        <v>69</v>
      </c>
      <c r="D300" s="2596">
        <f>SUM('3 Business Segments FY20'!R34:V34)</f>
        <v>7199</v>
      </c>
      <c r="E300" s="2596">
        <f>SUM('3 Business Segments FY20'!X34:Y34)</f>
        <v>16225</v>
      </c>
      <c r="F300" s="2596">
        <f t="shared" ref="F300:F309" si="66">G300-E300-D300</f>
        <v>856</v>
      </c>
      <c r="G300" s="2596">
        <f>'3 Business Segments FY20'!AB34</f>
        <v>24280</v>
      </c>
      <c r="H300" s="2597">
        <f t="shared" si="65"/>
        <v>0</v>
      </c>
      <c r="I300" s="2598" t="e">
        <f>'5 Canaccord Genuity '!BI36+#REF!</f>
        <v>#REF!</v>
      </c>
      <c r="J300" s="2598">
        <f>'10 Wealth Management'!BI29</f>
        <v>13152</v>
      </c>
      <c r="K300" s="2604">
        <f>'13 Other'!BI28</f>
        <v>1391</v>
      </c>
      <c r="L300" s="2604" t="e">
        <f t="shared" si="64"/>
        <v>#REF!</v>
      </c>
      <c r="M300" s="480"/>
      <c r="N300" s="480"/>
      <c r="O300" s="480"/>
      <c r="P300" s="480"/>
      <c r="Q300" s="480"/>
      <c r="R300" s="480"/>
      <c r="S300" s="480"/>
      <c r="T300" s="2633"/>
      <c r="U300" s="2634"/>
      <c r="V300" s="2635"/>
      <c r="W300" s="2634"/>
    </row>
    <row r="301" spans="3:23" x14ac:dyDescent="0.2">
      <c r="C301" s="2603" t="s">
        <v>70</v>
      </c>
      <c r="D301" s="2596">
        <f>SUM('3 Business Segments FY20'!R36:V36)</f>
        <v>452</v>
      </c>
      <c r="E301" s="2596">
        <f>SUM('3 Business Segments FY20'!X36:Y36)</f>
        <v>14906</v>
      </c>
      <c r="F301" s="2596">
        <f t="shared" si="66"/>
        <v>155</v>
      </c>
      <c r="G301" s="2596">
        <f>'3 Business Segments FY20'!AB36</f>
        <v>15513</v>
      </c>
      <c r="H301" s="2597">
        <f t="shared" si="65"/>
        <v>0</v>
      </c>
      <c r="I301" s="2598" t="e">
        <f>'5 Canaccord Genuity '!BI38+#REF!</f>
        <v>#REF!</v>
      </c>
      <c r="J301" s="2598">
        <f>'10 Wealth Management'!BI31</f>
        <v>6773</v>
      </c>
      <c r="K301" s="2604">
        <f>'13 Other'!BI30</f>
        <v>201</v>
      </c>
      <c r="L301" s="2604" t="e">
        <f t="shared" si="64"/>
        <v>#REF!</v>
      </c>
      <c r="M301" s="480"/>
      <c r="N301" s="480"/>
      <c r="O301" s="480"/>
      <c r="P301" s="480"/>
      <c r="Q301" s="480"/>
      <c r="R301" s="480"/>
      <c r="S301" s="480"/>
      <c r="T301" s="2633"/>
      <c r="U301" s="2634"/>
      <c r="V301" s="2635"/>
      <c r="W301" s="2634"/>
    </row>
    <row r="302" spans="3:23" x14ac:dyDescent="0.2">
      <c r="C302" s="2603" t="s">
        <v>524</v>
      </c>
      <c r="D302" s="2596">
        <f>SUM('3 Business Segments FY20'!R32:V32)</f>
        <v>9810</v>
      </c>
      <c r="E302" s="2596">
        <f>SUM('3 Business Segments FY20'!X32:Y32)</f>
        <v>4593</v>
      </c>
      <c r="F302" s="2596">
        <f t="shared" si="66"/>
        <v>11050</v>
      </c>
      <c r="G302" s="2596">
        <f>'3 Business Segments FY20'!AB32</f>
        <v>25453</v>
      </c>
      <c r="H302" s="2597">
        <f t="shared" si="65"/>
        <v>0</v>
      </c>
      <c r="I302" s="2598" t="e">
        <f>'5 Canaccord Genuity '!BI34+#REF!</f>
        <v>#REF!</v>
      </c>
      <c r="J302" s="2598">
        <f>'10 Wealth Management'!BI27</f>
        <v>2741</v>
      </c>
      <c r="K302" s="2604">
        <f>'13 Other'!BJ26</f>
        <v>4825</v>
      </c>
      <c r="L302" s="2604" t="e">
        <f t="shared" si="64"/>
        <v>#REF!</v>
      </c>
      <c r="M302" s="480"/>
      <c r="N302" s="480"/>
      <c r="O302" s="480"/>
      <c r="P302" s="480"/>
      <c r="Q302" s="480"/>
      <c r="R302" s="480"/>
      <c r="S302" s="480"/>
      <c r="T302" s="2633"/>
      <c r="U302" s="2634"/>
      <c r="V302" s="2635"/>
      <c r="W302" s="2634"/>
    </row>
    <row r="303" spans="3:23" x14ac:dyDescent="0.2">
      <c r="C303" s="2603" t="s">
        <v>164</v>
      </c>
      <c r="D303" s="2596">
        <f>SUM('3 Business Segments FY20'!R37:V37)</f>
        <v>13070</v>
      </c>
      <c r="E303" s="2596">
        <f>SUM('3 Business Segments FY20'!X37:Y37)</f>
        <v>0</v>
      </c>
      <c r="F303" s="2596">
        <f t="shared" si="66"/>
        <v>0</v>
      </c>
      <c r="G303" s="2596">
        <f>'3 Business Segments FY20'!AB37</f>
        <v>13070</v>
      </c>
      <c r="H303" s="2597">
        <f t="shared" si="65"/>
        <v>0</v>
      </c>
      <c r="I303" s="2598">
        <f>'5 Canaccord Genuity '!BI39</f>
        <v>4704</v>
      </c>
      <c r="J303" s="2598">
        <f>'10 Wealth Management'!BI32</f>
        <v>2939</v>
      </c>
      <c r="K303" s="2604">
        <f>'13 Other'!BI34</f>
        <v>1898</v>
      </c>
      <c r="L303" s="2604">
        <f t="shared" si="64"/>
        <v>9541</v>
      </c>
      <c r="M303" s="480"/>
      <c r="N303" s="480"/>
      <c r="O303" s="480"/>
      <c r="P303" s="480"/>
      <c r="Q303" s="480"/>
      <c r="R303" s="480"/>
      <c r="S303" s="480"/>
      <c r="T303" s="2633"/>
      <c r="U303" s="2634"/>
      <c r="V303" s="2635"/>
      <c r="W303" s="2634"/>
    </row>
    <row r="304" spans="3:23" x14ac:dyDescent="0.2">
      <c r="C304" s="2603" t="s">
        <v>185</v>
      </c>
      <c r="D304" s="2596">
        <f>SUM('3 Business Segments FY20'!R38:V38)</f>
        <v>1976</v>
      </c>
      <c r="E304" s="2596">
        <f>SUM('3 Business Segments FY20'!X38:Y38)</f>
        <v>1088</v>
      </c>
      <c r="F304" s="2596">
        <f t="shared" si="66"/>
        <v>0</v>
      </c>
      <c r="G304" s="2596">
        <f>'3 Business Segments FY20'!AB38</f>
        <v>3064</v>
      </c>
      <c r="H304" s="2597">
        <f t="shared" si="65"/>
        <v>0</v>
      </c>
      <c r="I304" s="2598"/>
      <c r="J304" s="2598">
        <f>'10 Wealth Management'!BI34</f>
        <v>6732</v>
      </c>
      <c r="K304" s="2604"/>
      <c r="L304" s="2604">
        <f t="shared" si="64"/>
        <v>6732</v>
      </c>
      <c r="M304" s="480"/>
      <c r="N304" s="480"/>
      <c r="O304" s="480"/>
      <c r="P304" s="480"/>
      <c r="Q304" s="480"/>
      <c r="R304" s="480"/>
      <c r="S304" s="480"/>
      <c r="T304" s="2633"/>
      <c r="U304" s="2634"/>
      <c r="V304" s="2635"/>
      <c r="W304" s="2634"/>
    </row>
    <row r="305" spans="3:23" x14ac:dyDescent="0.2">
      <c r="C305" s="2595" t="s">
        <v>585</v>
      </c>
      <c r="D305" s="2596"/>
      <c r="E305" s="2596"/>
      <c r="F305" s="2596">
        <v>13500</v>
      </c>
      <c r="G305" s="2596">
        <f>'3 Business Segments FY20'!AA40</f>
        <v>8608</v>
      </c>
      <c r="H305" s="2597"/>
      <c r="I305" s="2598"/>
      <c r="J305" s="2598"/>
      <c r="K305" s="2604"/>
      <c r="L305" s="2604">
        <f t="shared" si="64"/>
        <v>0</v>
      </c>
      <c r="M305" s="480"/>
      <c r="N305" s="480"/>
      <c r="O305" s="480"/>
      <c r="P305" s="480"/>
      <c r="Q305" s="480"/>
      <c r="R305" s="480"/>
      <c r="S305" s="480"/>
      <c r="T305" s="2633"/>
      <c r="U305" s="2634"/>
      <c r="V305" s="2635"/>
      <c r="W305" s="2634"/>
    </row>
    <row r="306" spans="3:23" ht="13.5" thickBot="1" x14ac:dyDescent="0.25">
      <c r="C306" s="2636" t="s">
        <v>583</v>
      </c>
      <c r="D306" s="2609"/>
      <c r="E306" s="2609"/>
      <c r="F306" s="2609">
        <f>'13 Other'!BH36</f>
        <v>304</v>
      </c>
      <c r="G306" s="2596">
        <f>'3 Business Segments FY20'!AA41</f>
        <v>304</v>
      </c>
      <c r="H306" s="2597">
        <f t="shared" si="65"/>
        <v>0</v>
      </c>
      <c r="I306" s="2725">
        <v>0</v>
      </c>
      <c r="J306" s="2611" t="s">
        <v>413</v>
      </c>
      <c r="K306" s="2726">
        <f>'13 Other'!BI36</f>
        <v>298</v>
      </c>
      <c r="L306" s="2726">
        <f t="shared" si="64"/>
        <v>298</v>
      </c>
      <c r="M306" s="480"/>
      <c r="N306" s="480"/>
      <c r="O306" s="480"/>
      <c r="P306" s="480"/>
      <c r="Q306" s="480"/>
      <c r="R306" s="480"/>
      <c r="S306" s="480"/>
      <c r="T306" s="2"/>
      <c r="U306" s="2"/>
      <c r="V306" s="2"/>
      <c r="W306" s="2"/>
    </row>
    <row r="307" spans="3:23" ht="14.25" thickTop="1" thickBot="1" x14ac:dyDescent="0.25">
      <c r="C307" s="2637" t="s">
        <v>183</v>
      </c>
      <c r="D307" s="2607">
        <f>SUM(D293:D298)-SUM(D299:D306)</f>
        <v>81566</v>
      </c>
      <c r="E307" s="2607">
        <f>SUM(E293:E298)-SUM(E299:E306)</f>
        <v>73070</v>
      </c>
      <c r="F307" s="2607">
        <f>SUM(F293:F298)-SUM(F299:F306)</f>
        <v>-66872</v>
      </c>
      <c r="G307" s="2607">
        <f>SUM(G293:G298)-SUM(G299:G306)</f>
        <v>92656</v>
      </c>
      <c r="H307" s="2597">
        <f t="shared" si="65"/>
        <v>-4892</v>
      </c>
      <c r="I307" s="2607" t="e">
        <f>SUM(I293:I298)-SUM(I299:I306)</f>
        <v>#REF!</v>
      </c>
      <c r="J307" s="2607">
        <f>SUM(J293:J298)-SUM(J299:J306)</f>
        <v>49528</v>
      </c>
      <c r="K307" s="2607">
        <f>SUM(K293:K298)-SUM(K299:K306)</f>
        <v>-52313</v>
      </c>
      <c r="L307" s="2607" t="e">
        <f>SUM(L293:L298)-SUM(L299:L306)</f>
        <v>#REF!</v>
      </c>
      <c r="M307" s="480"/>
      <c r="N307" s="480"/>
      <c r="O307" s="480"/>
      <c r="P307" s="480"/>
      <c r="Q307" s="480"/>
      <c r="R307" s="480"/>
      <c r="S307" s="480"/>
      <c r="T307" s="2"/>
      <c r="U307" s="2"/>
      <c r="V307" s="2"/>
      <c r="W307" s="2"/>
    </row>
    <row r="308" spans="3:23" ht="13.5" thickBot="1" x14ac:dyDescent="0.25">
      <c r="C308" s="2638" t="s">
        <v>332</v>
      </c>
      <c r="D308" s="2609">
        <f>SUM('3 Business Segments FY20'!R45:V45)</f>
        <v>18689</v>
      </c>
      <c r="E308" s="2609">
        <f>SUM('3 Business Segments FY20'!X45:Y45)</f>
        <v>14467</v>
      </c>
      <c r="F308" s="2609">
        <f t="shared" si="66"/>
        <v>-33156</v>
      </c>
      <c r="G308" s="2610"/>
      <c r="H308" s="2597">
        <f t="shared" si="65"/>
        <v>0</v>
      </c>
      <c r="I308" s="2609">
        <f>'5 Canaccord Genuity '!BI63</f>
        <v>16524</v>
      </c>
      <c r="J308" s="2609">
        <f>'10 Wealth Management'!BI37</f>
        <v>15529</v>
      </c>
      <c r="K308" s="2609">
        <f>'13 Other'!BI39</f>
        <v>-32053</v>
      </c>
      <c r="L308" s="2609">
        <f>SUM('3 Business Segments FY20'!Z45:AD45)</f>
        <v>-18689</v>
      </c>
      <c r="M308" s="480"/>
      <c r="N308" s="480"/>
      <c r="O308" s="480"/>
      <c r="P308" s="480"/>
      <c r="Q308" s="480"/>
      <c r="R308" s="480"/>
      <c r="S308" s="480"/>
      <c r="T308" s="2"/>
      <c r="U308" s="2"/>
      <c r="V308" s="2"/>
      <c r="W308" s="2"/>
    </row>
    <row r="309" spans="3:23" ht="14.25" thickTop="1" thickBot="1" x14ac:dyDescent="0.25">
      <c r="C309" s="2638" t="s">
        <v>72</v>
      </c>
      <c r="D309" s="2609">
        <f>D307-D308</f>
        <v>62877</v>
      </c>
      <c r="E309" s="2612">
        <f>E307-E308</f>
        <v>58603</v>
      </c>
      <c r="F309" s="2612">
        <f t="shared" si="66"/>
        <v>-28824</v>
      </c>
      <c r="G309" s="2609">
        <f>G307</f>
        <v>92656</v>
      </c>
      <c r="H309" s="2597">
        <f t="shared" si="65"/>
        <v>0</v>
      </c>
      <c r="I309" s="2609" t="e">
        <f t="shared" ref="I309:L309" si="67">I307-I308</f>
        <v>#REF!</v>
      </c>
      <c r="J309" s="2609">
        <f t="shared" si="67"/>
        <v>33999</v>
      </c>
      <c r="K309" s="2609">
        <f t="shared" si="67"/>
        <v>-20260</v>
      </c>
      <c r="L309" s="2609" t="e">
        <f t="shared" si="67"/>
        <v>#REF!</v>
      </c>
      <c r="M309" s="480"/>
      <c r="N309" s="480"/>
      <c r="O309" s="480"/>
      <c r="P309" s="480"/>
      <c r="Q309" s="480"/>
      <c r="R309" s="480"/>
      <c r="S309" s="480"/>
      <c r="T309" s="2"/>
      <c r="U309" s="2"/>
      <c r="V309" s="2"/>
      <c r="W309" s="2"/>
    </row>
    <row r="310" spans="3:23" ht="14.25" thickTop="1" x14ac:dyDescent="0.25">
      <c r="C310" s="480"/>
      <c r="D310" s="480"/>
      <c r="E310" s="347"/>
      <c r="F310" s="480"/>
      <c r="G310" s="480"/>
      <c r="H310" s="2614"/>
      <c r="I310" s="480"/>
      <c r="J310" s="480"/>
      <c r="K310" s="480"/>
      <c r="L310" s="480"/>
      <c r="M310" s="480"/>
      <c r="N310" s="480"/>
      <c r="O310" s="480"/>
      <c r="P310" s="480"/>
      <c r="Q310" s="480"/>
      <c r="R310" s="480"/>
      <c r="S310" s="480"/>
      <c r="T310" s="2"/>
      <c r="U310" s="2"/>
      <c r="V310" s="2"/>
      <c r="W310" s="2"/>
    </row>
    <row r="311" spans="3:23" ht="13.5" x14ac:dyDescent="0.25">
      <c r="C311" s="480"/>
      <c r="D311" s="480"/>
      <c r="E311" s="480"/>
      <c r="F311" s="480"/>
      <c r="G311" s="2613"/>
      <c r="H311" s="2614"/>
      <c r="I311" s="480"/>
      <c r="J311" s="480"/>
      <c r="K311" s="480"/>
      <c r="L311" s="480"/>
      <c r="M311" s="480"/>
      <c r="N311" s="480"/>
      <c r="O311" s="480"/>
      <c r="P311" s="480"/>
      <c r="Q311" s="480"/>
      <c r="R311" s="480"/>
      <c r="S311" s="480"/>
      <c r="T311" s="2"/>
      <c r="U311" s="2"/>
      <c r="V311" s="2"/>
      <c r="W311" s="2"/>
    </row>
    <row r="312" spans="3:23" ht="13.5" x14ac:dyDescent="0.25">
      <c r="C312" s="480"/>
      <c r="D312" s="2613"/>
      <c r="E312" s="480"/>
      <c r="F312" s="480"/>
      <c r="G312" s="480"/>
      <c r="H312" s="2614"/>
      <c r="I312" s="480"/>
      <c r="J312" s="480"/>
      <c r="K312" s="480"/>
      <c r="L312" s="480"/>
      <c r="M312" s="480"/>
      <c r="N312" s="480"/>
      <c r="O312" s="480"/>
      <c r="P312" s="480"/>
      <c r="Q312" s="480"/>
      <c r="R312" s="480"/>
      <c r="S312" s="480"/>
      <c r="T312" s="2"/>
      <c r="U312" s="2"/>
      <c r="V312" s="2"/>
      <c r="W312" s="2"/>
    </row>
    <row r="313" spans="3:23" ht="13.5" x14ac:dyDescent="0.25">
      <c r="C313" s="480"/>
      <c r="D313" s="2613">
        <f>SUM(D293:D298)-SUM(D299:D306)</f>
        <v>81566</v>
      </c>
      <c r="E313" s="2613">
        <f t="shared" ref="E313:G313" si="68">SUM(E293:E298)-SUM(E299:E306)</f>
        <v>73070</v>
      </c>
      <c r="F313" s="2613">
        <f t="shared" si="68"/>
        <v>-66872</v>
      </c>
      <c r="G313" s="2613">
        <f t="shared" si="68"/>
        <v>92656</v>
      </c>
      <c r="H313" s="2614"/>
      <c r="I313" s="480"/>
      <c r="J313" s="480"/>
      <c r="K313" s="480"/>
      <c r="L313" s="480"/>
      <c r="M313" s="480"/>
      <c r="N313" s="480"/>
      <c r="O313" s="480"/>
      <c r="P313" s="480"/>
      <c r="Q313" s="480"/>
      <c r="R313" s="480"/>
      <c r="S313" s="480"/>
      <c r="T313" s="2"/>
      <c r="U313" s="2"/>
      <c r="V313" s="2"/>
      <c r="W313" s="2"/>
    </row>
    <row r="314" spans="3:23" ht="13.5" x14ac:dyDescent="0.25">
      <c r="C314" s="480"/>
      <c r="D314" s="2613">
        <f>D308</f>
        <v>18689</v>
      </c>
      <c r="E314" s="2613">
        <f t="shared" ref="E314:G314" si="69">E308</f>
        <v>14467</v>
      </c>
      <c r="F314" s="2613">
        <f t="shared" si="69"/>
        <v>-33156</v>
      </c>
      <c r="G314" s="2613">
        <f t="shared" si="69"/>
        <v>0</v>
      </c>
      <c r="H314" s="2614"/>
      <c r="I314" s="480"/>
      <c r="J314" s="480"/>
      <c r="K314" s="480"/>
      <c r="L314" s="480"/>
      <c r="M314" s="480"/>
      <c r="N314" s="480"/>
      <c r="O314" s="480"/>
      <c r="P314" s="480"/>
      <c r="Q314" s="480"/>
      <c r="R314" s="480"/>
      <c r="S314" s="480"/>
      <c r="T314" s="2"/>
      <c r="U314" s="2"/>
      <c r="V314" s="2"/>
      <c r="W314" s="2"/>
    </row>
    <row r="315" spans="3:23" ht="13.5" x14ac:dyDescent="0.25">
      <c r="C315" s="480"/>
      <c r="D315" s="2613">
        <f>D313-D314</f>
        <v>62877</v>
      </c>
      <c r="E315" s="2613">
        <f t="shared" ref="E315:G315" si="70">E313-E314</f>
        <v>58603</v>
      </c>
      <c r="F315" s="2613">
        <f t="shared" si="70"/>
        <v>-33716</v>
      </c>
      <c r="G315" s="2613">
        <f t="shared" si="70"/>
        <v>92656</v>
      </c>
      <c r="H315" s="2614"/>
      <c r="I315" s="480"/>
      <c r="J315" s="480"/>
      <c r="K315" s="480"/>
      <c r="L315" s="480"/>
      <c r="M315" s="480"/>
      <c r="N315" s="480"/>
      <c r="O315" s="480"/>
      <c r="P315" s="480"/>
      <c r="Q315" s="480"/>
      <c r="R315" s="480"/>
      <c r="S315" s="480"/>
      <c r="T315" s="480"/>
      <c r="U315" s="480"/>
      <c r="V315" s="480"/>
      <c r="W315" s="480"/>
    </row>
    <row r="316" spans="3:23" ht="13.5" x14ac:dyDescent="0.25">
      <c r="C316" s="480"/>
      <c r="D316" s="480"/>
      <c r="E316" s="480"/>
      <c r="F316" s="480"/>
      <c r="G316" s="480"/>
      <c r="H316" s="2614"/>
      <c r="I316" s="480"/>
      <c r="J316" s="480"/>
      <c r="K316" s="480"/>
      <c r="L316" s="480"/>
      <c r="M316" s="480"/>
      <c r="N316" s="480"/>
      <c r="O316" s="480"/>
      <c r="P316" s="480"/>
      <c r="Q316" s="480"/>
      <c r="R316" s="480"/>
      <c r="S316" s="480"/>
      <c r="T316" s="480"/>
      <c r="U316" s="480"/>
      <c r="V316" s="480"/>
      <c r="W316" s="480"/>
    </row>
    <row r="317" spans="3:23" ht="13.5" x14ac:dyDescent="0.25">
      <c r="C317" s="480"/>
      <c r="D317" s="480"/>
      <c r="E317" s="480"/>
      <c r="F317" s="480"/>
      <c r="G317" s="480"/>
      <c r="H317" s="2614"/>
      <c r="I317" s="480"/>
      <c r="J317" s="480"/>
      <c r="K317" s="480"/>
      <c r="L317" s="480"/>
      <c r="M317" s="480"/>
      <c r="N317" s="480"/>
      <c r="O317" s="480"/>
      <c r="P317" s="480"/>
      <c r="Q317" s="480"/>
      <c r="R317" s="480"/>
      <c r="S317" s="480"/>
      <c r="T317" s="480"/>
      <c r="U317" s="480"/>
      <c r="V317" s="480"/>
      <c r="W317" s="480"/>
    </row>
    <row r="318" spans="3:23" ht="13.5" x14ac:dyDescent="0.25">
      <c r="C318" s="480"/>
      <c r="D318" s="480"/>
      <c r="E318" s="480"/>
      <c r="F318" s="480"/>
      <c r="G318" s="480"/>
      <c r="H318" s="2614"/>
      <c r="I318" s="480"/>
      <c r="J318" s="480"/>
      <c r="K318" s="480"/>
      <c r="L318" s="480"/>
      <c r="M318" s="480"/>
      <c r="N318" s="480"/>
      <c r="O318" s="480"/>
      <c r="P318" s="480"/>
      <c r="Q318" s="480"/>
      <c r="R318" s="480"/>
      <c r="S318" s="480"/>
      <c r="T318" s="480"/>
      <c r="U318" s="480"/>
      <c r="V318" s="480"/>
      <c r="W318" s="480"/>
    </row>
    <row r="319" spans="3:23" ht="13.5" x14ac:dyDescent="0.25">
      <c r="C319" s="480"/>
      <c r="D319" s="480"/>
      <c r="E319" s="480"/>
      <c r="F319" s="480"/>
      <c r="G319" s="480"/>
      <c r="H319" s="2614"/>
      <c r="I319" s="480"/>
      <c r="J319" s="480"/>
      <c r="K319" s="480"/>
      <c r="L319" s="480"/>
      <c r="M319" s="480"/>
      <c r="N319" s="480"/>
      <c r="O319" s="480"/>
      <c r="P319" s="480"/>
      <c r="Q319" s="480"/>
      <c r="R319" s="480"/>
      <c r="S319" s="480"/>
      <c r="T319" s="480"/>
      <c r="U319" s="480"/>
      <c r="V319" s="480"/>
      <c r="W319" s="480"/>
    </row>
    <row r="320" spans="3:23" ht="13.5" x14ac:dyDescent="0.25">
      <c r="C320" s="480"/>
      <c r="D320" s="480"/>
      <c r="E320" s="480"/>
      <c r="F320" s="480"/>
      <c r="G320" s="480"/>
      <c r="H320" s="2614"/>
      <c r="I320" s="480"/>
      <c r="J320" s="480"/>
      <c r="K320" s="480"/>
      <c r="L320" s="480"/>
      <c r="M320" s="480"/>
      <c r="N320" s="480"/>
      <c r="O320" s="480"/>
      <c r="P320" s="480"/>
      <c r="Q320" s="480"/>
      <c r="R320" s="480"/>
      <c r="S320" s="480"/>
      <c r="T320" s="480"/>
      <c r="U320" s="480"/>
      <c r="V320" s="480"/>
      <c r="W320" s="480"/>
    </row>
    <row r="321" spans="3:23" ht="13.5" x14ac:dyDescent="0.25">
      <c r="C321" s="480"/>
      <c r="D321" s="2613"/>
      <c r="E321" s="2613"/>
      <c r="F321" s="2613"/>
      <c r="G321" s="2613"/>
      <c r="H321" s="2614"/>
      <c r="I321" s="480"/>
      <c r="J321" s="480"/>
      <c r="K321" s="480"/>
      <c r="L321" s="480"/>
      <c r="M321" s="480"/>
      <c r="N321" s="480"/>
      <c r="O321" s="480"/>
      <c r="P321" s="480"/>
      <c r="Q321" s="480"/>
      <c r="R321" s="480"/>
      <c r="S321" s="480"/>
      <c r="T321" s="480"/>
      <c r="U321" s="480"/>
      <c r="V321" s="480"/>
      <c r="W321" s="480"/>
    </row>
  </sheetData>
  <mergeCells count="62">
    <mergeCell ref="K6:K7"/>
    <mergeCell ref="C287:C288"/>
    <mergeCell ref="D287:D288"/>
    <mergeCell ref="F287:F288"/>
    <mergeCell ref="G287:G288"/>
    <mergeCell ref="C225:C226"/>
    <mergeCell ref="F225:F227"/>
    <mergeCell ref="I225:I227"/>
    <mergeCell ref="D226:E226"/>
    <mergeCell ref="G226:H226"/>
    <mergeCell ref="C172:C174"/>
    <mergeCell ref="F172:F174"/>
    <mergeCell ref="I172:I174"/>
    <mergeCell ref="C198:C200"/>
    <mergeCell ref="F198:F200"/>
    <mergeCell ref="I198:I200"/>
    <mergeCell ref="G199:H199"/>
    <mergeCell ref="C157:C158"/>
    <mergeCell ref="F157:F159"/>
    <mergeCell ref="I157:I159"/>
    <mergeCell ref="C93:C94"/>
    <mergeCell ref="F93:F95"/>
    <mergeCell ref="I93:I95"/>
    <mergeCell ref="C108:C109"/>
    <mergeCell ref="F108:F110"/>
    <mergeCell ref="I108:I110"/>
    <mergeCell ref="D93:E94"/>
    <mergeCell ref="G93:H94"/>
    <mergeCell ref="C123:C124"/>
    <mergeCell ref="F123:F125"/>
    <mergeCell ref="C144:C145"/>
    <mergeCell ref="F144:F146"/>
    <mergeCell ref="I144:I146"/>
    <mergeCell ref="D6:F6"/>
    <mergeCell ref="H6:J6"/>
    <mergeCell ref="C42:E42"/>
    <mergeCell ref="D56:E56"/>
    <mergeCell ref="F56:F57"/>
    <mergeCell ref="G56:H56"/>
    <mergeCell ref="I56:I57"/>
    <mergeCell ref="G6:G7"/>
    <mergeCell ref="C284:C285"/>
    <mergeCell ref="D284:D285"/>
    <mergeCell ref="E284:K285"/>
    <mergeCell ref="L284:M285"/>
    <mergeCell ref="P284:Q285"/>
    <mergeCell ref="H287:H288"/>
    <mergeCell ref="U289:V289"/>
    <mergeCell ref="T290:T291"/>
    <mergeCell ref="G109:H109"/>
    <mergeCell ref="D109:E109"/>
    <mergeCell ref="D124:E124"/>
    <mergeCell ref="G124:H124"/>
    <mergeCell ref="D145:E145"/>
    <mergeCell ref="G145:H145"/>
    <mergeCell ref="D158:E158"/>
    <mergeCell ref="G158:H158"/>
    <mergeCell ref="D173:E173"/>
    <mergeCell ref="G173:H173"/>
    <mergeCell ref="D199:E199"/>
    <mergeCell ref="T258:U258"/>
    <mergeCell ref="V258:W258"/>
  </mergeCells>
  <pageMargins left="0.7" right="0.7" top="0.75" bottom="0.75" header="0.3" footer="0.3"/>
  <pageSetup scale="4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24B3A7A-6F81-4085-BE01-A336F66C87CF}">
          <x14:formula1>
            <xm:f>'2 Consolidated IS'!$F$11:$R$11</xm:f>
          </x14:formula1>
          <xm:sqref>B4:B6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F73"/>
  <sheetViews>
    <sheetView topLeftCell="A40" zoomScaleNormal="100" zoomScaleSheetLayoutView="70" workbookViewId="0">
      <selection activeCell="D52" sqref="D52"/>
    </sheetView>
  </sheetViews>
  <sheetFormatPr defaultColWidth="9.140625" defaultRowHeight="12.75" x14ac:dyDescent="0.2"/>
  <cols>
    <col min="1" max="1" width="2.7109375" style="1183" customWidth="1"/>
    <col min="2" max="2" width="38.7109375" style="1183" customWidth="1"/>
    <col min="3" max="3" width="5.85546875" style="1145" customWidth="1"/>
    <col min="4" max="9" width="11.28515625" style="1184" customWidth="1"/>
    <col min="10" max="13" width="13.7109375" style="1184" customWidth="1"/>
    <col min="14" max="14" width="12" style="1184" bestFit="1" customWidth="1"/>
    <col min="15" max="15" width="4" style="1184" customWidth="1"/>
    <col min="16" max="16" width="7.42578125" style="1184" customWidth="1"/>
    <col min="17" max="17" width="4" style="1184" customWidth="1"/>
    <col min="18" max="23" width="11" style="1184" hidden="1" customWidth="1"/>
    <col min="24" max="26" width="10.85546875" style="1184" hidden="1" customWidth="1"/>
    <col min="27" max="27" width="12.5703125" style="1184" hidden="1" customWidth="1"/>
    <col min="28" max="28" width="12.42578125" style="1183" hidden="1" customWidth="1"/>
    <col min="29" max="29" width="9.140625" style="1180" hidden="1" customWidth="1"/>
    <col min="30" max="30" width="12.140625" style="1180" hidden="1" customWidth="1"/>
    <col min="31" max="31" width="14.140625" style="1180" hidden="1" customWidth="1"/>
    <col min="32" max="32" width="12.5703125" style="1180" hidden="1" customWidth="1"/>
    <col min="33" max="35" width="0" style="1180" hidden="1" customWidth="1"/>
    <col min="36" max="16384" width="9.140625" style="1180"/>
  </cols>
  <sheetData>
    <row r="1" spans="1:32" ht="12" customHeight="1" x14ac:dyDescent="0.2">
      <c r="M1" s="1213"/>
      <c r="N1" s="1213"/>
      <c r="O1" s="1213"/>
      <c r="P1" s="1213"/>
      <c r="Q1" s="1213"/>
      <c r="AA1" s="1213"/>
    </row>
    <row r="2" spans="1:32" x14ac:dyDescent="0.2">
      <c r="M2" s="1213"/>
      <c r="N2" s="1213"/>
      <c r="O2" s="1213"/>
      <c r="P2" s="1213"/>
      <c r="Q2" s="1213"/>
      <c r="AA2" s="1213"/>
    </row>
    <row r="3" spans="1:32" x14ac:dyDescent="0.2">
      <c r="M3" s="1213"/>
      <c r="N3" s="1213"/>
      <c r="O3" s="1213"/>
      <c r="P3" s="1213"/>
      <c r="Q3" s="1213"/>
      <c r="AA3" s="1213"/>
    </row>
    <row r="4" spans="1:32" x14ac:dyDescent="0.2">
      <c r="M4" s="1213"/>
      <c r="N4" s="1213"/>
      <c r="O4" s="1213"/>
      <c r="P4" s="1213"/>
      <c r="Q4" s="1213"/>
      <c r="AA4" s="1213"/>
    </row>
    <row r="5" spans="1:32" ht="20.25" customHeight="1" x14ac:dyDescent="0.2">
      <c r="A5" s="1184"/>
      <c r="B5" s="1184"/>
      <c r="M5" s="1214"/>
      <c r="N5" s="1214"/>
      <c r="O5" s="1214"/>
      <c r="P5" s="1214"/>
      <c r="Q5" s="1214"/>
      <c r="AA5" s="1214"/>
    </row>
    <row r="6" spans="1:32" ht="18" customHeight="1" x14ac:dyDescent="0.2">
      <c r="A6" s="1185" t="s">
        <v>362</v>
      </c>
      <c r="B6" s="1184"/>
      <c r="E6" s="2393"/>
      <c r="K6" s="2393"/>
      <c r="L6" s="2393"/>
      <c r="M6" s="1214"/>
      <c r="N6" s="1214"/>
      <c r="O6" s="1214"/>
      <c r="P6" s="1214"/>
      <c r="Q6" s="1214"/>
      <c r="S6" s="2393"/>
      <c r="Y6" s="2393"/>
      <c r="Z6" s="2393"/>
      <c r="AA6" s="1214"/>
    </row>
    <row r="7" spans="1:32" ht="18" customHeight="1" x14ac:dyDescent="0.2">
      <c r="A7" s="2573" t="s">
        <v>566</v>
      </c>
      <c r="B7" s="943"/>
      <c r="C7" s="899"/>
      <c r="D7" s="943"/>
      <c r="E7" s="943"/>
      <c r="F7" s="943"/>
      <c r="G7" s="943"/>
      <c r="H7" s="978"/>
      <c r="I7" s="978"/>
      <c r="J7" s="943"/>
      <c r="K7" s="943"/>
      <c r="L7" s="943"/>
      <c r="M7" s="1216"/>
      <c r="N7" s="1216"/>
      <c r="O7" s="1214"/>
      <c r="P7" s="1214"/>
      <c r="Q7" s="1214"/>
      <c r="R7" s="943"/>
      <c r="S7" s="943"/>
      <c r="T7" s="943"/>
      <c r="U7" s="943"/>
      <c r="V7" s="978"/>
      <c r="W7" s="978"/>
      <c r="X7" s="943"/>
      <c r="Y7" s="943"/>
      <c r="Z7" s="943"/>
      <c r="AA7" s="1216"/>
    </row>
    <row r="8" spans="1:32" ht="15" customHeight="1" x14ac:dyDescent="0.2">
      <c r="A8" s="944"/>
      <c r="B8" s="943"/>
      <c r="C8" s="899"/>
      <c r="D8" s="943"/>
      <c r="E8" s="943"/>
      <c r="F8" s="943"/>
      <c r="G8" s="943"/>
      <c r="H8" s="943"/>
      <c r="I8" s="943"/>
      <c r="J8" s="943"/>
      <c r="K8" s="943"/>
      <c r="L8" s="943"/>
      <c r="M8" s="1213"/>
      <c r="N8" s="1213"/>
      <c r="O8" s="1213"/>
      <c r="P8" s="1213"/>
      <c r="Q8" s="1213"/>
      <c r="R8" s="943"/>
      <c r="S8" s="943"/>
      <c r="T8" s="943"/>
      <c r="U8" s="943"/>
      <c r="V8" s="943"/>
      <c r="W8" s="943"/>
      <c r="X8" s="943"/>
      <c r="Y8" s="943"/>
      <c r="Z8" s="943"/>
      <c r="AA8" s="1213"/>
    </row>
    <row r="9" spans="1:32" ht="15" customHeight="1" x14ac:dyDescent="0.2">
      <c r="A9" s="944"/>
      <c r="B9" s="943"/>
      <c r="C9" s="899"/>
      <c r="D9" s="943"/>
      <c r="E9" s="943"/>
      <c r="F9" s="943"/>
      <c r="G9" s="943"/>
      <c r="H9" s="943"/>
      <c r="I9" s="943"/>
      <c r="J9" s="943"/>
      <c r="K9" s="943"/>
      <c r="L9" s="943"/>
      <c r="M9" s="1213"/>
      <c r="N9" s="1213"/>
      <c r="O9" s="1213"/>
      <c r="P9" s="1213"/>
      <c r="Q9" s="1213"/>
      <c r="R9" s="943"/>
      <c r="S9" s="943"/>
      <c r="T9" s="943"/>
      <c r="U9" s="943"/>
      <c r="V9" s="943"/>
      <c r="W9" s="943"/>
      <c r="X9" s="943"/>
      <c r="Y9" s="943"/>
      <c r="Z9" s="943"/>
      <c r="AA9" s="1213"/>
    </row>
    <row r="10" spans="1:32" ht="15" customHeight="1" x14ac:dyDescent="0.2">
      <c r="A10" s="944"/>
      <c r="B10" s="943"/>
      <c r="C10" s="899"/>
      <c r="D10" s="943"/>
      <c r="E10" s="943"/>
      <c r="F10" s="943"/>
      <c r="G10" s="943"/>
      <c r="H10" s="943"/>
      <c r="I10" s="943"/>
      <c r="J10" s="943"/>
      <c r="K10" s="943"/>
      <c r="L10" s="943"/>
      <c r="M10" s="1213"/>
      <c r="N10" s="1213"/>
      <c r="O10" s="1213"/>
      <c r="P10" s="1213"/>
      <c r="Q10" s="1213"/>
      <c r="R10" s="943"/>
      <c r="S10" s="943"/>
      <c r="T10" s="943"/>
      <c r="U10" s="943"/>
      <c r="V10" s="943"/>
      <c r="W10" s="943"/>
      <c r="X10" s="943"/>
      <c r="Y10" s="943"/>
      <c r="Z10" s="943"/>
      <c r="AA10" s="1213"/>
    </row>
    <row r="11" spans="1:32" ht="12.75" customHeight="1" x14ac:dyDescent="0.2">
      <c r="C11" s="897"/>
      <c r="D11" s="3152" t="s">
        <v>674</v>
      </c>
      <c r="E11" s="3153"/>
      <c r="F11" s="3153"/>
      <c r="G11" s="3153"/>
      <c r="H11" s="3153"/>
      <c r="I11" s="3153"/>
      <c r="J11" s="3153"/>
      <c r="K11" s="3153"/>
      <c r="L11" s="3153"/>
      <c r="M11" s="3153"/>
      <c r="N11" s="3154"/>
      <c r="R11" s="3152" t="s">
        <v>675</v>
      </c>
      <c r="S11" s="3153"/>
      <c r="T11" s="3153"/>
      <c r="U11" s="3153"/>
      <c r="V11" s="3153"/>
      <c r="W11" s="3153"/>
      <c r="X11" s="3153"/>
      <c r="Y11" s="3153"/>
      <c r="Z11" s="3153"/>
      <c r="AA11" s="3153"/>
      <c r="AB11" s="3154"/>
      <c r="AD11" s="1919" t="s">
        <v>554</v>
      </c>
    </row>
    <row r="12" spans="1:32" ht="25.5" x14ac:dyDescent="0.2">
      <c r="A12" s="945" t="s">
        <v>1</v>
      </c>
      <c r="B12" s="946"/>
      <c r="C12" s="2561"/>
      <c r="D12" s="3152" t="s">
        <v>85</v>
      </c>
      <c r="E12" s="3153"/>
      <c r="F12" s="3153"/>
      <c r="G12" s="3153"/>
      <c r="H12" s="3153"/>
      <c r="I12" s="3154"/>
      <c r="J12" s="3158" t="s">
        <v>553</v>
      </c>
      <c r="K12" s="3159"/>
      <c r="L12" s="3160"/>
      <c r="M12" s="2570" t="s">
        <v>557</v>
      </c>
      <c r="N12" s="3155" t="s">
        <v>58</v>
      </c>
      <c r="O12" s="949"/>
      <c r="P12" s="941"/>
      <c r="Q12" s="941"/>
      <c r="R12" s="3152" t="s">
        <v>85</v>
      </c>
      <c r="S12" s="3153"/>
      <c r="T12" s="3153"/>
      <c r="U12" s="3153"/>
      <c r="V12" s="3153"/>
      <c r="W12" s="3154"/>
      <c r="X12" s="3158" t="s">
        <v>553</v>
      </c>
      <c r="Y12" s="3159"/>
      <c r="Z12" s="3160"/>
      <c r="AA12" s="2570" t="s">
        <v>557</v>
      </c>
      <c r="AB12" s="3155" t="s">
        <v>58</v>
      </c>
    </row>
    <row r="13" spans="1:32" ht="36" x14ac:dyDescent="0.2">
      <c r="A13" s="945" t="s">
        <v>2</v>
      </c>
      <c r="B13" s="946"/>
      <c r="C13" s="2557"/>
      <c r="D13" s="992" t="s">
        <v>84</v>
      </c>
      <c r="E13" s="992" t="s">
        <v>95</v>
      </c>
      <c r="F13" s="2574" t="s">
        <v>550</v>
      </c>
      <c r="G13" s="992" t="s">
        <v>283</v>
      </c>
      <c r="H13" s="2567" t="s">
        <v>472</v>
      </c>
      <c r="I13" s="2575" t="s">
        <v>58</v>
      </c>
      <c r="J13" s="992" t="s">
        <v>84</v>
      </c>
      <c r="K13" s="2574" t="s">
        <v>551</v>
      </c>
      <c r="L13" s="2833" t="s">
        <v>58</v>
      </c>
      <c r="M13" s="993" t="s">
        <v>84</v>
      </c>
      <c r="N13" s="3156"/>
      <c r="O13" s="1808"/>
      <c r="P13" s="990"/>
      <c r="Q13" s="990"/>
      <c r="R13" s="2986" t="s">
        <v>84</v>
      </c>
      <c r="S13" s="992" t="s">
        <v>95</v>
      </c>
      <c r="T13" s="2574" t="s">
        <v>550</v>
      </c>
      <c r="U13" s="992" t="s">
        <v>283</v>
      </c>
      <c r="V13" s="2567" t="s">
        <v>472</v>
      </c>
      <c r="W13" s="2575" t="s">
        <v>58</v>
      </c>
      <c r="X13" s="992" t="s">
        <v>84</v>
      </c>
      <c r="Y13" s="2574" t="s">
        <v>551</v>
      </c>
      <c r="Z13" s="2833" t="s">
        <v>58</v>
      </c>
      <c r="AA13" s="993" t="s">
        <v>84</v>
      </c>
      <c r="AB13" s="3156"/>
      <c r="AC13" s="1315"/>
      <c r="AD13" s="1919" t="s">
        <v>555</v>
      </c>
      <c r="AE13" s="1919" t="s">
        <v>556</v>
      </c>
      <c r="AF13" s="1919" t="s">
        <v>552</v>
      </c>
    </row>
    <row r="14" spans="1:32" s="1315" customFormat="1" x14ac:dyDescent="0.2">
      <c r="A14" s="945"/>
      <c r="B14" s="946"/>
      <c r="C14" s="2557"/>
      <c r="D14" s="1224"/>
      <c r="E14" s="1224"/>
      <c r="F14" s="1224"/>
      <c r="G14" s="1224"/>
      <c r="H14" s="1225"/>
      <c r="I14" s="1225"/>
      <c r="J14" s="1224"/>
      <c r="K14" s="1224"/>
      <c r="L14" s="1228"/>
      <c r="M14" s="1225"/>
      <c r="N14" s="1228"/>
      <c r="O14" s="1808"/>
      <c r="P14" s="990"/>
      <c r="Q14" s="990"/>
      <c r="R14" s="1226"/>
      <c r="S14" s="1224"/>
      <c r="T14" s="1224"/>
      <c r="U14" s="1224"/>
      <c r="V14" s="1225"/>
      <c r="W14" s="1228"/>
      <c r="X14" s="1224"/>
      <c r="Y14" s="1224"/>
      <c r="Z14" s="1228"/>
      <c r="AA14" s="1225"/>
      <c r="AB14" s="1228"/>
    </row>
    <row r="15" spans="1:32" ht="12.75" customHeight="1" x14ac:dyDescent="0.2">
      <c r="A15" s="947" t="s">
        <v>59</v>
      </c>
      <c r="B15" s="948"/>
      <c r="C15" s="1147"/>
      <c r="D15" s="1208"/>
      <c r="E15" s="946"/>
      <c r="F15" s="1208"/>
      <c r="G15" s="1208"/>
      <c r="H15" s="1186"/>
      <c r="I15" s="1186"/>
      <c r="J15" s="1208"/>
      <c r="K15" s="1208"/>
      <c r="L15" s="1229"/>
      <c r="M15" s="1059"/>
      <c r="N15" s="1229"/>
      <c r="O15" s="1188"/>
      <c r="P15" s="1208"/>
      <c r="Q15" s="1208"/>
      <c r="R15" s="1188"/>
      <c r="S15" s="946"/>
      <c r="T15" s="1208"/>
      <c r="U15" s="1208"/>
      <c r="V15" s="1186"/>
      <c r="W15" s="1229"/>
      <c r="X15" s="1208"/>
      <c r="Y15" s="1208"/>
      <c r="Z15" s="1229"/>
      <c r="AA15" s="1059"/>
      <c r="AB15" s="1229"/>
    </row>
    <row r="16" spans="1:32" ht="12.75" customHeight="1" x14ac:dyDescent="0.2">
      <c r="A16" s="946"/>
      <c r="B16" s="946" t="s">
        <v>300</v>
      </c>
      <c r="C16" s="922"/>
      <c r="D16" s="1205">
        <v>10072</v>
      </c>
      <c r="E16" s="1205">
        <v>16010</v>
      </c>
      <c r="F16" s="1205">
        <v>6120</v>
      </c>
      <c r="G16" s="1269">
        <v>3656</v>
      </c>
      <c r="H16" s="1245">
        <v>0</v>
      </c>
      <c r="I16" s="1245">
        <v>35858</v>
      </c>
      <c r="J16" s="1205">
        <v>36331</v>
      </c>
      <c r="K16" s="1205">
        <v>69603</v>
      </c>
      <c r="L16" s="1413">
        <v>105934</v>
      </c>
      <c r="M16" s="1409">
        <v>0</v>
      </c>
      <c r="N16" s="1413">
        <v>141792</v>
      </c>
      <c r="O16" s="1476"/>
      <c r="P16" s="1246"/>
      <c r="Q16" s="1246"/>
      <c r="R16" s="1396">
        <v>56755</v>
      </c>
      <c r="S16" s="1205">
        <v>77577</v>
      </c>
      <c r="T16" s="1205">
        <v>28170</v>
      </c>
      <c r="U16" s="1269">
        <v>13009</v>
      </c>
      <c r="V16" s="1245">
        <v>0</v>
      </c>
      <c r="W16" s="1265">
        <v>175511</v>
      </c>
      <c r="X16" s="1205">
        <v>131976</v>
      </c>
      <c r="Y16" s="1205">
        <v>248988</v>
      </c>
      <c r="Z16" s="1413">
        <v>380964</v>
      </c>
      <c r="AA16" s="1409">
        <v>0</v>
      </c>
      <c r="AB16" s="1413">
        <v>556475</v>
      </c>
    </row>
    <row r="17" spans="1:32" ht="12.75" customHeight="1" x14ac:dyDescent="0.2">
      <c r="A17" s="946"/>
      <c r="B17" s="946" t="s">
        <v>60</v>
      </c>
      <c r="C17" s="922"/>
      <c r="D17" s="1205">
        <v>34658</v>
      </c>
      <c r="E17" s="1205">
        <v>26182</v>
      </c>
      <c r="F17" s="1205">
        <v>3270</v>
      </c>
      <c r="G17" s="1269">
        <v>5374</v>
      </c>
      <c r="H17" s="1245">
        <v>0</v>
      </c>
      <c r="I17" s="1245">
        <v>69484</v>
      </c>
      <c r="J17" s="1205">
        <v>15317</v>
      </c>
      <c r="K17" s="1205">
        <v>0</v>
      </c>
      <c r="L17" s="1413">
        <v>15317</v>
      </c>
      <c r="M17" s="1409">
        <v>0</v>
      </c>
      <c r="N17" s="1413">
        <v>84801</v>
      </c>
      <c r="O17" s="1476"/>
      <c r="P17" s="1246"/>
      <c r="Q17" s="1246"/>
      <c r="R17" s="1396">
        <v>134582</v>
      </c>
      <c r="S17" s="1205">
        <v>73748</v>
      </c>
      <c r="T17" s="1205">
        <v>17852</v>
      </c>
      <c r="U17" s="1269">
        <v>17533</v>
      </c>
      <c r="V17" s="1245">
        <v>0</v>
      </c>
      <c r="W17" s="1265">
        <v>243715</v>
      </c>
      <c r="X17" s="1205">
        <v>50526</v>
      </c>
      <c r="Y17" s="1205">
        <v>0</v>
      </c>
      <c r="Z17" s="1413">
        <v>50526</v>
      </c>
      <c r="AA17" s="1409">
        <v>0</v>
      </c>
      <c r="AB17" s="1413">
        <v>294241</v>
      </c>
    </row>
    <row r="18" spans="1:32" ht="12.75" customHeight="1" x14ac:dyDescent="0.2">
      <c r="A18" s="946"/>
      <c r="B18" s="946" t="s">
        <v>208</v>
      </c>
      <c r="C18" s="922"/>
      <c r="D18" s="1205">
        <v>12885</v>
      </c>
      <c r="E18" s="1205">
        <v>30246</v>
      </c>
      <c r="F18" s="1205">
        <v>10169</v>
      </c>
      <c r="G18" s="1269">
        <v>161</v>
      </c>
      <c r="H18" s="1245">
        <v>1</v>
      </c>
      <c r="I18" s="1245">
        <v>53462</v>
      </c>
      <c r="J18" s="1205">
        <v>342</v>
      </c>
      <c r="K18" s="1205">
        <v>0</v>
      </c>
      <c r="L18" s="1413">
        <v>342</v>
      </c>
      <c r="M18" s="1409">
        <v>0</v>
      </c>
      <c r="N18" s="1413">
        <v>53804</v>
      </c>
      <c r="O18" s="1198"/>
      <c r="P18" s="1269"/>
      <c r="Q18" s="1269"/>
      <c r="R18" s="1396">
        <v>49050</v>
      </c>
      <c r="S18" s="1205">
        <v>49133</v>
      </c>
      <c r="T18" s="1205">
        <v>41896</v>
      </c>
      <c r="U18" s="1269">
        <v>665</v>
      </c>
      <c r="V18" s="1245">
        <v>0</v>
      </c>
      <c r="W18" s="1265">
        <v>140744</v>
      </c>
      <c r="X18" s="1205">
        <v>1484</v>
      </c>
      <c r="Y18" s="1205">
        <v>0</v>
      </c>
      <c r="Z18" s="1413">
        <v>1484</v>
      </c>
      <c r="AA18" s="1409">
        <v>0</v>
      </c>
      <c r="AB18" s="1413">
        <v>142228</v>
      </c>
    </row>
    <row r="19" spans="1:32" ht="12.75" customHeight="1" x14ac:dyDescent="0.2">
      <c r="A19" s="946"/>
      <c r="B19" s="946" t="s">
        <v>61</v>
      </c>
      <c r="C19" s="922"/>
      <c r="D19" s="1205">
        <v>1872</v>
      </c>
      <c r="E19" s="1205">
        <v>20612</v>
      </c>
      <c r="F19" s="1205">
        <v>2592</v>
      </c>
      <c r="G19" s="1269">
        <v>0</v>
      </c>
      <c r="H19" s="1245">
        <v>0</v>
      </c>
      <c r="I19" s="1245">
        <v>25076</v>
      </c>
      <c r="J19" s="1205">
        <v>-3</v>
      </c>
      <c r="K19" s="1205">
        <v>0</v>
      </c>
      <c r="L19" s="1413">
        <v>-3</v>
      </c>
      <c r="M19" s="1409">
        <v>0</v>
      </c>
      <c r="N19" s="1413">
        <v>25073</v>
      </c>
      <c r="O19" s="1198"/>
      <c r="P19" s="1269"/>
      <c r="Q19" s="1269"/>
      <c r="R19" s="1396">
        <v>4780</v>
      </c>
      <c r="S19" s="1205">
        <v>100076</v>
      </c>
      <c r="T19" s="1205">
        <v>20897</v>
      </c>
      <c r="U19" s="1269">
        <v>0</v>
      </c>
      <c r="V19" s="1245">
        <v>0</v>
      </c>
      <c r="W19" s="1265">
        <v>125753</v>
      </c>
      <c r="X19" s="1205">
        <v>100</v>
      </c>
      <c r="Y19" s="1205">
        <v>0</v>
      </c>
      <c r="Z19" s="1413">
        <v>100</v>
      </c>
      <c r="AA19" s="1409">
        <v>-23</v>
      </c>
      <c r="AB19" s="1413">
        <v>125830</v>
      </c>
    </row>
    <row r="20" spans="1:32" ht="12.75" customHeight="1" x14ac:dyDescent="0.2">
      <c r="A20" s="946"/>
      <c r="B20" s="946" t="s">
        <v>62</v>
      </c>
      <c r="C20" s="922"/>
      <c r="D20" s="1205">
        <v>4888</v>
      </c>
      <c r="E20" s="1205">
        <v>9</v>
      </c>
      <c r="F20" s="1205">
        <v>9</v>
      </c>
      <c r="G20" s="1269">
        <v>29</v>
      </c>
      <c r="H20" s="1245">
        <v>0</v>
      </c>
      <c r="I20" s="1245">
        <v>4935</v>
      </c>
      <c r="J20" s="1205">
        <v>5517</v>
      </c>
      <c r="K20" s="1205">
        <v>1632</v>
      </c>
      <c r="L20" s="1413">
        <v>7149</v>
      </c>
      <c r="M20" s="1409">
        <v>3101</v>
      </c>
      <c r="N20" s="1413">
        <v>15185</v>
      </c>
      <c r="O20" s="1198"/>
      <c r="P20" s="1269"/>
      <c r="Q20" s="1269"/>
      <c r="R20" s="1396">
        <v>13453</v>
      </c>
      <c r="S20" s="1205">
        <v>263</v>
      </c>
      <c r="T20" s="1205">
        <v>29</v>
      </c>
      <c r="U20" s="1269">
        <v>137</v>
      </c>
      <c r="V20" s="1245">
        <v>0</v>
      </c>
      <c r="W20" s="1265">
        <v>13882</v>
      </c>
      <c r="X20" s="1205">
        <v>20986</v>
      </c>
      <c r="Y20" s="1205">
        <v>3150</v>
      </c>
      <c r="Z20" s="1413">
        <v>24136</v>
      </c>
      <c r="AA20" s="1409">
        <v>12990</v>
      </c>
      <c r="AB20" s="1413">
        <v>51008</v>
      </c>
    </row>
    <row r="21" spans="1:32" ht="12.75" customHeight="1" x14ac:dyDescent="0.2">
      <c r="A21" s="946"/>
      <c r="B21" s="946" t="s">
        <v>63</v>
      </c>
      <c r="C21" s="922"/>
      <c r="D21" s="1205">
        <v>-16</v>
      </c>
      <c r="E21" s="1205">
        <v>1001</v>
      </c>
      <c r="F21" s="1205">
        <v>246</v>
      </c>
      <c r="G21" s="1269">
        <v>-3</v>
      </c>
      <c r="H21" s="1245">
        <v>-20</v>
      </c>
      <c r="I21" s="1245">
        <v>1208</v>
      </c>
      <c r="J21" s="1205">
        <v>314</v>
      </c>
      <c r="K21" s="1205">
        <v>688</v>
      </c>
      <c r="L21" s="1413">
        <v>1002</v>
      </c>
      <c r="M21" s="1409">
        <v>2643</v>
      </c>
      <c r="N21" s="1413">
        <v>4853</v>
      </c>
      <c r="O21" s="1198"/>
      <c r="P21" s="1269"/>
      <c r="Q21" s="1269"/>
      <c r="R21" s="1396">
        <v>2045</v>
      </c>
      <c r="S21" s="1205">
        <v>2790</v>
      </c>
      <c r="T21" s="1205">
        <v>-55</v>
      </c>
      <c r="U21" s="1269">
        <v>22</v>
      </c>
      <c r="V21" s="1245">
        <v>-81</v>
      </c>
      <c r="W21" s="1265">
        <v>4721</v>
      </c>
      <c r="X21" s="1205">
        <v>1754</v>
      </c>
      <c r="Y21" s="1205">
        <v>2847</v>
      </c>
      <c r="Z21" s="1413">
        <v>4601</v>
      </c>
      <c r="AA21" s="1409">
        <v>11463</v>
      </c>
      <c r="AB21" s="1413">
        <v>20785</v>
      </c>
    </row>
    <row r="22" spans="1:32" ht="12.75" customHeight="1" x14ac:dyDescent="0.2">
      <c r="A22" s="948"/>
      <c r="B22" s="946"/>
      <c r="C22" s="922"/>
      <c r="D22" s="1395">
        <v>64359</v>
      </c>
      <c r="E22" s="1395">
        <v>94060</v>
      </c>
      <c r="F22" s="1395">
        <v>22406</v>
      </c>
      <c r="G22" s="1395">
        <v>9217</v>
      </c>
      <c r="H22" s="1400">
        <v>-19</v>
      </c>
      <c r="I22" s="1400">
        <v>190023</v>
      </c>
      <c r="J22" s="1395">
        <v>57818</v>
      </c>
      <c r="K22" s="1395">
        <v>71923</v>
      </c>
      <c r="L22" s="1401">
        <v>129741</v>
      </c>
      <c r="M22" s="1403">
        <v>5744</v>
      </c>
      <c r="N22" s="1403">
        <v>325508</v>
      </c>
      <c r="O22" s="1198"/>
      <c r="P22" s="1269"/>
      <c r="Q22" s="1269"/>
      <c r="R22" s="1401">
        <v>260665</v>
      </c>
      <c r="S22" s="1395">
        <v>303587</v>
      </c>
      <c r="T22" s="1395">
        <v>108789</v>
      </c>
      <c r="U22" s="1395">
        <v>31366</v>
      </c>
      <c r="V22" s="1400">
        <v>-81</v>
      </c>
      <c r="W22" s="1403">
        <v>704326</v>
      </c>
      <c r="X22" s="1395">
        <v>206826</v>
      </c>
      <c r="Y22" s="1395">
        <v>254985</v>
      </c>
      <c r="Z22" s="1403">
        <v>461811</v>
      </c>
      <c r="AA22" s="1400">
        <v>24430</v>
      </c>
      <c r="AB22" s="1403">
        <v>1190567</v>
      </c>
      <c r="AD22" s="1182">
        <v>-19350</v>
      </c>
      <c r="AE22" s="1180">
        <v>13761.999999999985</v>
      </c>
      <c r="AF22" s="1180">
        <v>-504</v>
      </c>
    </row>
    <row r="23" spans="1:32" ht="12.75" customHeight="1" x14ac:dyDescent="0.2">
      <c r="A23" s="947" t="s">
        <v>5</v>
      </c>
      <c r="B23" s="946"/>
      <c r="C23" s="922"/>
      <c r="D23" s="1205"/>
      <c r="E23" s="1205"/>
      <c r="F23" s="1205"/>
      <c r="G23" s="1269"/>
      <c r="H23" s="1245"/>
      <c r="I23" s="1245"/>
      <c r="J23" s="1408"/>
      <c r="K23" s="1424"/>
      <c r="L23" s="1413"/>
      <c r="M23" s="1409"/>
      <c r="N23" s="1413"/>
      <c r="O23" s="1198"/>
      <c r="P23" s="1269"/>
      <c r="Q23" s="1269"/>
      <c r="R23" s="1396"/>
      <c r="S23" s="1205"/>
      <c r="T23" s="1205"/>
      <c r="U23" s="1269"/>
      <c r="V23" s="1245"/>
      <c r="W23" s="1265"/>
      <c r="X23" s="1205"/>
      <c r="Y23" s="1205"/>
      <c r="Z23" s="1413"/>
      <c r="AA23" s="1409"/>
      <c r="AB23" s="1413"/>
    </row>
    <row r="24" spans="1:32" ht="23.25" hidden="1" customHeight="1" x14ac:dyDescent="0.2">
      <c r="A24" s="947"/>
      <c r="B24" s="946" t="s">
        <v>292</v>
      </c>
      <c r="C24" s="922"/>
      <c r="D24" s="1205">
        <v>27448</v>
      </c>
      <c r="E24" s="1205">
        <v>53470</v>
      </c>
      <c r="F24" s="1205">
        <v>11120</v>
      </c>
      <c r="G24" s="1269">
        <v>5585</v>
      </c>
      <c r="H24" s="1245">
        <v>555</v>
      </c>
      <c r="I24" s="1245"/>
      <c r="J24" s="1396">
        <v>29018</v>
      </c>
      <c r="K24" s="1409">
        <v>25954</v>
      </c>
      <c r="L24" s="1413"/>
      <c r="M24" s="1409">
        <v>2626</v>
      </c>
      <c r="N24" s="1413">
        <v>155776</v>
      </c>
      <c r="O24" s="1198"/>
      <c r="P24" s="1269"/>
      <c r="Q24" s="1269"/>
      <c r="R24" s="1396">
        <v>108563</v>
      </c>
      <c r="S24" s="1205">
        <v>143658</v>
      </c>
      <c r="T24" s="1205">
        <v>70344</v>
      </c>
      <c r="U24" s="1269">
        <v>16463</v>
      </c>
      <c r="V24" s="1245">
        <v>248</v>
      </c>
      <c r="W24" s="1265"/>
      <c r="X24" s="1205">
        <v>104016</v>
      </c>
      <c r="Y24" s="1205">
        <v>91986</v>
      </c>
      <c r="Z24" s="1413"/>
      <c r="AA24" s="1409">
        <v>16008</v>
      </c>
      <c r="AB24" s="1413">
        <v>551286</v>
      </c>
    </row>
    <row r="25" spans="1:32" ht="18.75" hidden="1" customHeight="1" x14ac:dyDescent="0.2">
      <c r="A25" s="947"/>
      <c r="B25" s="946" t="s">
        <v>293</v>
      </c>
      <c r="C25" s="922"/>
      <c r="D25" s="1429">
        <v>2290</v>
      </c>
      <c r="E25" s="1252">
        <v>849</v>
      </c>
      <c r="F25" s="1252">
        <v>491</v>
      </c>
      <c r="G25" s="1304">
        <v>34</v>
      </c>
      <c r="H25" s="1253">
        <v>0</v>
      </c>
      <c r="I25" s="1274"/>
      <c r="J25" s="1429">
        <v>436</v>
      </c>
      <c r="K25" s="1430">
        <v>1387</v>
      </c>
      <c r="L25" s="1477"/>
      <c r="M25" s="1477">
        <v>1426</v>
      </c>
      <c r="N25" s="1477">
        <v>6913</v>
      </c>
      <c r="O25" s="1198"/>
      <c r="P25" s="1269"/>
      <c r="Q25" s="1269"/>
      <c r="R25" s="1429">
        <v>19643</v>
      </c>
      <c r="S25" s="1252">
        <v>16557</v>
      </c>
      <c r="T25" s="1252">
        <v>2684</v>
      </c>
      <c r="U25" s="1304">
        <v>1554</v>
      </c>
      <c r="V25" s="1253">
        <v>0</v>
      </c>
      <c r="W25" s="1274"/>
      <c r="X25" s="1252">
        <v>752</v>
      </c>
      <c r="Y25" s="1252">
        <v>4019</v>
      </c>
      <c r="Z25" s="1477"/>
      <c r="AA25" s="1430">
        <v>3372</v>
      </c>
      <c r="AB25" s="1477">
        <v>48581</v>
      </c>
    </row>
    <row r="26" spans="1:32" ht="17.45" hidden="1" customHeight="1" x14ac:dyDescent="0.2">
      <c r="A26" s="948"/>
      <c r="B26" s="946" t="s">
        <v>620</v>
      </c>
      <c r="C26" s="922"/>
      <c r="D26" s="1205">
        <v>29738</v>
      </c>
      <c r="E26" s="1205">
        <v>54319</v>
      </c>
      <c r="F26" s="1205">
        <v>11611</v>
      </c>
      <c r="G26" s="1205">
        <v>5619</v>
      </c>
      <c r="H26" s="1205">
        <v>555</v>
      </c>
      <c r="I26" s="1265">
        <v>101842</v>
      </c>
      <c r="J26" s="1205">
        <v>29454</v>
      </c>
      <c r="K26" s="1205">
        <v>27341</v>
      </c>
      <c r="L26" s="1413">
        <v>56795</v>
      </c>
      <c r="M26" s="1409">
        <v>4052</v>
      </c>
      <c r="N26" s="1413">
        <v>162689</v>
      </c>
      <c r="O26" s="1198"/>
      <c r="P26" s="1269"/>
      <c r="Q26" s="1269"/>
      <c r="R26" s="1396">
        <v>128206</v>
      </c>
      <c r="S26" s="1205">
        <v>160215</v>
      </c>
      <c r="T26" s="1205">
        <v>73028</v>
      </c>
      <c r="U26" s="1205">
        <v>18017</v>
      </c>
      <c r="V26" s="1205">
        <v>248</v>
      </c>
      <c r="W26" s="1265">
        <v>379714</v>
      </c>
      <c r="X26" s="1205">
        <v>104768</v>
      </c>
      <c r="Y26" s="1205">
        <v>96005</v>
      </c>
      <c r="Z26" s="1413">
        <v>200773</v>
      </c>
      <c r="AA26" s="1409">
        <v>19380</v>
      </c>
      <c r="AB26" s="1413">
        <v>599867</v>
      </c>
    </row>
    <row r="27" spans="1:32" ht="12.75" hidden="1" customHeight="1" x14ac:dyDescent="0.2">
      <c r="A27" s="948"/>
      <c r="B27" s="946" t="s">
        <v>64</v>
      </c>
      <c r="C27" s="922"/>
      <c r="D27" s="1205">
        <v>2290</v>
      </c>
      <c r="E27" s="1205">
        <v>3160</v>
      </c>
      <c r="F27" s="1205">
        <v>1681</v>
      </c>
      <c r="G27" s="1205">
        <v>485</v>
      </c>
      <c r="H27" s="1409">
        <v>144</v>
      </c>
      <c r="I27" s="1245">
        <v>7760</v>
      </c>
      <c r="J27" s="1205">
        <v>4038</v>
      </c>
      <c r="K27" s="1205">
        <v>11870</v>
      </c>
      <c r="L27" s="1413">
        <v>15908</v>
      </c>
      <c r="M27" s="1409">
        <v>8551</v>
      </c>
      <c r="N27" s="1413">
        <v>32219</v>
      </c>
      <c r="O27" s="1198"/>
      <c r="P27" s="1269"/>
      <c r="Q27" s="1269"/>
      <c r="R27" s="1396">
        <v>6356</v>
      </c>
      <c r="S27" s="1205">
        <v>10403</v>
      </c>
      <c r="T27" s="1205">
        <v>5250</v>
      </c>
      <c r="U27" s="1269">
        <v>1964</v>
      </c>
      <c r="V27" s="1245">
        <v>560</v>
      </c>
      <c r="W27" s="1265">
        <v>24533</v>
      </c>
      <c r="X27" s="1205">
        <v>14092</v>
      </c>
      <c r="Y27" s="1205">
        <v>48822</v>
      </c>
      <c r="Z27" s="1413">
        <v>62914</v>
      </c>
      <c r="AA27" s="1409">
        <v>29311</v>
      </c>
      <c r="AB27" s="1413">
        <v>116758</v>
      </c>
    </row>
    <row r="28" spans="1:32" ht="12.75" customHeight="1" x14ac:dyDescent="0.2">
      <c r="A28" s="948"/>
      <c r="B28" s="1201" t="s">
        <v>714</v>
      </c>
      <c r="C28" s="922"/>
      <c r="D28" s="1205">
        <v>32028</v>
      </c>
      <c r="E28" s="1205">
        <v>57479</v>
      </c>
      <c r="F28" s="1205">
        <v>13292</v>
      </c>
      <c r="G28" s="1205">
        <v>6104</v>
      </c>
      <c r="H28" s="1409">
        <v>699</v>
      </c>
      <c r="I28" s="1245">
        <v>109602</v>
      </c>
      <c r="J28" s="1205">
        <v>33492</v>
      </c>
      <c r="K28" s="1205">
        <v>39211</v>
      </c>
      <c r="L28" s="1413">
        <v>72703</v>
      </c>
      <c r="M28" s="1409">
        <v>12603</v>
      </c>
      <c r="N28" s="1413">
        <v>194908</v>
      </c>
      <c r="O28" s="1198"/>
      <c r="P28" s="1269"/>
      <c r="Q28" s="1269"/>
      <c r="R28" s="1396"/>
      <c r="S28" s="1205"/>
      <c r="T28" s="1205"/>
      <c r="U28" s="1269"/>
      <c r="V28" s="1245"/>
      <c r="W28" s="1265"/>
      <c r="X28" s="1205"/>
      <c r="Y28" s="1205"/>
      <c r="Z28" s="1413"/>
      <c r="AA28" s="1409"/>
      <c r="AB28" s="1413"/>
    </row>
    <row r="29" spans="1:32" s="934" customFormat="1" x14ac:dyDescent="0.2">
      <c r="A29" s="948"/>
      <c r="B29" s="946" t="s">
        <v>93</v>
      </c>
      <c r="C29" s="922"/>
      <c r="D29" s="1205">
        <v>4368</v>
      </c>
      <c r="E29" s="1205">
        <v>9660</v>
      </c>
      <c r="F29" s="1205">
        <v>1432</v>
      </c>
      <c r="G29" s="1205">
        <v>405</v>
      </c>
      <c r="H29" s="1409">
        <v>0</v>
      </c>
      <c r="I29" s="1245">
        <v>15865</v>
      </c>
      <c r="J29" s="1205">
        <v>3702</v>
      </c>
      <c r="K29" s="1205">
        <v>3193</v>
      </c>
      <c r="L29" s="1413">
        <v>6895</v>
      </c>
      <c r="M29" s="1409">
        <v>-2640</v>
      </c>
      <c r="N29" s="1413">
        <v>20120</v>
      </c>
      <c r="O29" s="1198"/>
      <c r="P29" s="1269"/>
      <c r="Q29" s="1269"/>
      <c r="R29" s="1396">
        <v>15911</v>
      </c>
      <c r="S29" s="1205">
        <v>46477</v>
      </c>
      <c r="T29" s="1205">
        <v>5474</v>
      </c>
      <c r="U29" s="1269">
        <v>2103</v>
      </c>
      <c r="V29" s="1245">
        <v>0</v>
      </c>
      <c r="W29" s="1265">
        <v>69965</v>
      </c>
      <c r="X29" s="1205">
        <v>13277</v>
      </c>
      <c r="Y29" s="1205">
        <v>8137</v>
      </c>
      <c r="Z29" s="1413">
        <v>21414</v>
      </c>
      <c r="AA29" s="1409">
        <v>-7802</v>
      </c>
      <c r="AB29" s="1413">
        <v>83577</v>
      </c>
      <c r="AD29" s="1180"/>
      <c r="AE29" s="1180"/>
      <c r="AF29" s="1180"/>
    </row>
    <row r="30" spans="1:32" s="934" customFormat="1" x14ac:dyDescent="0.2">
      <c r="A30" s="948"/>
      <c r="B30" s="946" t="s">
        <v>66</v>
      </c>
      <c r="C30" s="2562"/>
      <c r="D30" s="1205">
        <v>365</v>
      </c>
      <c r="E30" s="1205">
        <v>1548</v>
      </c>
      <c r="F30" s="1205">
        <v>601</v>
      </c>
      <c r="G30" s="1205">
        <v>240</v>
      </c>
      <c r="H30" s="1409">
        <v>25</v>
      </c>
      <c r="I30" s="1245">
        <v>2779</v>
      </c>
      <c r="J30" s="1205">
        <v>132</v>
      </c>
      <c r="K30" s="1205">
        <v>928</v>
      </c>
      <c r="L30" s="1413">
        <v>1060</v>
      </c>
      <c r="M30" s="1409">
        <v>945</v>
      </c>
      <c r="N30" s="1413">
        <v>4784</v>
      </c>
      <c r="O30" s="1198"/>
      <c r="P30" s="1269"/>
      <c r="Q30" s="1269"/>
      <c r="R30" s="1396">
        <v>4277</v>
      </c>
      <c r="S30" s="1205">
        <v>11621</v>
      </c>
      <c r="T30" s="1205">
        <v>6330</v>
      </c>
      <c r="U30" s="1269">
        <v>1202</v>
      </c>
      <c r="V30" s="1245">
        <v>352</v>
      </c>
      <c r="W30" s="1265">
        <v>23782</v>
      </c>
      <c r="X30" s="1205">
        <v>3814</v>
      </c>
      <c r="Y30" s="1205">
        <v>8624</v>
      </c>
      <c r="Z30" s="1413">
        <v>12438</v>
      </c>
      <c r="AA30" s="1409">
        <v>5499</v>
      </c>
      <c r="AB30" s="1413">
        <v>41719</v>
      </c>
      <c r="AD30" s="1180"/>
      <c r="AE30" s="1180"/>
      <c r="AF30" s="1180"/>
    </row>
    <row r="31" spans="1:32" s="934" customFormat="1" x14ac:dyDescent="0.2">
      <c r="A31" s="948"/>
      <c r="B31" s="1194" t="s">
        <v>67</v>
      </c>
      <c r="C31" s="922"/>
      <c r="D31" s="1205">
        <v>2405</v>
      </c>
      <c r="E31" s="1205">
        <v>4514</v>
      </c>
      <c r="F31" s="1205">
        <v>2621</v>
      </c>
      <c r="G31" s="1205">
        <v>306</v>
      </c>
      <c r="H31" s="1409">
        <v>27</v>
      </c>
      <c r="I31" s="1245">
        <v>9873</v>
      </c>
      <c r="J31" s="1205">
        <v>1186</v>
      </c>
      <c r="K31" s="1205">
        <v>3969</v>
      </c>
      <c r="L31" s="1413">
        <v>5155</v>
      </c>
      <c r="M31" s="1409">
        <v>1330</v>
      </c>
      <c r="N31" s="1413">
        <v>16358</v>
      </c>
      <c r="O31" s="1198"/>
      <c r="P31" s="1269"/>
      <c r="Q31" s="1269"/>
      <c r="R31" s="1396">
        <v>8925</v>
      </c>
      <c r="S31" s="1205">
        <v>17719</v>
      </c>
      <c r="T31" s="1205">
        <v>10436</v>
      </c>
      <c r="U31" s="1269">
        <v>1247</v>
      </c>
      <c r="V31" s="1245">
        <v>74</v>
      </c>
      <c r="W31" s="1265">
        <v>38401</v>
      </c>
      <c r="X31" s="1205">
        <v>5303</v>
      </c>
      <c r="Y31" s="1205">
        <v>15540</v>
      </c>
      <c r="Z31" s="1413">
        <v>20843</v>
      </c>
      <c r="AA31" s="1409">
        <v>5686</v>
      </c>
      <c r="AB31" s="1413">
        <v>64930</v>
      </c>
      <c r="AD31" s="1180"/>
      <c r="AE31" s="1180"/>
      <c r="AF31" s="1180"/>
    </row>
    <row r="32" spans="1:32" s="934" customFormat="1" x14ac:dyDescent="0.2">
      <c r="A32" s="948"/>
      <c r="B32" s="946" t="s">
        <v>62</v>
      </c>
      <c r="C32" s="922"/>
      <c r="D32" s="1205">
        <v>1174</v>
      </c>
      <c r="E32" s="1205">
        <v>1931</v>
      </c>
      <c r="F32" s="1205">
        <v>744</v>
      </c>
      <c r="G32" s="1205">
        <v>32</v>
      </c>
      <c r="H32" s="1409">
        <v>17</v>
      </c>
      <c r="I32" s="1245">
        <v>3898</v>
      </c>
      <c r="J32" s="1205">
        <v>374</v>
      </c>
      <c r="K32" s="1205">
        <v>1068</v>
      </c>
      <c r="L32" s="1413">
        <v>1442</v>
      </c>
      <c r="M32" s="1409">
        <v>2771</v>
      </c>
      <c r="N32" s="1413">
        <v>8111</v>
      </c>
      <c r="O32" s="1198"/>
      <c r="P32" s="1269"/>
      <c r="Q32" s="1269"/>
      <c r="R32" s="1396">
        <v>3245</v>
      </c>
      <c r="S32" s="1205">
        <v>4627</v>
      </c>
      <c r="T32" s="1205">
        <v>1870</v>
      </c>
      <c r="U32" s="1269">
        <v>28</v>
      </c>
      <c r="V32" s="1245">
        <v>40</v>
      </c>
      <c r="W32" s="1265">
        <v>9810</v>
      </c>
      <c r="X32" s="1205">
        <v>2010</v>
      </c>
      <c r="Y32" s="1205">
        <v>2583</v>
      </c>
      <c r="Z32" s="1413">
        <v>4593</v>
      </c>
      <c r="AA32" s="1409">
        <v>11050</v>
      </c>
      <c r="AB32" s="1413">
        <v>25453</v>
      </c>
      <c r="AD32" s="1180"/>
      <c r="AE32" s="1180"/>
      <c r="AF32" s="1180"/>
    </row>
    <row r="33" spans="1:32" s="934" customFormat="1" x14ac:dyDescent="0.2">
      <c r="A33" s="948"/>
      <c r="B33" s="946" t="s">
        <v>68</v>
      </c>
      <c r="C33" s="922"/>
      <c r="D33" s="1205">
        <v>8814</v>
      </c>
      <c r="E33" s="1205">
        <v>6119</v>
      </c>
      <c r="F33" s="1205">
        <v>2541</v>
      </c>
      <c r="G33" s="1205">
        <v>1030</v>
      </c>
      <c r="H33" s="1409">
        <v>50</v>
      </c>
      <c r="I33" s="1245">
        <v>18554</v>
      </c>
      <c r="J33" s="1205">
        <v>2884</v>
      </c>
      <c r="K33" s="1205">
        <v>5764</v>
      </c>
      <c r="L33" s="1413">
        <v>8648</v>
      </c>
      <c r="M33" s="1409">
        <v>3165</v>
      </c>
      <c r="N33" s="1413">
        <v>30367</v>
      </c>
      <c r="O33" s="1198"/>
      <c r="P33" s="1269"/>
      <c r="Q33" s="1269"/>
      <c r="R33" s="1396">
        <v>17380</v>
      </c>
      <c r="S33" s="1205">
        <v>19324</v>
      </c>
      <c r="T33" s="1205">
        <v>12593</v>
      </c>
      <c r="U33" s="1269">
        <v>4362</v>
      </c>
      <c r="V33" s="1245">
        <v>199</v>
      </c>
      <c r="W33" s="1265">
        <v>53858</v>
      </c>
      <c r="X33" s="1205">
        <v>14411</v>
      </c>
      <c r="Y33" s="1205">
        <v>19136</v>
      </c>
      <c r="Z33" s="1413">
        <v>33547</v>
      </c>
      <c r="AA33" s="1409">
        <v>13363</v>
      </c>
      <c r="AB33" s="1413">
        <v>100768</v>
      </c>
      <c r="AD33" s="1180"/>
      <c r="AE33" s="1180"/>
      <c r="AF33" s="1180"/>
    </row>
    <row r="34" spans="1:32" s="934" customFormat="1" x14ac:dyDescent="0.2">
      <c r="A34" s="948"/>
      <c r="B34" s="946" t="s">
        <v>69</v>
      </c>
      <c r="C34" s="922"/>
      <c r="D34" s="1205">
        <v>697</v>
      </c>
      <c r="E34" s="1205">
        <v>2249</v>
      </c>
      <c r="F34" s="1205">
        <v>375</v>
      </c>
      <c r="G34" s="1205">
        <v>107</v>
      </c>
      <c r="H34" s="1409">
        <v>7</v>
      </c>
      <c r="I34" s="1245">
        <v>3435</v>
      </c>
      <c r="J34" s="1205">
        <v>165</v>
      </c>
      <c r="K34" s="1205">
        <v>4219</v>
      </c>
      <c r="L34" s="1413">
        <v>4384</v>
      </c>
      <c r="M34" s="1409">
        <v>117</v>
      </c>
      <c r="N34" s="1413">
        <v>7936</v>
      </c>
      <c r="O34" s="1198"/>
      <c r="P34" s="1269"/>
      <c r="Q34" s="1269"/>
      <c r="R34" s="1396">
        <v>3314</v>
      </c>
      <c r="S34" s="1205">
        <v>1765</v>
      </c>
      <c r="T34" s="1205">
        <v>1630</v>
      </c>
      <c r="U34" s="1269">
        <v>465</v>
      </c>
      <c r="V34" s="1245">
        <v>25</v>
      </c>
      <c r="W34" s="1265">
        <v>7199</v>
      </c>
      <c r="X34" s="1205">
        <v>1057</v>
      </c>
      <c r="Y34" s="1205">
        <v>15168</v>
      </c>
      <c r="Z34" s="1413">
        <v>16225</v>
      </c>
      <c r="AA34" s="1409">
        <v>856</v>
      </c>
      <c r="AB34" s="1413">
        <v>24280</v>
      </c>
      <c r="AD34" s="1180"/>
      <c r="AE34" s="1180"/>
      <c r="AF34" s="1180"/>
    </row>
    <row r="35" spans="1:32" s="934" customFormat="1" x14ac:dyDescent="0.2">
      <c r="A35" s="948"/>
      <c r="B35" s="946" t="s">
        <v>684</v>
      </c>
      <c r="C35" s="922"/>
      <c r="D35" s="1205">
        <v>453</v>
      </c>
      <c r="E35" s="1205">
        <v>1926</v>
      </c>
      <c r="F35" s="1205">
        <v>728</v>
      </c>
      <c r="G35" s="1205">
        <v>192</v>
      </c>
      <c r="H35" s="1409">
        <v>60</v>
      </c>
      <c r="I35" s="1245">
        <v>3359</v>
      </c>
      <c r="J35" s="1205">
        <v>546</v>
      </c>
      <c r="K35" s="1205">
        <v>834</v>
      </c>
      <c r="L35" s="1413">
        <v>1380</v>
      </c>
      <c r="M35" s="1409">
        <v>843</v>
      </c>
      <c r="N35" s="1413">
        <v>5582</v>
      </c>
      <c r="O35" s="1198"/>
      <c r="P35" s="1269"/>
      <c r="Q35" s="1269"/>
      <c r="R35" s="1396"/>
      <c r="S35" s="1205"/>
      <c r="T35" s="1205"/>
      <c r="U35" s="1269"/>
      <c r="V35" s="1245"/>
      <c r="W35" s="1265"/>
      <c r="X35" s="1205"/>
      <c r="Y35" s="1205"/>
      <c r="Z35" s="1413"/>
      <c r="AA35" s="1409"/>
      <c r="AB35" s="1413"/>
      <c r="AD35" s="1180"/>
      <c r="AE35" s="1180"/>
      <c r="AF35" s="1180"/>
    </row>
    <row r="36" spans="1:32" x14ac:dyDescent="0.2">
      <c r="A36" s="946"/>
      <c r="B36" s="946" t="s">
        <v>70</v>
      </c>
      <c r="C36" s="922"/>
      <c r="D36" s="1205">
        <v>1</v>
      </c>
      <c r="E36" s="1205">
        <v>158</v>
      </c>
      <c r="F36" s="1205">
        <v>0</v>
      </c>
      <c r="G36" s="1205">
        <v>0</v>
      </c>
      <c r="H36" s="1409">
        <v>0</v>
      </c>
      <c r="I36" s="1245">
        <v>159</v>
      </c>
      <c r="J36" s="1205">
        <v>2365</v>
      </c>
      <c r="K36" s="1205">
        <v>2602</v>
      </c>
      <c r="L36" s="1413">
        <v>4967</v>
      </c>
      <c r="M36" s="1409">
        <v>83</v>
      </c>
      <c r="N36" s="1413">
        <v>5209</v>
      </c>
      <c r="O36" s="1198"/>
      <c r="P36" s="1269"/>
      <c r="Q36" s="1269"/>
      <c r="R36" s="1396">
        <v>72</v>
      </c>
      <c r="S36" s="1205">
        <v>284</v>
      </c>
      <c r="T36" s="1205">
        <v>96</v>
      </c>
      <c r="U36" s="1269">
        <v>0</v>
      </c>
      <c r="V36" s="1245">
        <v>0</v>
      </c>
      <c r="W36" s="1265">
        <v>452</v>
      </c>
      <c r="X36" s="1205">
        <v>8096</v>
      </c>
      <c r="Y36" s="1205">
        <v>6810</v>
      </c>
      <c r="Z36" s="1413">
        <v>14906</v>
      </c>
      <c r="AA36" s="1409">
        <v>155</v>
      </c>
      <c r="AB36" s="1413">
        <v>15513</v>
      </c>
    </row>
    <row r="37" spans="1:32" x14ac:dyDescent="0.2">
      <c r="A37" s="946"/>
      <c r="B37" s="946" t="s">
        <v>164</v>
      </c>
      <c r="C37" s="922"/>
      <c r="D37" s="1205">
        <v>0</v>
      </c>
      <c r="E37" s="1205">
        <v>0</v>
      </c>
      <c r="F37" s="1205">
        <v>0</v>
      </c>
      <c r="G37" s="1205">
        <v>0</v>
      </c>
      <c r="H37" s="1409">
        <v>0</v>
      </c>
      <c r="I37" s="1245">
        <v>0</v>
      </c>
      <c r="J37" s="1205">
        <v>0</v>
      </c>
      <c r="K37" s="1205">
        <v>0</v>
      </c>
      <c r="L37" s="1413">
        <v>0</v>
      </c>
      <c r="M37" s="1409">
        <v>0</v>
      </c>
      <c r="N37" s="1413">
        <v>0</v>
      </c>
      <c r="O37" s="1198"/>
      <c r="P37" s="1269"/>
      <c r="Q37" s="1269"/>
      <c r="R37" s="1396">
        <v>0</v>
      </c>
      <c r="S37" s="1205">
        <v>0</v>
      </c>
      <c r="T37" s="1205">
        <v>13070</v>
      </c>
      <c r="U37" s="1269">
        <v>0</v>
      </c>
      <c r="V37" s="1245">
        <v>0</v>
      </c>
      <c r="W37" s="1265">
        <v>13070</v>
      </c>
      <c r="X37" s="1205">
        <v>0</v>
      </c>
      <c r="Y37" s="1205">
        <v>0</v>
      </c>
      <c r="Z37" s="1413">
        <v>0</v>
      </c>
      <c r="AA37" s="1409">
        <v>0</v>
      </c>
      <c r="AB37" s="1413">
        <v>13070</v>
      </c>
    </row>
    <row r="38" spans="1:32" x14ac:dyDescent="0.2">
      <c r="A38" s="946"/>
      <c r="B38" s="946" t="s">
        <v>185</v>
      </c>
      <c r="C38" s="922"/>
      <c r="D38" s="1205">
        <v>0</v>
      </c>
      <c r="E38" s="1205">
        <v>177</v>
      </c>
      <c r="F38" s="1205">
        <v>0</v>
      </c>
      <c r="G38" s="1205">
        <v>0</v>
      </c>
      <c r="H38" s="1409">
        <v>0</v>
      </c>
      <c r="I38" s="1245">
        <v>177</v>
      </c>
      <c r="J38" s="1205">
        <v>0</v>
      </c>
      <c r="K38" s="1205">
        <v>335</v>
      </c>
      <c r="L38" s="1413">
        <v>335</v>
      </c>
      <c r="M38" s="1409">
        <v>0</v>
      </c>
      <c r="N38" s="1413">
        <v>512</v>
      </c>
      <c r="O38" s="1198"/>
      <c r="P38" s="1269"/>
      <c r="Q38" s="1269"/>
      <c r="R38" s="1396">
        <v>1173</v>
      </c>
      <c r="S38" s="1205">
        <v>803</v>
      </c>
      <c r="T38" s="1205">
        <v>0</v>
      </c>
      <c r="U38" s="1269">
        <v>0</v>
      </c>
      <c r="V38" s="1245">
        <v>0</v>
      </c>
      <c r="W38" s="1265">
        <v>1976</v>
      </c>
      <c r="X38" s="1205">
        <v>0</v>
      </c>
      <c r="Y38" s="1205">
        <v>1088</v>
      </c>
      <c r="Z38" s="1413">
        <v>1088</v>
      </c>
      <c r="AA38" s="1409">
        <v>0</v>
      </c>
      <c r="AB38" s="1413">
        <v>3064</v>
      </c>
    </row>
    <row r="39" spans="1:32" ht="13.5" x14ac:dyDescent="0.2">
      <c r="A39" s="946"/>
      <c r="B39" s="946" t="s">
        <v>621</v>
      </c>
      <c r="C39" s="922"/>
      <c r="D39" s="1205">
        <v>0</v>
      </c>
      <c r="E39" s="1205">
        <v>0</v>
      </c>
      <c r="F39" s="1205">
        <v>0</v>
      </c>
      <c r="G39" s="1205">
        <v>0</v>
      </c>
      <c r="H39" s="1409">
        <v>0</v>
      </c>
      <c r="I39" s="1245">
        <v>0</v>
      </c>
      <c r="J39" s="1205">
        <v>0</v>
      </c>
      <c r="K39" s="1205">
        <v>0</v>
      </c>
      <c r="L39" s="1413">
        <v>0</v>
      </c>
      <c r="M39" s="1409">
        <v>0</v>
      </c>
      <c r="N39" s="1413">
        <v>0</v>
      </c>
      <c r="O39" s="1198"/>
      <c r="P39" s="1269"/>
      <c r="Q39" s="1269"/>
      <c r="R39" s="1396">
        <v>0</v>
      </c>
      <c r="S39" s="1205">
        <v>0</v>
      </c>
      <c r="T39" s="1205">
        <v>0</v>
      </c>
      <c r="U39" s="1269">
        <v>0</v>
      </c>
      <c r="V39" s="1245">
        <v>0</v>
      </c>
      <c r="W39" s="1265">
        <v>0</v>
      </c>
      <c r="X39" s="1269">
        <v>0</v>
      </c>
      <c r="Y39" s="1205">
        <v>0</v>
      </c>
      <c r="Z39" s="1413">
        <v>0</v>
      </c>
      <c r="AA39" s="1409">
        <v>0</v>
      </c>
      <c r="AB39" s="1413">
        <v>0</v>
      </c>
    </row>
    <row r="40" spans="1:32" ht="13.5" x14ac:dyDescent="0.2">
      <c r="A40" s="946"/>
      <c r="B40" s="1194" t="s">
        <v>668</v>
      </c>
      <c r="C40" s="922"/>
      <c r="D40" s="1205">
        <v>0</v>
      </c>
      <c r="E40" s="1205">
        <v>0</v>
      </c>
      <c r="F40" s="1205">
        <v>0</v>
      </c>
      <c r="G40" s="1205">
        <v>0</v>
      </c>
      <c r="H40" s="1409">
        <v>0</v>
      </c>
      <c r="I40" s="1245">
        <v>0</v>
      </c>
      <c r="J40" s="1269">
        <v>0</v>
      </c>
      <c r="K40" s="1205">
        <v>0</v>
      </c>
      <c r="L40" s="1413">
        <v>0</v>
      </c>
      <c r="M40" s="1409">
        <v>0</v>
      </c>
      <c r="N40" s="1413">
        <v>0</v>
      </c>
      <c r="O40" s="1198"/>
      <c r="P40" s="1269"/>
      <c r="Q40" s="1269"/>
      <c r="R40" s="1396">
        <v>0</v>
      </c>
      <c r="S40" s="1205">
        <v>0</v>
      </c>
      <c r="T40" s="1205">
        <v>0</v>
      </c>
      <c r="U40" s="1269">
        <v>0</v>
      </c>
      <c r="V40" s="1245">
        <v>0</v>
      </c>
      <c r="W40" s="1265">
        <v>0</v>
      </c>
      <c r="X40" s="1269">
        <v>0</v>
      </c>
      <c r="Y40" s="1205">
        <v>0</v>
      </c>
      <c r="Z40" s="1413">
        <v>0</v>
      </c>
      <c r="AA40" s="1409">
        <v>8608</v>
      </c>
      <c r="AB40" s="1413">
        <v>8608</v>
      </c>
    </row>
    <row r="41" spans="1:32" x14ac:dyDescent="0.2">
      <c r="A41" s="946"/>
      <c r="B41" s="946" t="s">
        <v>530</v>
      </c>
      <c r="C41" s="922"/>
      <c r="D41" s="1269">
        <v>0</v>
      </c>
      <c r="E41" s="1205">
        <v>0</v>
      </c>
      <c r="F41" s="1269">
        <v>0</v>
      </c>
      <c r="G41" s="1269">
        <v>0</v>
      </c>
      <c r="H41" s="1245">
        <v>0</v>
      </c>
      <c r="I41" s="1245">
        <v>0</v>
      </c>
      <c r="J41" s="1269">
        <v>0</v>
      </c>
      <c r="K41" s="1269">
        <v>0</v>
      </c>
      <c r="L41" s="1413">
        <v>0</v>
      </c>
      <c r="M41" s="1409">
        <v>269</v>
      </c>
      <c r="N41" s="1413">
        <v>269</v>
      </c>
      <c r="O41" s="1198"/>
      <c r="P41" s="1269"/>
      <c r="Q41" s="1269"/>
      <c r="R41" s="1198">
        <v>0</v>
      </c>
      <c r="S41" s="1269">
        <v>0</v>
      </c>
      <c r="T41" s="1205">
        <v>0</v>
      </c>
      <c r="U41" s="1269">
        <v>0</v>
      </c>
      <c r="V41" s="1245">
        <v>0</v>
      </c>
      <c r="W41" s="1265">
        <v>0</v>
      </c>
      <c r="X41" s="1269">
        <v>0</v>
      </c>
      <c r="Y41" s="1269">
        <v>0</v>
      </c>
      <c r="Z41" s="1413">
        <v>0</v>
      </c>
      <c r="AA41" s="1253">
        <v>304</v>
      </c>
      <c r="AB41" s="1413">
        <v>304</v>
      </c>
    </row>
    <row r="42" spans="1:32" x14ac:dyDescent="0.2">
      <c r="A42" s="948"/>
      <c r="B42" s="946"/>
      <c r="C42" s="922"/>
      <c r="D42" s="1276">
        <v>50305</v>
      </c>
      <c r="E42" s="1276">
        <v>85761</v>
      </c>
      <c r="F42" s="1276">
        <v>22334</v>
      </c>
      <c r="G42" s="1276">
        <v>8416</v>
      </c>
      <c r="H42" s="1276">
        <v>885</v>
      </c>
      <c r="I42" s="1268">
        <v>167701</v>
      </c>
      <c r="J42" s="1276">
        <v>44846</v>
      </c>
      <c r="K42" s="1276">
        <v>62123</v>
      </c>
      <c r="L42" s="1268">
        <v>106969</v>
      </c>
      <c r="M42" s="1276">
        <v>19486</v>
      </c>
      <c r="N42" s="1268">
        <v>294156</v>
      </c>
      <c r="O42" s="1198"/>
      <c r="P42" s="1269"/>
      <c r="Q42" s="1269"/>
      <c r="R42" s="1195">
        <v>188859</v>
      </c>
      <c r="S42" s="1276">
        <v>273238</v>
      </c>
      <c r="T42" s="1276">
        <v>129777</v>
      </c>
      <c r="U42" s="1276">
        <v>29388</v>
      </c>
      <c r="V42" s="1276">
        <v>1498</v>
      </c>
      <c r="W42" s="1268">
        <v>622760</v>
      </c>
      <c r="X42" s="1276">
        <v>166828</v>
      </c>
      <c r="Y42" s="1276">
        <v>221913</v>
      </c>
      <c r="Z42" s="1268">
        <v>388741</v>
      </c>
      <c r="AA42" s="1276">
        <v>86410</v>
      </c>
      <c r="AB42" s="1268">
        <v>1097911</v>
      </c>
      <c r="AC42" s="1980"/>
    </row>
    <row r="43" spans="1:32" ht="9" customHeight="1" x14ac:dyDescent="0.2">
      <c r="A43" s="948"/>
      <c r="B43" s="946"/>
      <c r="C43" s="908"/>
      <c r="D43" s="1408"/>
      <c r="E43" s="1205"/>
      <c r="F43" s="1205"/>
      <c r="G43" s="1205"/>
      <c r="H43" s="1205"/>
      <c r="I43" s="1413"/>
      <c r="J43" s="1205"/>
      <c r="K43" s="1205"/>
      <c r="L43" s="1413"/>
      <c r="M43" s="1205"/>
      <c r="N43" s="1205"/>
      <c r="O43" s="1269"/>
      <c r="P43" s="1269"/>
      <c r="Q43" s="1269"/>
      <c r="R43" s="1407"/>
      <c r="S43" s="1205"/>
      <c r="T43" s="1205"/>
      <c r="U43" s="1205"/>
      <c r="V43" s="1205"/>
      <c r="W43" s="1413"/>
      <c r="X43" s="1205"/>
      <c r="Y43" s="1205"/>
      <c r="Z43" s="1413"/>
      <c r="AA43" s="1205"/>
      <c r="AB43" s="1409"/>
    </row>
    <row r="44" spans="1:32" s="2304" customFormat="1" ht="12.75" customHeight="1" x14ac:dyDescent="0.2">
      <c r="A44" s="3157" t="s">
        <v>183</v>
      </c>
      <c r="B44" s="3151"/>
      <c r="C44" s="908"/>
      <c r="D44" s="2525">
        <v>14054</v>
      </c>
      <c r="E44" s="2539">
        <v>8299</v>
      </c>
      <c r="F44" s="2539">
        <v>72</v>
      </c>
      <c r="G44" s="2539">
        <v>801</v>
      </c>
      <c r="H44" s="2539">
        <v>-904</v>
      </c>
      <c r="I44" s="2538">
        <v>22322</v>
      </c>
      <c r="J44" s="2539">
        <v>12972</v>
      </c>
      <c r="K44" s="2539">
        <v>9800</v>
      </c>
      <c r="L44" s="2538">
        <v>22772</v>
      </c>
      <c r="M44" s="2539">
        <v>-13742</v>
      </c>
      <c r="N44" s="2538">
        <v>31352</v>
      </c>
      <c r="O44" s="1668"/>
      <c r="P44" s="1668"/>
      <c r="Q44" s="1668"/>
      <c r="R44" s="2525">
        <v>71806</v>
      </c>
      <c r="S44" s="2539">
        <v>30349</v>
      </c>
      <c r="T44" s="2539">
        <v>-20988</v>
      </c>
      <c r="U44" s="2539">
        <v>1978</v>
      </c>
      <c r="V44" s="2539">
        <v>-1579</v>
      </c>
      <c r="W44" s="2538">
        <v>81566</v>
      </c>
      <c r="X44" s="2539">
        <v>39998</v>
      </c>
      <c r="Y44" s="2539">
        <v>33072</v>
      </c>
      <c r="Z44" s="2538">
        <v>73070</v>
      </c>
      <c r="AA44" s="2539">
        <v>-61980</v>
      </c>
      <c r="AB44" s="2538">
        <v>92656</v>
      </c>
      <c r="AD44" s="1182"/>
      <c r="AE44" s="1180"/>
      <c r="AF44" s="1180"/>
    </row>
    <row r="45" spans="1:32" s="2304" customFormat="1" ht="12.75" customHeight="1" x14ac:dyDescent="0.2">
      <c r="A45" s="2565"/>
      <c r="B45" s="2232" t="s">
        <v>336</v>
      </c>
      <c r="C45" s="908"/>
      <c r="D45" s="2525">
        <v>3490</v>
      </c>
      <c r="E45" s="2539">
        <v>782</v>
      </c>
      <c r="F45" s="2539">
        <v>242</v>
      </c>
      <c r="G45" s="2539">
        <v>31</v>
      </c>
      <c r="H45" s="2539">
        <v>0</v>
      </c>
      <c r="I45" s="2538">
        <v>4545</v>
      </c>
      <c r="J45" s="2539">
        <v>3712</v>
      </c>
      <c r="K45" s="2539">
        <v>301</v>
      </c>
      <c r="L45" s="2538">
        <v>4013</v>
      </c>
      <c r="M45" s="2539">
        <v>-8558</v>
      </c>
      <c r="N45" s="2538">
        <v>0</v>
      </c>
      <c r="O45" s="1668"/>
      <c r="P45" s="1668"/>
      <c r="Q45" s="1668"/>
      <c r="R45" s="2525">
        <v>12458</v>
      </c>
      <c r="S45" s="2539">
        <v>3037</v>
      </c>
      <c r="T45" s="2539">
        <v>2908</v>
      </c>
      <c r="U45" s="2539">
        <v>286</v>
      </c>
      <c r="V45" s="2539">
        <v>0</v>
      </c>
      <c r="W45" s="2538">
        <v>18689</v>
      </c>
      <c r="X45" s="2539">
        <v>13152</v>
      </c>
      <c r="Y45" s="2539">
        <v>1315</v>
      </c>
      <c r="Z45" s="2538">
        <v>14467</v>
      </c>
      <c r="AA45" s="2539">
        <v>-33156</v>
      </c>
      <c r="AB45" s="2538">
        <v>0</v>
      </c>
      <c r="AD45" s="1182"/>
      <c r="AE45" s="1180"/>
      <c r="AF45" s="1180"/>
    </row>
    <row r="46" spans="1:32" s="2304" customFormat="1" ht="12.75" customHeight="1" thickBot="1" x14ac:dyDescent="0.25">
      <c r="A46" s="3150" t="s">
        <v>72</v>
      </c>
      <c r="B46" s="3151"/>
      <c r="C46" s="908"/>
      <c r="D46" s="2834">
        <v>10564</v>
      </c>
      <c r="E46" s="2835">
        <v>7517</v>
      </c>
      <c r="F46" s="2835">
        <v>-170</v>
      </c>
      <c r="G46" s="2835">
        <v>770</v>
      </c>
      <c r="H46" s="2835">
        <v>-904</v>
      </c>
      <c r="I46" s="2836">
        <v>17777</v>
      </c>
      <c r="J46" s="2835">
        <v>9260</v>
      </c>
      <c r="K46" s="2835">
        <v>9499</v>
      </c>
      <c r="L46" s="2836">
        <v>18759</v>
      </c>
      <c r="M46" s="2835">
        <v>-5184</v>
      </c>
      <c r="N46" s="2836">
        <v>31352</v>
      </c>
      <c r="O46" s="1668"/>
      <c r="P46" s="1668"/>
      <c r="Q46" s="1668"/>
      <c r="R46" s="2834">
        <v>59348</v>
      </c>
      <c r="S46" s="2835">
        <v>27312</v>
      </c>
      <c r="T46" s="2835">
        <v>-23896</v>
      </c>
      <c r="U46" s="2835">
        <v>1692</v>
      </c>
      <c r="V46" s="2835">
        <v>-1579</v>
      </c>
      <c r="W46" s="2836">
        <v>62877</v>
      </c>
      <c r="X46" s="2835">
        <v>26846</v>
      </c>
      <c r="Y46" s="2835">
        <v>31757</v>
      </c>
      <c r="Z46" s="2836">
        <v>58603</v>
      </c>
      <c r="AA46" s="2835">
        <v>-28824</v>
      </c>
      <c r="AB46" s="2836">
        <v>92656</v>
      </c>
      <c r="AD46" s="1182">
        <v>-13319</v>
      </c>
      <c r="AE46" s="1180">
        <v>3945.9999999999854</v>
      </c>
      <c r="AF46" s="1180">
        <v>116</v>
      </c>
    </row>
    <row r="47" spans="1:32" ht="9" customHeight="1" thickTop="1" x14ac:dyDescent="0.2">
      <c r="A47" s="948"/>
      <c r="B47" s="946"/>
      <c r="C47" s="908"/>
      <c r="D47" s="2558"/>
      <c r="E47" s="2558"/>
      <c r="F47" s="1668"/>
      <c r="G47" s="2559"/>
      <c r="H47" s="2559"/>
      <c r="I47" s="2559"/>
      <c r="J47" s="2558"/>
      <c r="K47" s="2558"/>
      <c r="L47" s="2558"/>
      <c r="M47" s="2558"/>
      <c r="N47" s="2558"/>
      <c r="O47" s="1668"/>
      <c r="P47" s="1668"/>
      <c r="Q47" s="1668"/>
      <c r="R47" s="2558"/>
      <c r="S47" s="2558"/>
      <c r="T47" s="1668"/>
      <c r="U47" s="2559"/>
      <c r="V47" s="2559"/>
      <c r="W47" s="2559"/>
      <c r="X47" s="2558"/>
      <c r="Y47" s="2558"/>
      <c r="Z47" s="2558"/>
      <c r="AA47" s="2558"/>
      <c r="AB47" s="2558"/>
    </row>
    <row r="48" spans="1:32" ht="12.75" customHeight="1" x14ac:dyDescent="0.2">
      <c r="A48" s="1285" t="s">
        <v>623</v>
      </c>
      <c r="B48" s="959"/>
      <c r="C48" s="908"/>
      <c r="D48" s="1082">
        <v>0.49764601687409687</v>
      </c>
      <c r="E48" s="1082">
        <v>0.61108866680842011</v>
      </c>
      <c r="F48" s="1082">
        <v>0.59323395519057398</v>
      </c>
      <c r="G48" s="1082">
        <v>0.66225452967342957</v>
      </c>
      <c r="H48" s="1874" t="s">
        <v>41</v>
      </c>
      <c r="I48" s="1082">
        <v>0.57678281050188662</v>
      </c>
      <c r="J48" s="1082">
        <v>0.57926597253450485</v>
      </c>
      <c r="K48" s="1082">
        <v>0.54518026222487936</v>
      </c>
      <c r="L48" s="1082">
        <v>0.56037027616559143</v>
      </c>
      <c r="M48" s="1082">
        <v>2.1941155988857939</v>
      </c>
      <c r="N48" s="1082">
        <v>0.59878098234144783</v>
      </c>
      <c r="O48" s="1809"/>
      <c r="P48" s="1809"/>
      <c r="Q48" s="1809"/>
      <c r="R48" s="1082">
        <v>0.51622580707037768</v>
      </c>
      <c r="S48" s="1082">
        <v>0.56200693705593452</v>
      </c>
      <c r="T48" s="1082">
        <v>0.7195396593405583</v>
      </c>
      <c r="U48" s="1082">
        <v>0.63702735446024361</v>
      </c>
      <c r="V48" s="1080" t="s">
        <v>41</v>
      </c>
      <c r="W48" s="1082">
        <v>0.57394871125018809</v>
      </c>
      <c r="X48" s="1080">
        <v>0.57468596791505899</v>
      </c>
      <c r="Y48" s="1080">
        <v>0.5679824303390395</v>
      </c>
      <c r="Z48" s="1082">
        <v>0.57098466688753624</v>
      </c>
      <c r="AA48" s="1080">
        <v>1.9930822758902988</v>
      </c>
      <c r="AB48" s="1082">
        <v>0.60191908561214946</v>
      </c>
    </row>
    <row r="49" spans="1:30" ht="12.75" customHeight="1" x14ac:dyDescent="0.2">
      <c r="A49" s="1285" t="s">
        <v>75</v>
      </c>
      <c r="B49" s="959"/>
      <c r="C49" s="908"/>
      <c r="D49" s="1080">
        <v>0.28398514582265105</v>
      </c>
      <c r="E49" s="1080">
        <v>0.30068041675526258</v>
      </c>
      <c r="F49" s="1080">
        <v>0.40355261983397306</v>
      </c>
      <c r="G49" s="1080">
        <v>0.25084083758272757</v>
      </c>
      <c r="H49" s="1874">
        <v>0</v>
      </c>
      <c r="I49" s="1080">
        <v>0.30574719902327613</v>
      </c>
      <c r="J49" s="1080">
        <v>0.19637483136739423</v>
      </c>
      <c r="K49" s="1080">
        <v>0.31856290755391181</v>
      </c>
      <c r="L49" s="1080">
        <v>0.26411080537378318</v>
      </c>
      <c r="M49" s="1080">
        <v>1.1982938718662952</v>
      </c>
      <c r="N49" s="1080">
        <v>0.30490187645157724</v>
      </c>
      <c r="O49" s="1809"/>
      <c r="P49" s="1809"/>
      <c r="Q49" s="1809"/>
      <c r="R49" s="1082">
        <v>0.20830184336216984</v>
      </c>
      <c r="S49" s="1082">
        <v>0.33802501424632808</v>
      </c>
      <c r="T49" s="1082">
        <v>0.47338425759957348</v>
      </c>
      <c r="U49" s="1082">
        <v>0.29991073136517249</v>
      </c>
      <c r="V49" s="1080" t="s">
        <v>41</v>
      </c>
      <c r="W49" s="1082">
        <v>0.31024411991038242</v>
      </c>
      <c r="X49" s="1080">
        <v>0.23192441956040344</v>
      </c>
      <c r="Y49" s="1080">
        <v>0.30231582249936273</v>
      </c>
      <c r="Z49" s="1082">
        <v>0.27079043158348326</v>
      </c>
      <c r="AA49" s="1080">
        <v>1.5439623413835448</v>
      </c>
      <c r="AB49" s="1082">
        <v>0.32025581088674554</v>
      </c>
    </row>
    <row r="50" spans="1:30" ht="12.75" customHeight="1" x14ac:dyDescent="0.2">
      <c r="A50" s="1285" t="s">
        <v>76</v>
      </c>
      <c r="B50" s="959"/>
      <c r="C50" s="908"/>
      <c r="D50" s="1082">
        <v>0.78163116269674793</v>
      </c>
      <c r="E50" s="1082">
        <v>0.9117690835636828</v>
      </c>
      <c r="F50" s="1082">
        <v>0.99678657502454704</v>
      </c>
      <c r="G50" s="1082">
        <v>0.91309536725615714</v>
      </c>
      <c r="H50" s="1080" t="s">
        <v>41</v>
      </c>
      <c r="I50" s="1082">
        <v>0.8825300095251627</v>
      </c>
      <c r="J50" s="1082">
        <v>0.77564080390189905</v>
      </c>
      <c r="K50" s="1082">
        <v>0.86374316977879118</v>
      </c>
      <c r="L50" s="1082">
        <v>0.82448108153937461</v>
      </c>
      <c r="M50" s="1080" t="s">
        <v>41</v>
      </c>
      <c r="N50" s="1082">
        <v>0.90368285879302501</v>
      </c>
      <c r="O50" s="2515"/>
      <c r="P50" s="2515"/>
      <c r="Q50" s="2515"/>
      <c r="R50" s="1082">
        <v>0.72452765043254752</v>
      </c>
      <c r="S50" s="1082">
        <v>0.90003195130226266</v>
      </c>
      <c r="T50" s="1082">
        <v>1.1929239169401318</v>
      </c>
      <c r="U50" s="1082">
        <v>0.93693808582541604</v>
      </c>
      <c r="V50" s="1080" t="s">
        <v>41</v>
      </c>
      <c r="W50" s="1082">
        <v>0.88419283116057057</v>
      </c>
      <c r="X50" s="1080">
        <v>0.80661038747546243</v>
      </c>
      <c r="Y50" s="1080">
        <v>0.87029825283840223</v>
      </c>
      <c r="Z50" s="1082">
        <v>0.8417750984710195</v>
      </c>
      <c r="AA50" s="1080" t="s">
        <v>41</v>
      </c>
      <c r="AB50" s="1082">
        <v>0.92217489649889506</v>
      </c>
    </row>
    <row r="51" spans="1:30" ht="12.75" customHeight="1" x14ac:dyDescent="0.2">
      <c r="A51" s="1285" t="s">
        <v>77</v>
      </c>
      <c r="B51" s="959"/>
      <c r="C51" s="908"/>
      <c r="D51" s="1817">
        <v>0.1641417672741963</v>
      </c>
      <c r="E51" s="1817">
        <v>7.9917074207952368E-2</v>
      </c>
      <c r="F51" s="1817">
        <v>-7.5872534142640367E-3</v>
      </c>
      <c r="G51" s="1817">
        <v>8.3541282412932627E-2</v>
      </c>
      <c r="H51" s="1874" t="s">
        <v>41</v>
      </c>
      <c r="I51" s="1817">
        <v>9.3551833199139053E-2</v>
      </c>
      <c r="J51" s="1817">
        <v>0.16015773634508285</v>
      </c>
      <c r="K51" s="1817">
        <v>0.13207179900727167</v>
      </c>
      <c r="L51" s="1817">
        <v>0.14458806391194765</v>
      </c>
      <c r="M51" s="1874">
        <v>-0.90250696378830086</v>
      </c>
      <c r="N51" s="1817">
        <v>9.6317141206974946E-2</v>
      </c>
      <c r="O51" s="2515"/>
      <c r="P51" s="2515"/>
      <c r="Q51" s="2515"/>
      <c r="R51" s="1817">
        <v>0.22767920511000711</v>
      </c>
      <c r="S51" s="1817">
        <v>8.9964326535721229E-2</v>
      </c>
      <c r="T51" s="1817">
        <v>-0.21965456066330236</v>
      </c>
      <c r="U51" s="1817">
        <v>5.3943760760058662E-2</v>
      </c>
      <c r="V51" s="1874" t="s">
        <v>41</v>
      </c>
      <c r="W51" s="1817">
        <v>8.9272581162700232E-2</v>
      </c>
      <c r="X51" s="1874">
        <v>0.12979992844226548</v>
      </c>
      <c r="Y51" s="1874">
        <v>0.12454458105378748</v>
      </c>
      <c r="Z51" s="1817">
        <v>0.12689823325992669</v>
      </c>
      <c r="AA51" s="1874">
        <v>-1.1798608268522308</v>
      </c>
      <c r="AB51" s="1817">
        <v>7.7825103501104942E-2</v>
      </c>
    </row>
    <row r="52" spans="1:30" ht="12.75" customHeight="1" x14ac:dyDescent="0.2">
      <c r="A52" s="1285"/>
      <c r="B52" s="959"/>
      <c r="C52" s="908"/>
      <c r="D52" s="1817"/>
      <c r="E52" s="1817"/>
      <c r="F52" s="1817"/>
      <c r="G52" s="1817"/>
      <c r="H52" s="1874"/>
      <c r="I52" s="1817"/>
      <c r="J52" s="1817"/>
      <c r="K52" s="1817"/>
      <c r="L52" s="1817"/>
      <c r="M52" s="1874"/>
      <c r="N52" s="1817"/>
      <c r="O52" s="2515"/>
      <c r="P52" s="2515"/>
      <c r="Q52" s="2515"/>
      <c r="R52" s="1817"/>
      <c r="S52" s="1817"/>
      <c r="T52" s="1817"/>
      <c r="U52" s="1817"/>
      <c r="V52" s="1874"/>
      <c r="W52" s="1817"/>
      <c r="X52" s="1874"/>
      <c r="Y52" s="1874"/>
      <c r="Z52" s="1817"/>
      <c r="AA52" s="1874"/>
      <c r="AB52" s="1817"/>
    </row>
    <row r="53" spans="1:30" ht="12.75" customHeight="1" x14ac:dyDescent="0.2">
      <c r="A53" s="946"/>
      <c r="B53" s="946"/>
      <c r="C53" s="908"/>
      <c r="D53" s="952"/>
      <c r="E53" s="952"/>
      <c r="F53" s="952"/>
      <c r="G53" s="946"/>
      <c r="H53" s="946"/>
      <c r="I53" s="946"/>
      <c r="J53" s="952"/>
      <c r="K53" s="952"/>
      <c r="L53" s="952"/>
      <c r="M53" s="952"/>
      <c r="N53" s="952"/>
      <c r="O53" s="946"/>
      <c r="P53" s="946"/>
      <c r="Q53" s="946"/>
      <c r="R53" s="952"/>
      <c r="S53" s="952"/>
      <c r="T53" s="952"/>
      <c r="U53" s="946"/>
      <c r="V53" s="946"/>
      <c r="W53" s="946"/>
      <c r="X53" s="952"/>
      <c r="Y53" s="952"/>
      <c r="Z53" s="952"/>
      <c r="AA53" s="952"/>
      <c r="AB53" s="952"/>
      <c r="AC53" s="934"/>
      <c r="AD53" s="934"/>
    </row>
    <row r="54" spans="1:30" s="934" customFormat="1" ht="18" customHeight="1" x14ac:dyDescent="0.2">
      <c r="A54" s="965" t="s">
        <v>626</v>
      </c>
      <c r="B54" s="946"/>
      <c r="C54" s="900"/>
      <c r="D54" s="946"/>
      <c r="E54" s="946"/>
      <c r="F54" s="946"/>
      <c r="G54" s="946"/>
      <c r="H54" s="946"/>
      <c r="I54" s="946"/>
      <c r="J54" s="946"/>
      <c r="K54" s="946"/>
      <c r="L54" s="946"/>
      <c r="M54" s="1082"/>
      <c r="N54" s="946"/>
      <c r="O54" s="946"/>
      <c r="P54" s="946"/>
      <c r="Q54" s="946"/>
      <c r="R54" s="946"/>
      <c r="S54" s="946"/>
      <c r="T54" s="946"/>
      <c r="U54" s="946"/>
      <c r="V54" s="946"/>
      <c r="W54" s="946"/>
      <c r="X54" s="946"/>
      <c r="Y54" s="946"/>
      <c r="Z54" s="946"/>
      <c r="AA54" s="946"/>
      <c r="AB54" s="946"/>
    </row>
    <row r="55" spans="1:30" s="934" customFormat="1" ht="18" customHeight="1" x14ac:dyDescent="0.2">
      <c r="A55" s="965"/>
      <c r="B55" s="946"/>
      <c r="C55" s="900"/>
      <c r="D55" s="1269"/>
      <c r="E55" s="946"/>
      <c r="F55" s="946"/>
      <c r="G55" s="946"/>
      <c r="H55" s="946"/>
      <c r="I55" s="946"/>
      <c r="J55" s="946"/>
      <c r="K55" s="946"/>
      <c r="L55" s="946"/>
      <c r="M55" s="1082"/>
      <c r="N55" s="946"/>
      <c r="O55" s="946"/>
      <c r="P55" s="946"/>
      <c r="Q55" s="946"/>
      <c r="R55" s="946"/>
      <c r="S55" s="946"/>
      <c r="T55" s="946"/>
      <c r="U55" s="946"/>
      <c r="V55" s="946"/>
      <c r="W55" s="946"/>
      <c r="X55" s="946"/>
      <c r="Y55" s="946"/>
      <c r="Z55" s="946"/>
      <c r="AA55" s="946"/>
      <c r="AB55" s="946"/>
    </row>
    <row r="56" spans="1:30" s="934" customFormat="1" ht="12.75" customHeight="1" x14ac:dyDescent="0.2">
      <c r="A56" s="961"/>
      <c r="B56" s="946"/>
      <c r="C56" s="900"/>
      <c r="D56" s="1290"/>
      <c r="E56" s="1290"/>
      <c r="F56" s="1290"/>
      <c r="G56" s="946"/>
      <c r="H56" s="946"/>
      <c r="I56" s="946"/>
      <c r="J56" s="1290"/>
      <c r="K56" s="1290"/>
      <c r="L56" s="1290"/>
      <c r="M56" s="1290"/>
      <c r="N56" s="1290"/>
      <c r="O56" s="946"/>
      <c r="P56" s="946"/>
      <c r="Q56" s="946"/>
      <c r="R56" s="1290"/>
      <c r="S56" s="1290"/>
      <c r="T56" s="1290"/>
      <c r="U56" s="946"/>
      <c r="V56" s="946"/>
      <c r="W56" s="946"/>
      <c r="X56" s="1290"/>
      <c r="Y56" s="1290"/>
      <c r="Z56" s="1290"/>
      <c r="AA56" s="1290"/>
      <c r="AB56" s="1290"/>
    </row>
    <row r="57" spans="1:30" s="934" customFormat="1" ht="27.75" customHeight="1" x14ac:dyDescent="0.2">
      <c r="A57" s="945"/>
      <c r="B57" s="946"/>
      <c r="C57" s="2561"/>
      <c r="D57" s="3152" t="s">
        <v>186</v>
      </c>
      <c r="E57" s="3153"/>
      <c r="F57" s="3153"/>
      <c r="G57" s="3153"/>
      <c r="H57" s="3153"/>
      <c r="I57" s="3154"/>
      <c r="J57" s="3158" t="s">
        <v>553</v>
      </c>
      <c r="K57" s="3159"/>
      <c r="L57" s="3160"/>
      <c r="M57" s="2570" t="s">
        <v>557</v>
      </c>
      <c r="N57" s="3155" t="s">
        <v>58</v>
      </c>
      <c r="O57" s="2438"/>
      <c r="P57" s="946"/>
      <c r="Q57" s="946"/>
      <c r="R57" s="3152" t="s">
        <v>186</v>
      </c>
      <c r="S57" s="3153"/>
      <c r="T57" s="3153"/>
      <c r="U57" s="3153"/>
      <c r="V57" s="3153"/>
      <c r="W57" s="3154"/>
      <c r="X57" s="3158" t="s">
        <v>553</v>
      </c>
      <c r="Y57" s="3159"/>
      <c r="Z57" s="3160"/>
      <c r="AA57" s="2570" t="s">
        <v>557</v>
      </c>
      <c r="AB57" s="3155" t="s">
        <v>58</v>
      </c>
    </row>
    <row r="58" spans="1:30" ht="39" customHeight="1" x14ac:dyDescent="0.2">
      <c r="A58" s="945" t="s">
        <v>2</v>
      </c>
      <c r="B58" s="946"/>
      <c r="C58" s="2563"/>
      <c r="D58" s="990" t="s">
        <v>84</v>
      </c>
      <c r="E58" s="990" t="s">
        <v>95</v>
      </c>
      <c r="F58" s="2878" t="s">
        <v>550</v>
      </c>
      <c r="G58" s="990" t="s">
        <v>283</v>
      </c>
      <c r="H58" s="2879" t="s">
        <v>472</v>
      </c>
      <c r="I58" s="2574" t="s">
        <v>58</v>
      </c>
      <c r="J58" s="2872" t="s">
        <v>84</v>
      </c>
      <c r="K58" s="2878" t="s">
        <v>551</v>
      </c>
      <c r="L58" s="2833" t="s">
        <v>58</v>
      </c>
      <c r="M58" s="990" t="s">
        <v>84</v>
      </c>
      <c r="N58" s="3156"/>
      <c r="O58" s="1808"/>
      <c r="P58" s="990"/>
      <c r="Q58" s="990"/>
      <c r="R58" s="2986" t="s">
        <v>84</v>
      </c>
      <c r="S58" s="992" t="s">
        <v>95</v>
      </c>
      <c r="T58" s="2574" t="s">
        <v>550</v>
      </c>
      <c r="U58" s="992" t="s">
        <v>283</v>
      </c>
      <c r="V58" s="2567" t="s">
        <v>472</v>
      </c>
      <c r="W58" s="2575" t="s">
        <v>58</v>
      </c>
      <c r="X58" s="992" t="s">
        <v>84</v>
      </c>
      <c r="Y58" s="2574" t="s">
        <v>551</v>
      </c>
      <c r="Z58" s="2931" t="s">
        <v>58</v>
      </c>
      <c r="AA58" s="995" t="s">
        <v>84</v>
      </c>
      <c r="AB58" s="3156"/>
      <c r="AC58" s="934"/>
      <c r="AD58" s="934"/>
    </row>
    <row r="59" spans="1:30" ht="12.75" customHeight="1" x14ac:dyDescent="0.2">
      <c r="A59" s="2566"/>
      <c r="B59" s="946" t="s">
        <v>4</v>
      </c>
      <c r="C59" s="900"/>
      <c r="D59" s="2778">
        <v>64359</v>
      </c>
      <c r="E59" s="1455">
        <v>94060</v>
      </c>
      <c r="F59" s="1455">
        <v>22406</v>
      </c>
      <c r="G59" s="1455">
        <v>9217</v>
      </c>
      <c r="H59" s="1780">
        <v>-19</v>
      </c>
      <c r="I59" s="1269">
        <v>190023</v>
      </c>
      <c r="J59" s="2778">
        <v>57818</v>
      </c>
      <c r="K59" s="1780">
        <v>71923</v>
      </c>
      <c r="L59" s="1269">
        <v>129741</v>
      </c>
      <c r="M59" s="2560">
        <v>5744</v>
      </c>
      <c r="N59" s="1245">
        <v>325508</v>
      </c>
      <c r="O59" s="1198"/>
      <c r="P59" s="1269"/>
      <c r="Q59" s="1269"/>
      <c r="R59" s="1198">
        <v>260665</v>
      </c>
      <c r="S59" s="1269">
        <v>303587</v>
      </c>
      <c r="T59" s="1269">
        <v>108789</v>
      </c>
      <c r="U59" s="1269">
        <v>31366</v>
      </c>
      <c r="V59" s="1780">
        <v>-81</v>
      </c>
      <c r="W59" s="1265">
        <v>704326</v>
      </c>
      <c r="X59" s="1269">
        <v>206826</v>
      </c>
      <c r="Y59" s="1269">
        <v>254985</v>
      </c>
      <c r="Z59" s="1413">
        <v>461811</v>
      </c>
      <c r="AA59" s="2560">
        <v>24430</v>
      </c>
      <c r="AB59" s="1265">
        <v>1190567</v>
      </c>
    </row>
    <row r="60" spans="1:30" ht="12.75" customHeight="1" x14ac:dyDescent="0.2">
      <c r="A60" s="1208"/>
      <c r="B60" s="946" t="s">
        <v>80</v>
      </c>
      <c r="C60" s="929"/>
      <c r="D60" s="1198">
        <v>49667</v>
      </c>
      <c r="E60" s="1269">
        <v>83751</v>
      </c>
      <c r="F60" s="1269">
        <v>22334</v>
      </c>
      <c r="G60" s="1269">
        <v>8416</v>
      </c>
      <c r="H60" s="1245">
        <v>885</v>
      </c>
      <c r="I60" s="1269">
        <v>165053</v>
      </c>
      <c r="J60" s="1198">
        <v>44846</v>
      </c>
      <c r="K60" s="1245">
        <v>57593</v>
      </c>
      <c r="L60" s="1269">
        <v>102439</v>
      </c>
      <c r="M60" s="1265">
        <v>19486</v>
      </c>
      <c r="N60" s="1245">
        <v>286978</v>
      </c>
      <c r="O60" s="1198"/>
      <c r="P60" s="1269"/>
      <c r="Q60" s="1269"/>
      <c r="R60" s="1198">
        <v>185194</v>
      </c>
      <c r="S60" s="1269">
        <v>272431</v>
      </c>
      <c r="T60" s="1269">
        <v>116707</v>
      </c>
      <c r="U60" s="1269">
        <v>29388</v>
      </c>
      <c r="V60" s="1245">
        <v>1498</v>
      </c>
      <c r="W60" s="1265">
        <v>605218</v>
      </c>
      <c r="X60" s="1269">
        <v>166828</v>
      </c>
      <c r="Y60" s="1269">
        <v>205133</v>
      </c>
      <c r="Z60" s="1413">
        <v>371961</v>
      </c>
      <c r="AA60" s="1265">
        <v>77802</v>
      </c>
      <c r="AB60" s="1265">
        <v>1054981</v>
      </c>
    </row>
    <row r="61" spans="1:30" ht="12.75" customHeight="1" x14ac:dyDescent="0.2">
      <c r="A61" s="1208"/>
      <c r="B61" s="2232" t="s">
        <v>336</v>
      </c>
      <c r="C61" s="929"/>
      <c r="D61" s="1198">
        <v>3490</v>
      </c>
      <c r="E61" s="1269">
        <v>782</v>
      </c>
      <c r="F61" s="1269">
        <v>242</v>
      </c>
      <c r="G61" s="1269">
        <v>31</v>
      </c>
      <c r="H61" s="1245">
        <v>0</v>
      </c>
      <c r="I61" s="1269">
        <v>4545</v>
      </c>
      <c r="J61" s="1198">
        <v>3712</v>
      </c>
      <c r="K61" s="1245">
        <v>301</v>
      </c>
      <c r="L61" s="1269">
        <v>4013</v>
      </c>
      <c r="M61" s="1265">
        <v>-8558</v>
      </c>
      <c r="N61" s="1245">
        <v>0</v>
      </c>
      <c r="O61" s="1198"/>
      <c r="P61" s="1269"/>
      <c r="Q61" s="1269"/>
      <c r="R61" s="1198">
        <v>12458</v>
      </c>
      <c r="S61" s="1269">
        <v>3037</v>
      </c>
      <c r="T61" s="1269">
        <v>2908</v>
      </c>
      <c r="U61" s="1269">
        <v>286</v>
      </c>
      <c r="V61" s="1245">
        <v>0</v>
      </c>
      <c r="W61" s="1265">
        <v>18689</v>
      </c>
      <c r="X61" s="1269">
        <v>13152</v>
      </c>
      <c r="Y61" s="1269">
        <v>1315</v>
      </c>
      <c r="Z61" s="1413">
        <v>14467</v>
      </c>
      <c r="AA61" s="1265">
        <v>-33156</v>
      </c>
      <c r="AB61" s="1265">
        <v>0</v>
      </c>
    </row>
    <row r="62" spans="1:30" ht="12.75" customHeight="1" x14ac:dyDescent="0.2">
      <c r="A62" s="1208"/>
      <c r="B62" s="946" t="s">
        <v>213</v>
      </c>
      <c r="C62" s="929"/>
      <c r="D62" s="1307">
        <v>11202</v>
      </c>
      <c r="E62" s="1304">
        <v>9527</v>
      </c>
      <c r="F62" s="1304">
        <v>-170</v>
      </c>
      <c r="G62" s="1304">
        <v>770</v>
      </c>
      <c r="H62" s="1253">
        <v>-904</v>
      </c>
      <c r="I62" s="1304">
        <v>20425</v>
      </c>
      <c r="J62" s="1307">
        <v>9260</v>
      </c>
      <c r="K62" s="1253">
        <v>14029</v>
      </c>
      <c r="L62" s="1304">
        <v>23289</v>
      </c>
      <c r="M62" s="1274">
        <v>-5184</v>
      </c>
      <c r="N62" s="1253">
        <v>38530</v>
      </c>
      <c r="O62" s="1198"/>
      <c r="P62" s="1269"/>
      <c r="Q62" s="1269"/>
      <c r="R62" s="1307">
        <v>63013</v>
      </c>
      <c r="S62" s="1304">
        <v>28119</v>
      </c>
      <c r="T62" s="1304">
        <v>-10826</v>
      </c>
      <c r="U62" s="1304">
        <v>1692</v>
      </c>
      <c r="V62" s="1253">
        <v>-1579</v>
      </c>
      <c r="W62" s="1274">
        <v>80419</v>
      </c>
      <c r="X62" s="1304">
        <v>26846</v>
      </c>
      <c r="Y62" s="1304">
        <v>48537</v>
      </c>
      <c r="Z62" s="1477">
        <v>75383</v>
      </c>
      <c r="AA62" s="1274">
        <v>-20216</v>
      </c>
      <c r="AB62" s="1274">
        <v>135586</v>
      </c>
    </row>
    <row r="63" spans="1:30" ht="12.75" customHeight="1" x14ac:dyDescent="0.2">
      <c r="A63" s="1193"/>
      <c r="B63" s="946"/>
      <c r="C63" s="929"/>
      <c r="D63" s="959"/>
      <c r="E63" s="959"/>
      <c r="F63" s="959"/>
      <c r="G63" s="946"/>
      <c r="H63" s="946"/>
      <c r="I63" s="946"/>
      <c r="J63" s="959"/>
      <c r="K63" s="959"/>
      <c r="L63" s="959"/>
      <c r="M63" s="959"/>
      <c r="N63" s="959"/>
      <c r="O63" s="946"/>
      <c r="P63" s="946"/>
      <c r="Q63" s="946"/>
      <c r="R63" s="959"/>
      <c r="S63" s="959"/>
      <c r="T63" s="959"/>
      <c r="U63" s="946"/>
      <c r="V63" s="946"/>
      <c r="W63" s="946"/>
      <c r="X63" s="959"/>
      <c r="Y63" s="959"/>
      <c r="Z63" s="959"/>
      <c r="AA63" s="959"/>
      <c r="AB63" s="959"/>
    </row>
    <row r="64" spans="1:30" ht="12.75" customHeight="1" x14ac:dyDescent="0.2">
      <c r="A64" s="1193"/>
      <c r="B64" s="946" t="s">
        <v>718</v>
      </c>
      <c r="C64" s="929"/>
      <c r="D64" s="1874">
        <v>0.49764601687409687</v>
      </c>
      <c r="E64" s="1874">
        <v>0.61108866680842011</v>
      </c>
      <c r="F64" s="1874">
        <v>0.59323395519057398</v>
      </c>
      <c r="G64" s="1874">
        <v>0.66225452967342957</v>
      </c>
      <c r="H64" s="1874" t="s">
        <v>41</v>
      </c>
      <c r="I64" s="1874">
        <v>0.57678281050188662</v>
      </c>
      <c r="J64" s="1874">
        <v>0.57926597253450485</v>
      </c>
      <c r="K64" s="1874">
        <v>0.54518026222487936</v>
      </c>
      <c r="L64" s="1874">
        <v>0.56037027616559143</v>
      </c>
      <c r="M64" s="1874">
        <v>2.1941155988857939</v>
      </c>
      <c r="N64" s="1874">
        <v>0.59878098234144783</v>
      </c>
      <c r="O64" s="1807"/>
      <c r="P64" s="1807"/>
      <c r="Q64" s="1807"/>
      <c r="R64" s="1874">
        <v>0.51622580707037768</v>
      </c>
      <c r="S64" s="1874">
        <v>0.56200693705593452</v>
      </c>
      <c r="T64" s="1874">
        <v>0.7195396593405583</v>
      </c>
      <c r="U64" s="1874">
        <v>0.63702735446024361</v>
      </c>
      <c r="V64" s="1874" t="s">
        <v>41</v>
      </c>
      <c r="W64" s="1874">
        <v>0.57394871125018809</v>
      </c>
      <c r="X64" s="1874">
        <v>0.57468596791505899</v>
      </c>
      <c r="Y64" s="1874">
        <v>0.5679824303390395</v>
      </c>
      <c r="Z64" s="1874">
        <v>0.57098466688753624</v>
      </c>
      <c r="AA64" s="1874">
        <v>1.9930822758902988</v>
      </c>
      <c r="AB64" s="1874">
        <v>0.60191908561214946</v>
      </c>
    </row>
    <row r="65" spans="1:28" ht="12.75" customHeight="1" x14ac:dyDescent="0.2">
      <c r="A65" s="1193"/>
      <c r="B65" s="1204" t="s">
        <v>75</v>
      </c>
      <c r="C65" s="929"/>
      <c r="D65" s="1874">
        <v>0.27407200236175205</v>
      </c>
      <c r="E65" s="1874">
        <v>0.27931107803529664</v>
      </c>
      <c r="F65" s="1874">
        <v>0.40355261983397306</v>
      </c>
      <c r="G65" s="1874">
        <v>0.25084083758272757</v>
      </c>
      <c r="H65" s="1874" t="s">
        <v>41</v>
      </c>
      <c r="I65" s="1874">
        <v>0.29181204380522358</v>
      </c>
      <c r="J65" s="1874">
        <v>0.19637483136739423</v>
      </c>
      <c r="K65" s="1874">
        <v>0.25557888297206732</v>
      </c>
      <c r="L65" s="1874">
        <v>0.22919508867667121</v>
      </c>
      <c r="M65" s="1874">
        <v>1.1982938718662952</v>
      </c>
      <c r="N65" s="1874">
        <v>0.28285019108593334</v>
      </c>
      <c r="O65" s="1807"/>
      <c r="P65" s="1807"/>
      <c r="Q65" s="1807"/>
      <c r="R65" s="1874">
        <v>0.19424165116145245</v>
      </c>
      <c r="S65" s="1874">
        <v>0.33536679765602612</v>
      </c>
      <c r="T65" s="1874">
        <v>0.35324343453841839</v>
      </c>
      <c r="U65" s="1874">
        <v>0.29991073136517249</v>
      </c>
      <c r="V65" s="1874" t="s">
        <v>41</v>
      </c>
      <c r="W65" s="1874">
        <v>0.28533803948739644</v>
      </c>
      <c r="X65" s="1874">
        <v>0.23192441956040344</v>
      </c>
      <c r="Y65" s="1874">
        <v>0.23650802988411082</v>
      </c>
      <c r="Z65" s="1874">
        <v>0.23445522085874956</v>
      </c>
      <c r="AA65" s="1874">
        <v>1.1916086778550963</v>
      </c>
      <c r="AB65" s="1874">
        <v>0.28419736142527047</v>
      </c>
    </row>
    <row r="66" spans="1:28" ht="12.75" customHeight="1" x14ac:dyDescent="0.2">
      <c r="A66" s="1193"/>
      <c r="B66" s="1204" t="s">
        <v>76</v>
      </c>
      <c r="C66" s="929"/>
      <c r="D66" s="1874">
        <v>0.77171801923584893</v>
      </c>
      <c r="E66" s="1874">
        <v>0.89039974484371676</v>
      </c>
      <c r="F66" s="1874">
        <v>0.99678657502454704</v>
      </c>
      <c r="G66" s="1874">
        <v>0.91309536725615714</v>
      </c>
      <c r="H66" s="1874" t="s">
        <v>41</v>
      </c>
      <c r="I66" s="1874">
        <v>0.86859485430711014</v>
      </c>
      <c r="J66" s="1874">
        <v>0.77564080390189905</v>
      </c>
      <c r="K66" s="1874">
        <v>0.80075914519694669</v>
      </c>
      <c r="L66" s="1874">
        <v>0.7895653648422627</v>
      </c>
      <c r="M66" s="1874" t="s">
        <v>41</v>
      </c>
      <c r="N66" s="1874">
        <v>0.88163117342738118</v>
      </c>
      <c r="O66" s="1807"/>
      <c r="P66" s="1807"/>
      <c r="Q66" s="1807"/>
      <c r="R66" s="1874">
        <v>0.71046745823183011</v>
      </c>
      <c r="S66" s="1874">
        <v>0.89737373471196069</v>
      </c>
      <c r="T66" s="1874">
        <v>1.0727830938789766</v>
      </c>
      <c r="U66" s="1874">
        <v>0.93693808582541604</v>
      </c>
      <c r="V66" s="1874" t="s">
        <v>41</v>
      </c>
      <c r="W66" s="1874">
        <v>0.85928675073758454</v>
      </c>
      <c r="X66" s="1874">
        <v>0.80661038747546243</v>
      </c>
      <c r="Y66" s="1874">
        <v>0.80449046022315041</v>
      </c>
      <c r="Z66" s="1874">
        <v>0.80543988774628583</v>
      </c>
      <c r="AA66" s="1874" t="s">
        <v>41</v>
      </c>
      <c r="AB66" s="1874">
        <v>0.88611644703741999</v>
      </c>
    </row>
    <row r="67" spans="1:28" ht="12.75" customHeight="1" x14ac:dyDescent="0.2">
      <c r="A67" s="1193"/>
      <c r="B67" s="1204" t="s">
        <v>77</v>
      </c>
      <c r="C67" s="929"/>
      <c r="D67" s="1874">
        <v>0.17405491073509533</v>
      </c>
      <c r="E67" s="1874">
        <v>0.10128641292791835</v>
      </c>
      <c r="F67" s="1874">
        <v>-7.5872534142640367E-3</v>
      </c>
      <c r="G67" s="1874">
        <v>8.3541282412932627E-2</v>
      </c>
      <c r="H67" s="1874" t="s">
        <v>41</v>
      </c>
      <c r="I67" s="1874">
        <v>0.10748698841719161</v>
      </c>
      <c r="J67" s="1874">
        <v>0.16015773634508285</v>
      </c>
      <c r="K67" s="1874">
        <v>0.19505582358911613</v>
      </c>
      <c r="L67" s="1874">
        <v>0.17950378060905958</v>
      </c>
      <c r="M67" s="1874">
        <v>-0.90250696378830086</v>
      </c>
      <c r="N67" s="1874">
        <v>0.1183688265726188</v>
      </c>
      <c r="O67" s="1807"/>
      <c r="P67" s="1807"/>
      <c r="Q67" s="1807"/>
      <c r="R67" s="1874">
        <v>0.2417393973107245</v>
      </c>
      <c r="S67" s="1874">
        <v>9.262254312602318E-2</v>
      </c>
      <c r="T67" s="1874">
        <v>-9.9513737602147281E-2</v>
      </c>
      <c r="U67" s="1874">
        <v>5.3943760760058662E-2</v>
      </c>
      <c r="V67" s="1874" t="s">
        <v>41</v>
      </c>
      <c r="W67" s="1874">
        <v>0.11417866158568617</v>
      </c>
      <c r="X67" s="1874">
        <v>0.12979992844226548</v>
      </c>
      <c r="Y67" s="1874">
        <v>0.19035237366903934</v>
      </c>
      <c r="Z67" s="1874">
        <v>0.16323344398466039</v>
      </c>
      <c r="AA67" s="1874">
        <v>-0.82750716332378227</v>
      </c>
      <c r="AB67" s="1874">
        <v>0.11388355296258001</v>
      </c>
    </row>
    <row r="68" spans="1:28" s="934" customFormat="1" ht="12.75" customHeight="1" x14ac:dyDescent="0.2">
      <c r="A68" s="961"/>
      <c r="B68" s="946"/>
      <c r="C68" s="900"/>
      <c r="D68" s="946"/>
      <c r="E68" s="946"/>
      <c r="F68" s="946"/>
      <c r="G68" s="946"/>
      <c r="H68" s="946"/>
      <c r="I68" s="946"/>
      <c r="J68" s="946"/>
      <c r="K68" s="946"/>
      <c r="L68" s="946"/>
      <c r="M68" s="946"/>
      <c r="N68" s="946"/>
      <c r="O68" s="946"/>
      <c r="P68" s="946"/>
      <c r="Q68" s="946"/>
      <c r="R68" s="946"/>
      <c r="S68" s="946"/>
      <c r="T68" s="946"/>
      <c r="U68" s="946"/>
      <c r="V68" s="946"/>
      <c r="W68" s="946"/>
      <c r="X68" s="946"/>
      <c r="Y68" s="946"/>
      <c r="Z68" s="946"/>
      <c r="AA68" s="946"/>
      <c r="AB68" s="940"/>
    </row>
    <row r="69" spans="1:28" s="934" customFormat="1" ht="12.75" customHeight="1" x14ac:dyDescent="0.2">
      <c r="A69" s="961"/>
      <c r="B69" s="946"/>
      <c r="C69" s="900"/>
      <c r="D69" s="946"/>
      <c r="E69" s="946"/>
      <c r="F69" s="946"/>
      <c r="G69" s="946"/>
      <c r="H69" s="946"/>
      <c r="I69" s="946"/>
      <c r="J69" s="946"/>
      <c r="K69" s="946"/>
      <c r="L69" s="946"/>
      <c r="M69" s="946"/>
      <c r="N69" s="946"/>
      <c r="O69" s="946"/>
      <c r="P69" s="946"/>
      <c r="Q69" s="946"/>
      <c r="R69" s="946"/>
      <c r="S69" s="946"/>
      <c r="T69" s="946"/>
      <c r="U69" s="946"/>
      <c r="V69" s="946"/>
      <c r="W69" s="946"/>
      <c r="X69" s="946"/>
      <c r="Y69" s="946"/>
      <c r="Z69" s="946"/>
      <c r="AA69" s="946"/>
      <c r="AB69" s="940"/>
    </row>
    <row r="70" spans="1:28" x14ac:dyDescent="0.2">
      <c r="A70" s="946" t="s">
        <v>357</v>
      </c>
      <c r="B70" s="972"/>
      <c r="C70" s="897"/>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row>
    <row r="71" spans="1:28" x14ac:dyDescent="0.2">
      <c r="A71" s="971" t="s">
        <v>28</v>
      </c>
      <c r="B71" s="940"/>
      <c r="C71" s="897"/>
      <c r="D71" s="941"/>
      <c r="E71" s="941"/>
      <c r="F71" s="941"/>
      <c r="G71" s="941"/>
      <c r="H71" s="974"/>
      <c r="I71" s="974"/>
      <c r="J71" s="941"/>
      <c r="K71" s="941"/>
      <c r="L71" s="941"/>
      <c r="M71" s="941"/>
      <c r="N71" s="941"/>
      <c r="O71" s="941"/>
      <c r="P71" s="941"/>
      <c r="Q71" s="941"/>
      <c r="R71" s="941"/>
      <c r="S71" s="941"/>
      <c r="T71" s="941"/>
      <c r="U71" s="941"/>
      <c r="V71" s="974"/>
      <c r="W71" s="974"/>
      <c r="X71" s="941"/>
      <c r="Y71" s="941"/>
      <c r="Z71" s="941"/>
      <c r="AA71" s="941"/>
    </row>
    <row r="72" spans="1:28" x14ac:dyDescent="0.2">
      <c r="A72" s="946" t="s">
        <v>709</v>
      </c>
      <c r="B72" s="940"/>
      <c r="C72" s="897"/>
      <c r="D72" s="941"/>
      <c r="E72" s="941"/>
      <c r="F72" s="941"/>
      <c r="G72" s="941"/>
      <c r="H72" s="941"/>
      <c r="I72" s="941"/>
      <c r="J72" s="941"/>
      <c r="K72" s="941"/>
      <c r="L72" s="941"/>
      <c r="M72" s="1141"/>
      <c r="N72" s="1141"/>
      <c r="O72" s="941"/>
      <c r="P72" s="941"/>
      <c r="Q72" s="941"/>
      <c r="R72" s="941"/>
      <c r="S72" s="941"/>
      <c r="T72" s="941"/>
      <c r="U72" s="941"/>
      <c r="V72" s="941"/>
      <c r="W72" s="941"/>
      <c r="X72" s="941"/>
      <c r="Y72" s="941"/>
      <c r="Z72" s="941"/>
      <c r="AA72" s="1141"/>
    </row>
    <row r="73" spans="1:28" x14ac:dyDescent="0.2">
      <c r="B73" s="940"/>
      <c r="C73" s="897"/>
      <c r="D73" s="941"/>
      <c r="E73" s="941"/>
      <c r="F73" s="941"/>
      <c r="G73" s="941"/>
      <c r="H73" s="941"/>
      <c r="I73" s="941"/>
      <c r="J73" s="941"/>
      <c r="K73" s="941"/>
      <c r="L73" s="941"/>
      <c r="M73" s="1141"/>
      <c r="N73" s="1141"/>
      <c r="O73" s="941"/>
      <c r="P73" s="941"/>
      <c r="Q73" s="941"/>
      <c r="R73" s="941"/>
      <c r="S73" s="941"/>
      <c r="T73" s="941"/>
      <c r="U73" s="941"/>
      <c r="V73" s="941"/>
      <c r="W73" s="941"/>
      <c r="X73" s="941"/>
      <c r="Y73" s="941"/>
      <c r="Z73" s="941"/>
      <c r="AA73" s="1141"/>
    </row>
  </sheetData>
  <mergeCells count="16">
    <mergeCell ref="J57:L57"/>
    <mergeCell ref="D57:I57"/>
    <mergeCell ref="X57:Z57"/>
    <mergeCell ref="N57:N58"/>
    <mergeCell ref="AB57:AB58"/>
    <mergeCell ref="R57:W57"/>
    <mergeCell ref="A46:B46"/>
    <mergeCell ref="D11:N11"/>
    <mergeCell ref="R11:AB11"/>
    <mergeCell ref="N12:N13"/>
    <mergeCell ref="A44:B44"/>
    <mergeCell ref="X12:Z12"/>
    <mergeCell ref="R12:W12"/>
    <mergeCell ref="AB12:AB13"/>
    <mergeCell ref="D12:I12"/>
    <mergeCell ref="J12:L12"/>
  </mergeCells>
  <conditionalFormatting sqref="A54:A56 A53:B53 A68:A69 A48:B48">
    <cfRule type="cellIs" dxfId="162" priority="11" stopIfTrue="1" operator="equal">
      <formula>0</formula>
    </cfRule>
  </conditionalFormatting>
  <printOptions horizontalCentered="1"/>
  <pageMargins left="0" right="0" top="0.75" bottom="0" header="0" footer="0"/>
  <pageSetup scale="57" orientation="landscape" r:id="rId1"/>
  <headerFooter alignWithMargins="0">
    <oddFooter>&amp;L&amp;F&amp;CPage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2:BS103"/>
  <sheetViews>
    <sheetView workbookViewId="0"/>
  </sheetViews>
  <sheetFormatPr defaultColWidth="9.140625" defaultRowHeight="12.75" outlineLevelRow="1" x14ac:dyDescent="0.2"/>
  <cols>
    <col min="1" max="1" width="2.7109375" style="574" customWidth="1"/>
    <col min="2" max="2" width="45.7109375" style="574" customWidth="1"/>
    <col min="3" max="3" width="9.5703125" style="574" customWidth="1"/>
    <col min="4" max="4" width="9.7109375" style="574" customWidth="1"/>
    <col min="5" max="5" width="1.5703125" style="575" customWidth="1"/>
    <col min="6" max="6" width="9.7109375" style="575" hidden="1" customWidth="1"/>
    <col min="7" max="7" width="10.28515625" style="575" hidden="1" customWidth="1"/>
    <col min="8" max="8" width="8.7109375" style="575" hidden="1" customWidth="1"/>
    <col min="9" max="9" width="8.7109375" style="575" customWidth="1"/>
    <col min="10" max="10" width="9.7109375" style="575" customWidth="1"/>
    <col min="11" max="11" width="10.28515625" style="575" bestFit="1" customWidth="1"/>
    <col min="12" max="17" width="8.7109375" style="575" customWidth="1"/>
    <col min="18" max="29" width="8.7109375" style="575" hidden="1" customWidth="1"/>
    <col min="30" max="36" width="9.7109375" style="575" hidden="1" customWidth="1"/>
    <col min="37" max="45" width="9.7109375" style="574" hidden="1" customWidth="1"/>
    <col min="46" max="46" width="1.5703125" style="575" customWidth="1"/>
    <col min="47" max="47" width="9.42578125" style="574" hidden="1" customWidth="1"/>
    <col min="48" max="48" width="9" style="574" hidden="1" customWidth="1"/>
    <col min="49" max="50" width="9.7109375" style="577" hidden="1" customWidth="1"/>
    <col min="51" max="51" width="1.5703125" style="574" hidden="1" customWidth="1"/>
    <col min="52" max="56" width="9.7109375" style="574" customWidth="1"/>
    <col min="57" max="63" width="9.7109375" style="574" hidden="1" customWidth="1"/>
    <col min="64" max="64" width="1.5703125" style="574" customWidth="1"/>
    <col min="65" max="16384" width="9.140625" style="574"/>
  </cols>
  <sheetData>
    <row r="2" spans="1:71" x14ac:dyDescent="0.2">
      <c r="G2" s="576"/>
      <c r="H2" s="576"/>
      <c r="I2" s="576"/>
      <c r="K2" s="576"/>
      <c r="L2" s="576"/>
      <c r="M2" s="576"/>
      <c r="O2" s="576"/>
      <c r="P2" s="576"/>
      <c r="Q2" s="576"/>
      <c r="S2" s="576"/>
      <c r="T2" s="576"/>
      <c r="U2" s="576"/>
      <c r="X2" s="576"/>
      <c r="Y2" s="576"/>
      <c r="AB2" s="576"/>
      <c r="AC2" s="576"/>
      <c r="AF2" s="576"/>
      <c r="AG2" s="576"/>
    </row>
    <row r="5" spans="1:71" x14ac:dyDescent="0.2">
      <c r="A5" s="575"/>
      <c r="B5" s="575"/>
      <c r="C5" s="575"/>
      <c r="D5" s="575"/>
      <c r="AK5" s="575"/>
      <c r="AL5" s="575"/>
      <c r="AM5" s="575"/>
    </row>
    <row r="6" spans="1:71" ht="18" customHeight="1" x14ac:dyDescent="0.2">
      <c r="A6" s="578" t="s">
        <v>363</v>
      </c>
      <c r="B6" s="575"/>
      <c r="C6" s="575"/>
      <c r="D6" s="575"/>
      <c r="G6" s="576"/>
      <c r="H6" s="844"/>
      <c r="K6" s="576"/>
      <c r="L6" s="844"/>
      <c r="O6" s="576"/>
      <c r="P6" s="844"/>
      <c r="AK6" s="575"/>
      <c r="AL6" s="575"/>
      <c r="AM6" s="575"/>
    </row>
    <row r="7" spans="1:71" ht="18" customHeight="1" x14ac:dyDescent="0.2">
      <c r="A7" s="578" t="s">
        <v>345</v>
      </c>
      <c r="B7" s="575"/>
      <c r="C7" s="575"/>
      <c r="D7" s="575"/>
      <c r="G7" s="845"/>
      <c r="K7" s="845"/>
      <c r="O7" s="845"/>
      <c r="AK7" s="575"/>
      <c r="AL7" s="575"/>
      <c r="AM7" s="575"/>
    </row>
    <row r="8" spans="1:71" ht="18" customHeight="1" x14ac:dyDescent="0.2">
      <c r="A8" s="578" t="s">
        <v>344</v>
      </c>
      <c r="B8" s="579"/>
      <c r="C8" s="579"/>
      <c r="D8" s="579"/>
      <c r="E8" s="579"/>
      <c r="F8" s="579"/>
      <c r="G8" s="579"/>
      <c r="H8" s="579"/>
      <c r="I8" s="579"/>
      <c r="J8" s="579"/>
      <c r="K8" s="57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75"/>
      <c r="AL8" s="575"/>
      <c r="AM8" s="575"/>
    </row>
    <row r="9" spans="1:71" ht="9.75" customHeight="1" x14ac:dyDescent="0.2">
      <c r="A9" s="580"/>
      <c r="B9" s="580"/>
      <c r="C9" s="580"/>
      <c r="D9" s="580"/>
      <c r="E9" s="580"/>
      <c r="F9" s="580"/>
      <c r="G9" s="581"/>
      <c r="H9" s="581"/>
      <c r="I9" s="580"/>
      <c r="J9" s="580"/>
      <c r="K9" s="581"/>
      <c r="L9" s="581"/>
      <c r="M9" s="580"/>
      <c r="N9" s="580"/>
      <c r="O9" s="581"/>
      <c r="P9" s="581"/>
      <c r="Q9" s="580"/>
      <c r="R9" s="580"/>
      <c r="S9" s="581"/>
      <c r="T9" s="581"/>
      <c r="U9" s="580"/>
      <c r="V9" s="580"/>
      <c r="W9" s="580"/>
      <c r="X9" s="581"/>
      <c r="Y9" s="580"/>
      <c r="Z9" s="581"/>
      <c r="AA9" s="580"/>
      <c r="AB9" s="581"/>
      <c r="AC9" s="580"/>
      <c r="AD9" s="581"/>
      <c r="AE9" s="580"/>
      <c r="AF9" s="581"/>
      <c r="AG9" s="580"/>
      <c r="AH9" s="581"/>
      <c r="AI9" s="580"/>
      <c r="AJ9" s="580"/>
      <c r="AK9" s="575"/>
      <c r="AL9" s="575"/>
      <c r="AM9" s="575"/>
      <c r="AW9" s="582"/>
      <c r="AX9" s="582"/>
    </row>
    <row r="10" spans="1:71" x14ac:dyDescent="0.2">
      <c r="A10" s="583" t="s">
        <v>1</v>
      </c>
      <c r="B10" s="584"/>
      <c r="C10" s="3165" t="s">
        <v>365</v>
      </c>
      <c r="D10" s="3166"/>
      <c r="E10" s="585"/>
      <c r="F10" s="586"/>
      <c r="G10" s="586"/>
      <c r="I10" s="587"/>
      <c r="J10" s="586"/>
      <c r="K10" s="586"/>
      <c r="M10" s="587"/>
      <c r="N10" s="586"/>
      <c r="O10" s="586"/>
      <c r="Q10" s="587"/>
      <c r="R10" s="586"/>
      <c r="S10" s="586"/>
      <c r="U10" s="587"/>
      <c r="V10" s="586"/>
      <c r="W10" s="586"/>
      <c r="Y10" s="587"/>
      <c r="Z10" s="586"/>
      <c r="AA10" s="586"/>
      <c r="AC10" s="587"/>
      <c r="AD10" s="586"/>
      <c r="AE10" s="586"/>
      <c r="AG10" s="587"/>
      <c r="AI10" s="586"/>
      <c r="AJ10" s="586"/>
      <c r="AK10" s="587"/>
      <c r="AL10" s="586"/>
      <c r="AM10" s="586"/>
      <c r="AN10" s="586"/>
      <c r="AO10" s="586"/>
      <c r="AP10" s="588"/>
      <c r="AQ10" s="587"/>
      <c r="AR10" s="587"/>
      <c r="AS10" s="587"/>
      <c r="AT10" s="594"/>
      <c r="AU10" s="433" t="s">
        <v>299</v>
      </c>
      <c r="AV10" s="433"/>
      <c r="AW10" s="433" t="s">
        <v>355</v>
      </c>
      <c r="AX10" s="434"/>
      <c r="AY10" s="590"/>
      <c r="AZ10" s="591"/>
      <c r="BA10" s="591"/>
      <c r="BB10" s="591"/>
      <c r="BC10" s="591"/>
      <c r="BD10" s="591"/>
      <c r="BE10" s="591"/>
      <c r="BF10" s="591"/>
      <c r="BG10" s="588"/>
      <c r="BH10" s="592"/>
      <c r="BI10" s="591"/>
      <c r="BJ10" s="593"/>
      <c r="BK10" s="593"/>
      <c r="BL10" s="594"/>
    </row>
    <row r="11" spans="1:71" ht="13.5" x14ac:dyDescent="0.2">
      <c r="A11" s="583" t="s">
        <v>2</v>
      </c>
      <c r="B11" s="584"/>
      <c r="C11" s="3161" t="s">
        <v>38</v>
      </c>
      <c r="D11" s="3162"/>
      <c r="E11" s="595"/>
      <c r="F11" s="19"/>
      <c r="G11" s="19"/>
      <c r="H11" s="19"/>
      <c r="I11" s="12" t="s">
        <v>364</v>
      </c>
      <c r="J11" s="19" t="s">
        <v>348</v>
      </c>
      <c r="K11" s="19" t="s">
        <v>349</v>
      </c>
      <c r="L11" s="19" t="s">
        <v>350</v>
      </c>
      <c r="M11" s="12" t="s">
        <v>351</v>
      </c>
      <c r="N11" s="596" t="s">
        <v>315</v>
      </c>
      <c r="O11" s="596" t="s">
        <v>314</v>
      </c>
      <c r="P11" s="596" t="s">
        <v>313</v>
      </c>
      <c r="Q11" s="597" t="s">
        <v>311</v>
      </c>
      <c r="R11" s="596" t="s">
        <v>270</v>
      </c>
      <c r="S11" s="596" t="s">
        <v>271</v>
      </c>
      <c r="T11" s="596" t="s">
        <v>272</v>
      </c>
      <c r="U11" s="597" t="s">
        <v>273</v>
      </c>
      <c r="V11" s="596" t="s">
        <v>223</v>
      </c>
      <c r="W11" s="596" t="s">
        <v>224</v>
      </c>
      <c r="X11" s="596" t="s">
        <v>225</v>
      </c>
      <c r="Y11" s="597" t="s">
        <v>222</v>
      </c>
      <c r="Z11" s="596" t="s">
        <v>189</v>
      </c>
      <c r="AA11" s="596" t="s">
        <v>190</v>
      </c>
      <c r="AB11" s="596" t="s">
        <v>191</v>
      </c>
      <c r="AC11" s="597" t="s">
        <v>192</v>
      </c>
      <c r="AD11" s="596" t="s">
        <v>121</v>
      </c>
      <c r="AE11" s="596" t="s">
        <v>120</v>
      </c>
      <c r="AF11" s="596" t="s">
        <v>119</v>
      </c>
      <c r="AG11" s="597" t="s">
        <v>118</v>
      </c>
      <c r="AH11" s="596" t="s">
        <v>81</v>
      </c>
      <c r="AI11" s="596" t="s">
        <v>82</v>
      </c>
      <c r="AJ11" s="596" t="s">
        <v>83</v>
      </c>
      <c r="AK11" s="597" t="s">
        <v>29</v>
      </c>
      <c r="AL11" s="596" t="s">
        <v>30</v>
      </c>
      <c r="AM11" s="596" t="s">
        <v>31</v>
      </c>
      <c r="AN11" s="596" t="s">
        <v>32</v>
      </c>
      <c r="AO11" s="596" t="s">
        <v>33</v>
      </c>
      <c r="AP11" s="598" t="s">
        <v>34</v>
      </c>
      <c r="AQ11" s="597" t="s">
        <v>35</v>
      </c>
      <c r="AR11" s="597" t="s">
        <v>36</v>
      </c>
      <c r="AS11" s="597" t="s">
        <v>37</v>
      </c>
      <c r="AT11" s="874"/>
      <c r="AU11" s="19" t="s">
        <v>349</v>
      </c>
      <c r="AV11" s="19" t="s">
        <v>314</v>
      </c>
      <c r="AW11" s="3163" t="s">
        <v>38</v>
      </c>
      <c r="AX11" s="3164"/>
      <c r="AY11" s="599"/>
      <c r="AZ11" s="18" t="s">
        <v>360</v>
      </c>
      <c r="BA11" s="18" t="s">
        <v>317</v>
      </c>
      <c r="BB11" s="600" t="s">
        <v>275</v>
      </c>
      <c r="BC11" s="600" t="s">
        <v>227</v>
      </c>
      <c r="BD11" s="600" t="s">
        <v>123</v>
      </c>
      <c r="BE11" s="600" t="s">
        <v>122</v>
      </c>
      <c r="BF11" s="598" t="s">
        <v>42</v>
      </c>
      <c r="BG11" s="598" t="s">
        <v>39</v>
      </c>
      <c r="BH11" s="600" t="s">
        <v>40</v>
      </c>
      <c r="BI11" s="600" t="s">
        <v>142</v>
      </c>
      <c r="BJ11" s="600" t="s">
        <v>143</v>
      </c>
      <c r="BK11" s="600" t="s">
        <v>144</v>
      </c>
      <c r="BL11" s="594"/>
      <c r="BM11" s="575"/>
      <c r="BN11" s="575"/>
      <c r="BO11" s="575"/>
      <c r="BP11" s="575"/>
      <c r="BQ11" s="575"/>
      <c r="BR11" s="575"/>
      <c r="BS11" s="575"/>
    </row>
    <row r="12" spans="1:71" s="612" customFormat="1" x14ac:dyDescent="0.2">
      <c r="A12" s="583"/>
      <c r="B12" s="583"/>
      <c r="C12" s="601"/>
      <c r="D12" s="602"/>
      <c r="E12" s="603"/>
      <c r="F12" s="421"/>
      <c r="G12" s="421"/>
      <c r="H12" s="421"/>
      <c r="I12" s="878"/>
      <c r="J12" s="877"/>
      <c r="K12" s="877"/>
      <c r="L12" s="877"/>
      <c r="M12" s="878"/>
      <c r="N12" s="880"/>
      <c r="O12" s="880"/>
      <c r="P12" s="880"/>
      <c r="Q12" s="881"/>
      <c r="R12" s="880"/>
      <c r="S12" s="880"/>
      <c r="T12" s="880"/>
      <c r="U12" s="881"/>
      <c r="V12" s="880"/>
      <c r="W12" s="880"/>
      <c r="X12" s="880"/>
      <c r="Y12" s="881"/>
      <c r="Z12" s="880"/>
      <c r="AA12" s="880"/>
      <c r="AB12" s="880"/>
      <c r="AC12" s="881"/>
      <c r="AD12" s="880"/>
      <c r="AE12" s="880"/>
      <c r="AF12" s="880"/>
      <c r="AG12" s="881"/>
      <c r="AH12" s="604"/>
      <c r="AI12" s="604"/>
      <c r="AJ12" s="604"/>
      <c r="AK12" s="605"/>
      <c r="AL12" s="604"/>
      <c r="AM12" s="604"/>
      <c r="AN12" s="604"/>
      <c r="AO12" s="604"/>
      <c r="AP12" s="606"/>
      <c r="AQ12" s="605"/>
      <c r="AR12" s="605"/>
      <c r="AS12" s="605"/>
      <c r="AT12" s="606"/>
      <c r="AU12" s="882"/>
      <c r="AV12" s="882"/>
      <c r="AW12" s="883"/>
      <c r="AX12" s="884"/>
      <c r="AY12" s="608"/>
      <c r="AZ12" s="885"/>
      <c r="BA12" s="885"/>
      <c r="BB12" s="885"/>
      <c r="BC12" s="885"/>
      <c r="BD12" s="885"/>
      <c r="BE12" s="609" t="s">
        <v>241</v>
      </c>
      <c r="BF12" s="609" t="s">
        <v>241</v>
      </c>
      <c r="BG12" s="609" t="s">
        <v>241</v>
      </c>
      <c r="BH12" s="609" t="s">
        <v>241</v>
      </c>
      <c r="BI12" s="609" t="s">
        <v>241</v>
      </c>
      <c r="BJ12" s="607"/>
      <c r="BK12" s="607"/>
      <c r="BL12" s="610"/>
      <c r="BM12" s="611"/>
      <c r="BN12" s="611"/>
      <c r="BO12" s="611"/>
      <c r="BP12" s="611"/>
      <c r="BQ12" s="611"/>
      <c r="BR12" s="611"/>
      <c r="BS12" s="611"/>
    </row>
    <row r="13" spans="1:71" ht="12.75" customHeight="1" x14ac:dyDescent="0.2">
      <c r="A13" s="613" t="s">
        <v>59</v>
      </c>
      <c r="B13" s="614"/>
      <c r="C13" s="615"/>
      <c r="D13" s="616"/>
      <c r="E13" s="617"/>
      <c r="F13" s="618"/>
      <c r="G13" s="618"/>
      <c r="H13" s="618"/>
      <c r="I13" s="616"/>
      <c r="J13" s="618"/>
      <c r="K13" s="618"/>
      <c r="L13" s="618"/>
      <c r="M13" s="616"/>
      <c r="N13" s="618"/>
      <c r="O13" s="618"/>
      <c r="P13" s="618"/>
      <c r="Q13" s="616"/>
      <c r="R13" s="618"/>
      <c r="S13" s="618"/>
      <c r="T13" s="618"/>
      <c r="U13" s="616"/>
      <c r="V13" s="618"/>
      <c r="W13" s="618"/>
      <c r="X13" s="618"/>
      <c r="Y13" s="616"/>
      <c r="Z13" s="618"/>
      <c r="AA13" s="618"/>
      <c r="AB13" s="618"/>
      <c r="AC13" s="616"/>
      <c r="AD13" s="618"/>
      <c r="AE13" s="618"/>
      <c r="AF13" s="618"/>
      <c r="AG13" s="616"/>
      <c r="AH13" s="618"/>
      <c r="AI13" s="618"/>
      <c r="AJ13" s="618"/>
      <c r="AK13" s="616"/>
      <c r="AL13" s="618"/>
      <c r="AM13" s="618"/>
      <c r="AN13" s="618"/>
      <c r="AO13" s="616"/>
      <c r="AP13" s="615"/>
      <c r="AQ13" s="616"/>
      <c r="AR13" s="616"/>
      <c r="AS13" s="616"/>
      <c r="AT13" s="615"/>
      <c r="AU13" s="618"/>
      <c r="AV13" s="618"/>
      <c r="AW13" s="695"/>
      <c r="AX13" s="879"/>
      <c r="AY13" s="619"/>
      <c r="AZ13" s="617"/>
      <c r="BA13" s="617"/>
      <c r="BB13" s="617"/>
      <c r="BC13" s="617"/>
      <c r="BD13" s="617"/>
      <c r="BE13" s="617"/>
      <c r="BF13" s="617"/>
      <c r="BG13" s="615"/>
      <c r="BH13" s="617"/>
      <c r="BI13" s="620"/>
      <c r="BJ13" s="621"/>
      <c r="BK13" s="621"/>
      <c r="BL13" s="594"/>
      <c r="BM13" s="575"/>
      <c r="BN13" s="575"/>
      <c r="BO13" s="575"/>
      <c r="BP13" s="575"/>
      <c r="BQ13" s="575"/>
    </row>
    <row r="14" spans="1:71" ht="12.75" customHeight="1" x14ac:dyDescent="0.2">
      <c r="A14" s="584"/>
      <c r="B14" s="616" t="s">
        <v>363</v>
      </c>
      <c r="C14" s="622">
        <f>I14-M14</f>
        <v>-31338</v>
      </c>
      <c r="D14" s="498">
        <f>IF(OR((C14/M14)&gt;3,(C14/M14)&lt;-3),"n.m.",(C14/M14))</f>
        <v>-0.26017650623915517</v>
      </c>
      <c r="E14" s="624"/>
      <c r="F14" s="625"/>
      <c r="G14" s="625"/>
      <c r="H14" s="625"/>
      <c r="I14" s="649">
        <f>+'6 Capital Markets Canada'!V15+'7 CG - US'!V16</f>
        <v>89111</v>
      </c>
      <c r="J14" s="625">
        <v>104807</v>
      </c>
      <c r="K14" s="625">
        <f>+'6 Capital Markets Canada'!X14+'7 CG - US'!X15</f>
        <v>72685</v>
      </c>
      <c r="L14" s="625">
        <f>+'6 Capital Markets Canada'!Y14+'7 CG - US'!Y15</f>
        <v>109616</v>
      </c>
      <c r="M14" s="649">
        <f>+'6 Capital Markets Canada'!Z14+'7 CG - US'!Z15</f>
        <v>120449</v>
      </c>
      <c r="N14" s="625">
        <f>+'6 Capital Markets Canada'!AA14+'7 CG - US'!AA15</f>
        <v>114330</v>
      </c>
      <c r="O14" s="625">
        <f>+'6 Capital Markets Canada'!AB14+'7 CG - US'!AB15</f>
        <v>89552</v>
      </c>
      <c r="P14" s="625">
        <f>+'6 Capital Markets Canada'!AC14+'7 CG - US'!AC15</f>
        <v>75264</v>
      </c>
      <c r="Q14" s="649">
        <f>+'6 Capital Markets Canada'!AD14+'7 CG - US'!AD15</f>
        <v>85853</v>
      </c>
      <c r="R14" s="625">
        <f>+'6 Capital Markets Canada'!AE14+'7 CG - US'!AE15</f>
        <v>102020</v>
      </c>
      <c r="S14" s="625">
        <f>+'6 Capital Markets Canada'!AF14+'7 CG - US'!AF15</f>
        <v>114079</v>
      </c>
      <c r="T14" s="811">
        <v>35445</v>
      </c>
      <c r="U14" s="782">
        <v>35624</v>
      </c>
      <c r="V14" s="811">
        <v>71006</v>
      </c>
      <c r="W14" s="811">
        <v>56942</v>
      </c>
      <c r="X14" s="811">
        <v>42491</v>
      </c>
      <c r="Y14" s="782">
        <f>+'5 Canaccord Genuity '!AL20</f>
        <v>61867</v>
      </c>
      <c r="Z14" s="811">
        <v>88632</v>
      </c>
      <c r="AA14" s="811">
        <v>109404</v>
      </c>
      <c r="AB14" s="811">
        <v>49909</v>
      </c>
      <c r="AC14" s="782">
        <v>53057</v>
      </c>
      <c r="AD14" s="811">
        <v>32806</v>
      </c>
      <c r="AE14" s="811">
        <v>58040</v>
      </c>
      <c r="AF14" s="812">
        <v>27314</v>
      </c>
      <c r="AG14" s="782">
        <v>30054</v>
      </c>
      <c r="AH14" s="773">
        <v>25033</v>
      </c>
      <c r="AI14" s="773">
        <v>12639</v>
      </c>
      <c r="AJ14" s="773">
        <v>23461</v>
      </c>
      <c r="AK14" s="782">
        <v>34352</v>
      </c>
      <c r="AL14" s="798">
        <v>31944</v>
      </c>
      <c r="AM14" s="786">
        <v>42952</v>
      </c>
      <c r="AN14" s="786">
        <v>39210</v>
      </c>
      <c r="AO14" s="801">
        <v>62549</v>
      </c>
      <c r="AP14" s="800">
        <v>57382</v>
      </c>
      <c r="AQ14" s="801">
        <v>48897</v>
      </c>
      <c r="AR14" s="801">
        <v>38533</v>
      </c>
      <c r="AS14" s="801">
        <v>42750</v>
      </c>
      <c r="AT14" s="800"/>
      <c r="AU14" s="811">
        <f>SUM(K14:M14)</f>
        <v>302750</v>
      </c>
      <c r="AV14" s="811">
        <f>SUM(O14:Q14)</f>
        <v>250669</v>
      </c>
      <c r="AW14" s="631">
        <f>AZ14-BA14</f>
        <v>42558</v>
      </c>
      <c r="AX14" s="623">
        <f>IF(OR((AW14/BA14)&gt;3,(AW14/BA14)&lt;-3),"n.m.",(AW14/BA14))</f>
        <v>0.11659757971939649</v>
      </c>
      <c r="AY14" s="619"/>
      <c r="AZ14" s="632">
        <f>+SUM(J14:M14)</f>
        <v>407557</v>
      </c>
      <c r="BA14" s="632">
        <f>+SUM(N14:Q14)</f>
        <v>364999</v>
      </c>
      <c r="BB14" s="632">
        <f>+'6 Capital Markets Canada'!BS14+'7 CG - US'!BS15</f>
        <v>357692</v>
      </c>
      <c r="BC14" s="632">
        <f>+'6 Capital Markets Canada'!BT14+'7 CG - US'!BT15</f>
        <v>311792</v>
      </c>
      <c r="BD14" s="632">
        <f>+'6 Capital Markets Canada'!BU14+'7 CG - US'!BU15</f>
        <v>444739</v>
      </c>
      <c r="BE14" s="632">
        <v>177581</v>
      </c>
      <c r="BF14" s="632">
        <v>122850</v>
      </c>
      <c r="BG14" s="632">
        <v>176655</v>
      </c>
      <c r="BH14" s="632">
        <v>187562</v>
      </c>
      <c r="BI14" s="620">
        <v>150470</v>
      </c>
      <c r="BJ14" s="620">
        <v>95559</v>
      </c>
      <c r="BK14" s="620"/>
      <c r="BL14" s="575"/>
      <c r="BM14" s="575"/>
      <c r="BN14" s="575"/>
      <c r="BO14" s="575"/>
      <c r="BP14" s="575"/>
      <c r="BQ14" s="575"/>
    </row>
    <row r="15" spans="1:71" ht="12.75" customHeight="1" x14ac:dyDescent="0.2">
      <c r="A15" s="614"/>
      <c r="B15" s="584"/>
      <c r="C15" s="633">
        <f>I15-M15</f>
        <v>-31338</v>
      </c>
      <c r="D15" s="634">
        <f>IF(OR((C15/M15)&gt;3,(C15/M15)&lt;-3),"n.m.",(C15/M15))</f>
        <v>-0.26017650623915517</v>
      </c>
      <c r="E15" s="624"/>
      <c r="F15" s="625"/>
      <c r="G15" s="625"/>
      <c r="H15" s="811"/>
      <c r="I15" s="813">
        <f t="shared" ref="I15:S15" si="0">+I14</f>
        <v>89111</v>
      </c>
      <c r="J15" s="625">
        <f t="shared" si="0"/>
        <v>104807</v>
      </c>
      <c r="K15" s="625">
        <f t="shared" si="0"/>
        <v>72685</v>
      </c>
      <c r="L15" s="811">
        <f t="shared" si="0"/>
        <v>109616</v>
      </c>
      <c r="M15" s="813">
        <f t="shared" si="0"/>
        <v>120449</v>
      </c>
      <c r="N15" s="625">
        <f t="shared" si="0"/>
        <v>114330</v>
      </c>
      <c r="O15" s="625">
        <f t="shared" si="0"/>
        <v>89552</v>
      </c>
      <c r="P15" s="811">
        <f t="shared" si="0"/>
        <v>75264</v>
      </c>
      <c r="Q15" s="813">
        <f t="shared" si="0"/>
        <v>85853</v>
      </c>
      <c r="R15" s="811">
        <f t="shared" si="0"/>
        <v>102020</v>
      </c>
      <c r="S15" s="811">
        <f t="shared" si="0"/>
        <v>114079</v>
      </c>
      <c r="T15" s="811">
        <v>35445</v>
      </c>
      <c r="U15" s="813">
        <v>35624</v>
      </c>
      <c r="V15" s="811">
        <v>71006</v>
      </c>
      <c r="W15" s="811">
        <v>56942</v>
      </c>
      <c r="X15" s="811">
        <v>42491</v>
      </c>
      <c r="Y15" s="813">
        <f>Y14</f>
        <v>61867</v>
      </c>
      <c r="Z15" s="811">
        <f>Z14</f>
        <v>88632</v>
      </c>
      <c r="AA15" s="811">
        <f>AA14</f>
        <v>109404</v>
      </c>
      <c r="AB15" s="811">
        <f>AB14</f>
        <v>49909</v>
      </c>
      <c r="AC15" s="813">
        <f>AC14</f>
        <v>53057</v>
      </c>
      <c r="AD15" s="811">
        <v>32806</v>
      </c>
      <c r="AE15" s="811">
        <v>58040</v>
      </c>
      <c r="AF15" s="811">
        <v>27314</v>
      </c>
      <c r="AG15" s="813">
        <v>30054</v>
      </c>
      <c r="AH15" s="814">
        <v>25033</v>
      </c>
      <c r="AI15" s="814">
        <v>12639</v>
      </c>
      <c r="AJ15" s="814">
        <v>23461</v>
      </c>
      <c r="AK15" s="813">
        <v>34352</v>
      </c>
      <c r="AL15" s="814">
        <v>31944</v>
      </c>
      <c r="AM15" s="814">
        <v>42952</v>
      </c>
      <c r="AN15" s="814">
        <v>39210</v>
      </c>
      <c r="AO15" s="814">
        <v>62549</v>
      </c>
      <c r="AP15" s="815">
        <v>57382</v>
      </c>
      <c r="AQ15" s="813">
        <v>48897</v>
      </c>
      <c r="AR15" s="813">
        <v>38533</v>
      </c>
      <c r="AS15" s="813">
        <v>42750</v>
      </c>
      <c r="AT15" s="800"/>
      <c r="AU15" s="811">
        <f>AU14</f>
        <v>302750</v>
      </c>
      <c r="AV15" s="811">
        <f>AV14</f>
        <v>250669</v>
      </c>
      <c r="AW15" s="635">
        <f>AZ15-BA15</f>
        <v>42558</v>
      </c>
      <c r="AX15" s="634">
        <f>IF(OR((AW15/BA15)&gt;3,(AW15/BA15)&lt;-3),"n.m.",(AW15/BA15))</f>
        <v>0.11659757971939649</v>
      </c>
      <c r="AY15" s="619"/>
      <c r="AZ15" s="636">
        <f>+AZ14</f>
        <v>407557</v>
      </c>
      <c r="BA15" s="636">
        <f>SUM(BA14)</f>
        <v>364999</v>
      </c>
      <c r="BB15" s="636">
        <f>+BB14</f>
        <v>357692</v>
      </c>
      <c r="BC15" s="636">
        <f>+BC14</f>
        <v>311792</v>
      </c>
      <c r="BD15" s="636">
        <f>+BD14</f>
        <v>444739</v>
      </c>
      <c r="BE15" s="636">
        <v>177581</v>
      </c>
      <c r="BF15" s="636">
        <v>122850</v>
      </c>
      <c r="BG15" s="636">
        <v>176655</v>
      </c>
      <c r="BH15" s="636">
        <v>187562</v>
      </c>
      <c r="BI15" s="637">
        <v>150470</v>
      </c>
      <c r="BJ15" s="637">
        <f>BJ14</f>
        <v>95559</v>
      </c>
      <c r="BK15" s="637">
        <v>211758</v>
      </c>
      <c r="BL15" s="575"/>
      <c r="BN15" s="575"/>
      <c r="BO15" s="575"/>
      <c r="BP15" s="575"/>
      <c r="BQ15" s="575"/>
    </row>
    <row r="16" spans="1:71" ht="12.75" customHeight="1" x14ac:dyDescent="0.2">
      <c r="A16" s="613" t="s">
        <v>5</v>
      </c>
      <c r="B16" s="584"/>
      <c r="C16" s="622"/>
      <c r="D16" s="623"/>
      <c r="E16" s="624"/>
      <c r="F16" s="628"/>
      <c r="G16" s="628"/>
      <c r="H16" s="773"/>
      <c r="I16" s="782"/>
      <c r="J16" s="628"/>
      <c r="K16" s="628"/>
      <c r="L16" s="773"/>
      <c r="M16" s="782"/>
      <c r="N16" s="628"/>
      <c r="O16" s="628"/>
      <c r="P16" s="773"/>
      <c r="Q16" s="782"/>
      <c r="R16" s="773"/>
      <c r="S16" s="773"/>
      <c r="T16" s="773"/>
      <c r="U16" s="782"/>
      <c r="V16" s="773"/>
      <c r="W16" s="816"/>
      <c r="X16" s="773"/>
      <c r="Y16" s="782"/>
      <c r="Z16" s="773"/>
      <c r="AA16" s="816"/>
      <c r="AB16" s="773"/>
      <c r="AC16" s="782"/>
      <c r="AD16" s="773"/>
      <c r="AE16" s="816"/>
      <c r="AF16" s="773"/>
      <c r="AG16" s="782"/>
      <c r="AH16" s="816"/>
      <c r="AI16" s="816"/>
      <c r="AJ16" s="816"/>
      <c r="AK16" s="817"/>
      <c r="AL16" s="783"/>
      <c r="AM16" s="783"/>
      <c r="AN16" s="783"/>
      <c r="AO16" s="783"/>
      <c r="AP16" s="784"/>
      <c r="AQ16" s="782"/>
      <c r="AR16" s="782"/>
      <c r="AS16" s="782"/>
      <c r="AT16" s="800"/>
      <c r="AU16" s="773"/>
      <c r="AV16" s="773"/>
      <c r="AW16" s="631"/>
      <c r="AX16" s="623"/>
      <c r="AY16" s="619"/>
      <c r="AZ16" s="641"/>
      <c r="BA16" s="641"/>
      <c r="BB16" s="641"/>
      <c r="BC16" s="641"/>
      <c r="BD16" s="641"/>
      <c r="BE16" s="641"/>
      <c r="BF16" s="641"/>
      <c r="BG16" s="632"/>
      <c r="BH16" s="632"/>
      <c r="BI16" s="642"/>
      <c r="BJ16" s="642"/>
      <c r="BK16" s="642"/>
      <c r="BL16" s="575"/>
      <c r="BN16" s="575"/>
      <c r="BO16" s="575"/>
      <c r="BP16" s="575"/>
      <c r="BQ16" s="575"/>
    </row>
    <row r="17" spans="1:69" ht="12.75" customHeight="1" x14ac:dyDescent="0.2">
      <c r="A17" s="613"/>
      <c r="B17" s="584" t="s">
        <v>334</v>
      </c>
      <c r="C17" s="622">
        <f>I17-M17</f>
        <v>-17357</v>
      </c>
      <c r="D17" s="623">
        <f>IF(OR((C17/M17)&gt;3,(C17/M17)&lt;-3),"n.m.",(C17/M17))</f>
        <v>-0.32242903849011739</v>
      </c>
      <c r="E17" s="624"/>
      <c r="F17" s="628"/>
      <c r="G17" s="628"/>
      <c r="H17" s="773"/>
      <c r="I17" s="782">
        <f>+'6 Capital Markets Canada'!V17+'7 CG - US'!V18</f>
        <v>36475</v>
      </c>
      <c r="J17" s="628">
        <f>+'6 Capital Markets Canada'!W17+'7 CG - US'!W18</f>
        <v>48048</v>
      </c>
      <c r="K17" s="628">
        <f>+'6 Capital Markets Canada'!X17+'7 CG - US'!X18</f>
        <v>30976</v>
      </c>
      <c r="L17" s="773">
        <f>+'6 Capital Markets Canada'!Y17+'7 CG - US'!Y18</f>
        <v>48892</v>
      </c>
      <c r="M17" s="782">
        <f>+'6 Capital Markets Canada'!Z17+'7 CG - US'!Z18</f>
        <v>53832</v>
      </c>
      <c r="N17" s="628">
        <f>+'6 Capital Markets Canada'!AA17+'7 CG - US'!AA18</f>
        <v>49017</v>
      </c>
      <c r="O17" s="628">
        <f>+'6 Capital Markets Canada'!AB17+'7 CG - US'!AB18</f>
        <v>40629</v>
      </c>
      <c r="P17" s="773">
        <f>+'6 Capital Markets Canada'!AC17+'7 CG - US'!AC18</f>
        <v>32900</v>
      </c>
      <c r="Q17" s="782">
        <f>+'6 Capital Markets Canada'!AD17+'7 CG - US'!AD18</f>
        <v>34382</v>
      </c>
      <c r="R17" s="773">
        <f>+'6 Capital Markets Canada'!AE17+'7 CG - US'!AE18</f>
        <v>48185</v>
      </c>
      <c r="S17" s="773">
        <f>+'6 Capital Markets Canada'!AF17+'7 CG - US'!AF18</f>
        <v>51074</v>
      </c>
      <c r="T17" s="773">
        <v>13998</v>
      </c>
      <c r="U17" s="782">
        <v>13566</v>
      </c>
      <c r="V17" s="773">
        <v>30200</v>
      </c>
      <c r="W17" s="773">
        <v>23452</v>
      </c>
      <c r="X17" s="773">
        <v>16998</v>
      </c>
      <c r="Y17" s="782" t="e">
        <f>+'5 Canaccord Genuity '!AL26-'8 UK &amp; Dubai'!AL19-'7 CG - US'!AL18-#REF!</f>
        <v>#REF!</v>
      </c>
      <c r="Z17" s="773">
        <v>43043</v>
      </c>
      <c r="AA17" s="773">
        <v>47584</v>
      </c>
      <c r="AB17" s="773">
        <v>20732</v>
      </c>
      <c r="AC17" s="782"/>
      <c r="AD17" s="773"/>
      <c r="AE17" s="773"/>
      <c r="AF17" s="773"/>
      <c r="AG17" s="782"/>
      <c r="AH17" s="773"/>
      <c r="AI17" s="773"/>
      <c r="AJ17" s="773"/>
      <c r="AK17" s="782"/>
      <c r="AL17" s="783"/>
      <c r="AM17" s="783"/>
      <c r="AN17" s="783"/>
      <c r="AO17" s="783"/>
      <c r="AP17" s="784"/>
      <c r="AQ17" s="782"/>
      <c r="AR17" s="782"/>
      <c r="AS17" s="782"/>
      <c r="AT17" s="800"/>
      <c r="AU17" s="773">
        <f>SUM(K17:M17)</f>
        <v>133700</v>
      </c>
      <c r="AV17" s="783">
        <f>SUM(O17:Q17)</f>
        <v>107911</v>
      </c>
      <c r="AW17" s="631">
        <f>AZ17-BA17</f>
        <v>24820</v>
      </c>
      <c r="AX17" s="623">
        <f t="shared" ref="AX17:AX29" si="1">IF(OR((AW17/BA17)&gt;3,(AW17/BA17)&lt;-3),"n.m.",(AW17/BA17))</f>
        <v>0.15816170473083196</v>
      </c>
      <c r="AY17" s="619"/>
      <c r="AZ17" s="643">
        <f>+SUM(J17:M17)</f>
        <v>181748</v>
      </c>
      <c r="BA17" s="643">
        <f>+SUM(N17:Q17)</f>
        <v>156928</v>
      </c>
      <c r="BB17" s="643">
        <f>+'6 Capital Markets Canada'!BS17+'7 CG - US'!BS18</f>
        <v>164527</v>
      </c>
      <c r="BC17" s="643">
        <f>+'6 Capital Markets Canada'!BT17+'7 CG - US'!BT18</f>
        <v>141721</v>
      </c>
      <c r="BD17" s="631">
        <f>+'6 Capital Markets Canada'!BU17+'7 CG - US'!BU18</f>
        <v>201560</v>
      </c>
      <c r="BE17" s="644">
        <v>86644</v>
      </c>
      <c r="BF17" s="644">
        <v>63086</v>
      </c>
      <c r="BG17" s="644">
        <v>88234</v>
      </c>
      <c r="BH17" s="645"/>
      <c r="BI17" s="642"/>
      <c r="BJ17" s="642"/>
      <c r="BK17" s="642"/>
      <c r="BL17" s="594"/>
      <c r="BN17" s="575"/>
      <c r="BO17" s="575"/>
      <c r="BP17" s="575"/>
      <c r="BQ17" s="575"/>
    </row>
    <row r="18" spans="1:69" ht="12.75" customHeight="1" x14ac:dyDescent="0.2">
      <c r="A18" s="613"/>
      <c r="B18" s="584" t="s">
        <v>335</v>
      </c>
      <c r="C18" s="646">
        <f>I18-M18</f>
        <v>888</v>
      </c>
      <c r="D18" s="647">
        <f>IF(OR((C18/M18)&gt;3,(C18/M18)&lt;-3),"n.m.",(C18/M18))</f>
        <v>0.16654163540885222</v>
      </c>
      <c r="E18" s="624"/>
      <c r="F18" s="648"/>
      <c r="G18" s="648"/>
      <c r="H18" s="818"/>
      <c r="I18" s="819">
        <f>+'6 Capital Markets Canada'!V18+'7 CG - US'!V19</f>
        <v>6220</v>
      </c>
      <c r="J18" s="648">
        <f>+'6 Capital Markets Canada'!W18+'7 CG - US'!W19</f>
        <v>7699</v>
      </c>
      <c r="K18" s="648">
        <f>+'6 Capital Markets Canada'!X18+'7 CG - US'!X19</f>
        <v>6503</v>
      </c>
      <c r="L18" s="818">
        <f>+'6 Capital Markets Canada'!Y18+'7 CG - US'!Y19</f>
        <v>5871</v>
      </c>
      <c r="M18" s="819">
        <f>+'6 Capital Markets Canada'!Z18+'7 CG - US'!Z19</f>
        <v>5332</v>
      </c>
      <c r="N18" s="648">
        <f>+'6 Capital Markets Canada'!AA18+'7 CG - US'!AA19</f>
        <v>5533</v>
      </c>
      <c r="O18" s="648">
        <f>+'6 Capital Markets Canada'!AB18+'7 CG - US'!AB19</f>
        <v>4972</v>
      </c>
      <c r="P18" s="818">
        <f>+'6 Capital Markets Canada'!AC18+'7 CG - US'!AC19</f>
        <v>5893</v>
      </c>
      <c r="Q18" s="819">
        <f>+'6 Capital Markets Canada'!AD18+'7 CG - US'!AD19</f>
        <v>5959</v>
      </c>
      <c r="R18" s="818">
        <f>+'6 Capital Markets Canada'!AE18+'7 CG - US'!AE19</f>
        <v>4561</v>
      </c>
      <c r="S18" s="818">
        <f>+'6 Capital Markets Canada'!AF18+'7 CG - US'!AF19</f>
        <v>3928</v>
      </c>
      <c r="T18" s="818">
        <v>5475</v>
      </c>
      <c r="U18" s="819">
        <v>3512</v>
      </c>
      <c r="V18" s="818">
        <v>6279</v>
      </c>
      <c r="W18" s="818">
        <v>3254</v>
      </c>
      <c r="X18" s="818">
        <v>3168</v>
      </c>
      <c r="Y18" s="819" t="e">
        <f>+'5 Canaccord Genuity '!AL27-'8 UK &amp; Dubai'!AL20-'7 CG - US'!AL19-#REF!</f>
        <v>#REF!</v>
      </c>
      <c r="Z18" s="818">
        <v>-3740</v>
      </c>
      <c r="AA18" s="818">
        <v>598</v>
      </c>
      <c r="AB18" s="818">
        <v>1780</v>
      </c>
      <c r="AC18" s="782"/>
      <c r="AD18" s="773"/>
      <c r="AE18" s="773"/>
      <c r="AF18" s="773"/>
      <c r="AG18" s="782"/>
      <c r="AH18" s="773"/>
      <c r="AI18" s="773"/>
      <c r="AJ18" s="773"/>
      <c r="AK18" s="782"/>
      <c r="AL18" s="783"/>
      <c r="AM18" s="783"/>
      <c r="AN18" s="783"/>
      <c r="AO18" s="783"/>
      <c r="AP18" s="784"/>
      <c r="AQ18" s="782"/>
      <c r="AR18" s="782"/>
      <c r="AS18" s="782"/>
      <c r="AT18" s="800"/>
      <c r="AU18" s="818">
        <f>SUM(K18:M18)</f>
        <v>17706</v>
      </c>
      <c r="AV18" s="811">
        <f>SUM(O18:Q18)</f>
        <v>16824</v>
      </c>
      <c r="AW18" s="650">
        <f>AZ18-BA18</f>
        <v>3048</v>
      </c>
      <c r="AX18" s="647">
        <f t="shared" si="1"/>
        <v>0.13633313950887865</v>
      </c>
      <c r="AY18" s="619"/>
      <c r="AZ18" s="651">
        <f>+SUM(J18:M18)</f>
        <v>25405</v>
      </c>
      <c r="BA18" s="651">
        <f>+SUM(N18:Q18)</f>
        <v>22357</v>
      </c>
      <c r="BB18" s="651">
        <f>+'6 Capital Markets Canada'!BS18+'7 CG - US'!BS19</f>
        <v>18906</v>
      </c>
      <c r="BC18" s="651">
        <f>+'6 Capital Markets Canada'!BT18+'7 CG - US'!BT19</f>
        <v>13778</v>
      </c>
      <c r="BD18" s="650">
        <f>+'6 Capital Markets Canada'!BU18+'7 CG - US'!BU19</f>
        <v>1734</v>
      </c>
      <c r="BE18" s="652">
        <v>6489</v>
      </c>
      <c r="BF18" s="652">
        <v>3937</v>
      </c>
      <c r="BG18" s="652">
        <v>-253</v>
      </c>
      <c r="BH18" s="645"/>
      <c r="BI18" s="642"/>
      <c r="BJ18" s="642"/>
      <c r="BK18" s="642"/>
      <c r="BL18" s="594"/>
      <c r="BN18" s="575"/>
      <c r="BO18" s="575"/>
      <c r="BP18" s="575"/>
      <c r="BQ18" s="575"/>
    </row>
    <row r="19" spans="1:69" ht="12.75" customHeight="1" x14ac:dyDescent="0.2">
      <c r="A19" s="614"/>
      <c r="B19" s="107" t="s">
        <v>212</v>
      </c>
      <c r="C19" s="622">
        <f>I19-M19</f>
        <v>-16469</v>
      </c>
      <c r="D19" s="623">
        <f>IF(OR((C19/M19)&gt;3,(C19/M19)&lt;-3),"n.m.",(C19/M19))</f>
        <v>-0.27836184166046918</v>
      </c>
      <c r="E19" s="624"/>
      <c r="F19" s="628"/>
      <c r="G19" s="628"/>
      <c r="H19" s="773"/>
      <c r="I19" s="782">
        <f>+SUM(I17:I18)</f>
        <v>42695</v>
      </c>
      <c r="J19" s="628">
        <f t="shared" ref="J19:S19" si="2">+J17+J18</f>
        <v>55747</v>
      </c>
      <c r="K19" s="628">
        <f t="shared" si="2"/>
        <v>37479</v>
      </c>
      <c r="L19" s="773">
        <f t="shared" si="2"/>
        <v>54763</v>
      </c>
      <c r="M19" s="782">
        <f t="shared" si="2"/>
        <v>59164</v>
      </c>
      <c r="N19" s="628">
        <f t="shared" si="2"/>
        <v>54550</v>
      </c>
      <c r="O19" s="628">
        <f t="shared" si="2"/>
        <v>45601</v>
      </c>
      <c r="P19" s="773">
        <f t="shared" si="2"/>
        <v>38793</v>
      </c>
      <c r="Q19" s="782">
        <f t="shared" si="2"/>
        <v>40341</v>
      </c>
      <c r="R19" s="773">
        <f t="shared" si="2"/>
        <v>52746</v>
      </c>
      <c r="S19" s="773">
        <f t="shared" si="2"/>
        <v>55002</v>
      </c>
      <c r="T19" s="773">
        <f>SUM(T17:T18)</f>
        <v>19473</v>
      </c>
      <c r="U19" s="782">
        <v>17078</v>
      </c>
      <c r="V19" s="773">
        <v>36479</v>
      </c>
      <c r="W19" s="773">
        <v>26706</v>
      </c>
      <c r="X19" s="773">
        <v>20166</v>
      </c>
      <c r="Y19" s="782" t="e">
        <f>+Y17+Y18</f>
        <v>#REF!</v>
      </c>
      <c r="Z19" s="773">
        <v>39303</v>
      </c>
      <c r="AA19" s="773">
        <v>48182</v>
      </c>
      <c r="AB19" s="773">
        <v>22512</v>
      </c>
      <c r="AC19" s="782">
        <v>22508</v>
      </c>
      <c r="AD19" s="773">
        <v>16925</v>
      </c>
      <c r="AE19" s="773">
        <v>30817</v>
      </c>
      <c r="AF19" s="773">
        <v>14959</v>
      </c>
      <c r="AG19" s="782">
        <v>17215</v>
      </c>
      <c r="AH19" s="773">
        <v>12371</v>
      </c>
      <c r="AI19" s="773">
        <v>10291</v>
      </c>
      <c r="AJ19" s="773">
        <v>13228</v>
      </c>
      <c r="AK19" s="782">
        <v>19085</v>
      </c>
      <c r="AL19" s="783">
        <v>16510</v>
      </c>
      <c r="AM19" s="783">
        <v>57933</v>
      </c>
      <c r="AN19" s="783">
        <v>42205</v>
      </c>
      <c r="AO19" s="783">
        <v>76203</v>
      </c>
      <c r="AP19" s="784">
        <v>70783</v>
      </c>
      <c r="AQ19" s="782">
        <v>51546</v>
      </c>
      <c r="AR19" s="782">
        <v>45305</v>
      </c>
      <c r="AS19" s="782">
        <v>65948</v>
      </c>
      <c r="AT19" s="800"/>
      <c r="AU19" s="773">
        <f>SUM(AU17:AU18)</f>
        <v>151406</v>
      </c>
      <c r="AV19" s="783">
        <f>SUM(AV17:AV18)</f>
        <v>124735</v>
      </c>
      <c r="AW19" s="631">
        <f>AZ19-BA19</f>
        <v>27868</v>
      </c>
      <c r="AX19" s="623">
        <f t="shared" si="1"/>
        <v>0.1554396631062275</v>
      </c>
      <c r="AY19" s="619"/>
      <c r="AZ19" s="632">
        <f>+AZ17+AZ18</f>
        <v>207153</v>
      </c>
      <c r="BA19" s="632">
        <f>+BA17+BA18</f>
        <v>179285</v>
      </c>
      <c r="BB19" s="632">
        <f>+BB17+BB18</f>
        <v>183433</v>
      </c>
      <c r="BC19" s="632">
        <f>+BC17+BC18</f>
        <v>155499</v>
      </c>
      <c r="BD19" s="632">
        <f>+BD17+BD18</f>
        <v>203294</v>
      </c>
      <c r="BE19" s="632">
        <v>93133</v>
      </c>
      <c r="BF19" s="632">
        <v>67023</v>
      </c>
      <c r="BG19" s="632">
        <v>87981</v>
      </c>
      <c r="BH19" s="632">
        <v>98642</v>
      </c>
      <c r="BI19" s="642">
        <v>82259</v>
      </c>
      <c r="BJ19" s="642">
        <v>47759</v>
      </c>
      <c r="BK19" s="642">
        <v>120298</v>
      </c>
      <c r="BL19" s="594"/>
      <c r="BN19" s="575"/>
      <c r="BO19" s="575"/>
      <c r="BP19" s="575"/>
      <c r="BQ19" s="575"/>
    </row>
    <row r="20" spans="1:69" ht="12.75" customHeight="1" x14ac:dyDescent="0.2">
      <c r="A20" s="614"/>
      <c r="B20" s="616" t="s">
        <v>64</v>
      </c>
      <c r="C20" s="622">
        <f>I20-M20</f>
        <v>-653</v>
      </c>
      <c r="D20" s="623">
        <f>IF(OR((C20/M20)&gt;3,(C20/M20)&lt;-3),"n.m.",(C20/M20))</f>
        <v>-0.15514373960560704</v>
      </c>
      <c r="E20" s="624"/>
      <c r="F20" s="628"/>
      <c r="G20" s="628"/>
      <c r="H20" s="773"/>
      <c r="I20" s="782">
        <f>+'6 Capital Markets Canada'!V20+'7 CG - US'!V21</f>
        <v>3556</v>
      </c>
      <c r="J20" s="628">
        <f>+'6 Capital Markets Canada'!W20+'7 CG - US'!W21</f>
        <v>4004</v>
      </c>
      <c r="K20" s="628">
        <f>+'6 Capital Markets Canada'!X20+'7 CG - US'!X21</f>
        <v>3608</v>
      </c>
      <c r="L20" s="773">
        <f>+'6 Capital Markets Canada'!Y20+'7 CG - US'!Y21</f>
        <v>3391</v>
      </c>
      <c r="M20" s="782">
        <f>+'6 Capital Markets Canada'!Z20+'7 CG - US'!Z21</f>
        <v>4209</v>
      </c>
      <c r="N20" s="628">
        <f>+'6 Capital Markets Canada'!AA20+'7 CG - US'!AA21</f>
        <v>3492</v>
      </c>
      <c r="O20" s="628">
        <f>+'6 Capital Markets Canada'!AB20+'7 CG - US'!AB21</f>
        <v>3843</v>
      </c>
      <c r="P20" s="773">
        <f>+'6 Capital Markets Canada'!AC20+'7 CG - US'!AC21</f>
        <v>3648</v>
      </c>
      <c r="Q20" s="782">
        <f>+'6 Capital Markets Canada'!AD20+'7 CG - US'!AD21</f>
        <v>3769</v>
      </c>
      <c r="R20" s="773">
        <f>+'6 Capital Markets Canada'!AE20+'7 CG - US'!AE21</f>
        <v>4433</v>
      </c>
      <c r="S20" s="773">
        <f>+'6 Capital Markets Canada'!AF20+'7 CG - US'!AF21</f>
        <v>3585</v>
      </c>
      <c r="T20" s="773">
        <v>2221</v>
      </c>
      <c r="U20" s="782">
        <v>1737</v>
      </c>
      <c r="V20" s="773">
        <v>1421</v>
      </c>
      <c r="W20" s="773">
        <v>1310</v>
      </c>
      <c r="X20" s="773">
        <v>867</v>
      </c>
      <c r="Y20" s="782" t="e">
        <f>+'5 Canaccord Genuity '!AL29-'8 UK &amp; Dubai'!AL22-'7 CG - US'!AL21-#REF!</f>
        <v>#REF!</v>
      </c>
      <c r="Z20" s="773">
        <v>733</v>
      </c>
      <c r="AA20" s="773">
        <v>930</v>
      </c>
      <c r="AB20" s="773">
        <v>1056</v>
      </c>
      <c r="AC20" s="782">
        <v>1141</v>
      </c>
      <c r="AD20" s="773">
        <v>736</v>
      </c>
      <c r="AE20" s="773">
        <v>1106</v>
      </c>
      <c r="AF20" s="773">
        <v>445</v>
      </c>
      <c r="AG20" s="782">
        <v>469</v>
      </c>
      <c r="AH20" s="773">
        <v>514</v>
      </c>
      <c r="AI20" s="773">
        <v>535</v>
      </c>
      <c r="AJ20" s="773">
        <v>708</v>
      </c>
      <c r="AK20" s="782">
        <v>937</v>
      </c>
      <c r="AL20" s="783">
        <v>571</v>
      </c>
      <c r="AM20" s="783">
        <v>3275</v>
      </c>
      <c r="AN20" s="783">
        <v>3194</v>
      </c>
      <c r="AO20" s="783">
        <v>4019</v>
      </c>
      <c r="AP20" s="784">
        <v>2619</v>
      </c>
      <c r="AQ20" s="782">
        <v>3158</v>
      </c>
      <c r="AR20" s="782">
        <v>2228</v>
      </c>
      <c r="AS20" s="782">
        <v>3188</v>
      </c>
      <c r="AT20" s="800"/>
      <c r="AU20" s="773">
        <f>SUM(K20:M20)</f>
        <v>11208</v>
      </c>
      <c r="AV20" s="773">
        <f>SUM(O20:Q20)</f>
        <v>11260</v>
      </c>
      <c r="AW20" s="785">
        <f>AZ20-BA20</f>
        <v>460</v>
      </c>
      <c r="AX20" s="623">
        <f t="shared" si="1"/>
        <v>3.1182212581344904E-2</v>
      </c>
      <c r="AY20" s="786"/>
      <c r="AZ20" s="506">
        <f t="shared" ref="AZ20:AZ30" si="3">+SUM(J20:M20)</f>
        <v>15212</v>
      </c>
      <c r="BA20" s="506">
        <f t="shared" ref="BA20:BA31" si="4">+SUM(N20:Q20)</f>
        <v>14752</v>
      </c>
      <c r="BB20" s="506">
        <f>+'6 Capital Markets Canada'!BS20+'7 CG - US'!BS21</f>
        <v>16886</v>
      </c>
      <c r="BC20" s="506">
        <f>+'6 Capital Markets Canada'!BT20+'7 CG - US'!BT21</f>
        <v>10036</v>
      </c>
      <c r="BD20" s="506">
        <f>+'6 Capital Markets Canada'!BU20+'7 CG - US'!BU21</f>
        <v>10681</v>
      </c>
      <c r="BE20" s="506">
        <v>4482</v>
      </c>
      <c r="BF20" s="787">
        <v>4289</v>
      </c>
      <c r="BG20" s="632">
        <v>3159</v>
      </c>
      <c r="BH20" s="632">
        <v>1847</v>
      </c>
      <c r="BI20" s="642">
        <v>2414</v>
      </c>
      <c r="BJ20" s="642">
        <v>6699</v>
      </c>
      <c r="BK20" s="642">
        <v>12517</v>
      </c>
      <c r="BL20" s="575"/>
      <c r="BN20" s="575"/>
      <c r="BO20" s="575"/>
      <c r="BP20" s="575"/>
      <c r="BQ20" s="575"/>
    </row>
    <row r="21" spans="1:69" ht="12.75" hidden="1" customHeight="1" x14ac:dyDescent="0.2">
      <c r="A21" s="614"/>
      <c r="B21" s="584"/>
      <c r="C21" s="622"/>
      <c r="D21" s="623"/>
      <c r="E21" s="624"/>
      <c r="F21" s="653"/>
      <c r="G21" s="653"/>
      <c r="H21" s="783"/>
      <c r="I21" s="782"/>
      <c r="J21" s="653"/>
      <c r="K21" s="653"/>
      <c r="L21" s="783"/>
      <c r="M21" s="782"/>
      <c r="N21" s="653"/>
      <c r="O21" s="653"/>
      <c r="P21" s="783"/>
      <c r="Q21" s="782"/>
      <c r="R21" s="783"/>
      <c r="S21" s="783"/>
      <c r="T21" s="783"/>
      <c r="U21" s="782"/>
      <c r="V21" s="783"/>
      <c r="W21" s="783"/>
      <c r="X21" s="783"/>
      <c r="Y21" s="782"/>
      <c r="Z21" s="783"/>
      <c r="AA21" s="783"/>
      <c r="AB21" s="783"/>
      <c r="AC21" s="782"/>
      <c r="AD21" s="783"/>
      <c r="AE21" s="783"/>
      <c r="AF21" s="783"/>
      <c r="AG21" s="782"/>
      <c r="AH21" s="783"/>
      <c r="AI21" s="783"/>
      <c r="AJ21" s="783"/>
      <c r="AK21" s="782"/>
      <c r="AL21" s="779"/>
      <c r="AM21" s="779"/>
      <c r="AN21" s="779"/>
      <c r="AO21" s="788"/>
      <c r="AP21" s="787"/>
      <c r="AQ21" s="788"/>
      <c r="AR21" s="788"/>
      <c r="AS21" s="788"/>
      <c r="AT21" s="799"/>
      <c r="AU21" s="773"/>
      <c r="AV21" s="783"/>
      <c r="AW21" s="779"/>
      <c r="AX21" s="623" t="e">
        <f t="shared" si="1"/>
        <v>#DIV/0!</v>
      </c>
      <c r="AY21" s="790"/>
      <c r="AZ21" s="468">
        <f t="shared" si="3"/>
        <v>0</v>
      </c>
      <c r="BA21" s="468">
        <f t="shared" si="4"/>
        <v>0</v>
      </c>
      <c r="BB21" s="468"/>
      <c r="BC21" s="468"/>
      <c r="BD21" s="468"/>
      <c r="BE21" s="468"/>
      <c r="BF21" s="791"/>
      <c r="BG21" s="642"/>
      <c r="BH21" s="642"/>
      <c r="BI21" s="642"/>
      <c r="BJ21" s="642"/>
      <c r="BK21" s="642"/>
      <c r="BL21" s="575"/>
      <c r="BN21" s="575"/>
      <c r="BO21" s="575"/>
      <c r="BP21" s="575"/>
      <c r="BQ21" s="575"/>
    </row>
    <row r="22" spans="1:69" ht="12.75" customHeight="1" x14ac:dyDescent="0.2">
      <c r="A22" s="614"/>
      <c r="B22" s="616" t="s">
        <v>93</v>
      </c>
      <c r="C22" s="622">
        <f t="shared" ref="C22:C31" si="5">I22-M22</f>
        <v>-154</v>
      </c>
      <c r="D22" s="656">
        <f t="shared" ref="D22:D28" si="6">IF(OR((C22/M22)&gt;3,(C22/M22)&lt;-3),"n.m.",(C22/M22))</f>
        <v>-1.5028788913828438E-2</v>
      </c>
      <c r="E22" s="624"/>
      <c r="F22" s="628"/>
      <c r="G22" s="628"/>
      <c r="H22" s="773"/>
      <c r="I22" s="782">
        <f>+'6 Capital Markets Canada'!V22+'7 CG - US'!V23</f>
        <v>10093</v>
      </c>
      <c r="J22" s="628">
        <f>+'6 Capital Markets Canada'!W22+'7 CG - US'!W23</f>
        <v>11338</v>
      </c>
      <c r="K22" s="628">
        <f>+'6 Capital Markets Canada'!X22+'7 CG - US'!X23</f>
        <v>11534</v>
      </c>
      <c r="L22" s="773">
        <f>+'6 Capital Markets Canada'!Y22+'7 CG - US'!Y23</f>
        <v>9999</v>
      </c>
      <c r="M22" s="782">
        <f>+'6 Capital Markets Canada'!Z22+'7 CG - US'!Z23</f>
        <v>10247</v>
      </c>
      <c r="N22" s="628">
        <f>+'6 Capital Markets Canada'!AA22+'7 CG - US'!AA23</f>
        <v>11348</v>
      </c>
      <c r="O22" s="628">
        <f>+'6 Capital Markets Canada'!AB22+'7 CG - US'!AB23</f>
        <v>9005</v>
      </c>
      <c r="P22" s="773">
        <f>+'6 Capital Markets Canada'!AC22+'7 CG - US'!AC23</f>
        <v>7948</v>
      </c>
      <c r="Q22" s="782">
        <f>+'6 Capital Markets Canada'!AD22+'7 CG - US'!AD23</f>
        <v>9337</v>
      </c>
      <c r="R22" s="773">
        <f>+'6 Capital Markets Canada'!AE22+'7 CG - US'!AE23</f>
        <v>6766</v>
      </c>
      <c r="S22" s="773">
        <f>+'6 Capital Markets Canada'!AF22+'7 CG - US'!AF23</f>
        <v>6445</v>
      </c>
      <c r="T22" s="773">
        <v>2309</v>
      </c>
      <c r="U22" s="782">
        <v>2984</v>
      </c>
      <c r="V22" s="773">
        <v>2748</v>
      </c>
      <c r="W22" s="773">
        <v>3263</v>
      </c>
      <c r="X22" s="773">
        <v>3155</v>
      </c>
      <c r="Y22" s="782" t="e">
        <f>+'5 Canaccord Genuity '!AL31-'8 UK &amp; Dubai'!AL24-'7 CG - US'!AL23-#REF!</f>
        <v>#REF!</v>
      </c>
      <c r="Z22" s="773">
        <v>2526</v>
      </c>
      <c r="AA22" s="773">
        <v>2575</v>
      </c>
      <c r="AB22" s="773">
        <v>2211</v>
      </c>
      <c r="AC22" s="782">
        <v>1863</v>
      </c>
      <c r="AD22" s="773">
        <v>1434</v>
      </c>
      <c r="AE22" s="773">
        <v>1589</v>
      </c>
      <c r="AF22" s="773">
        <v>1151</v>
      </c>
      <c r="AG22" s="782">
        <v>943</v>
      </c>
      <c r="AH22" s="773">
        <v>993</v>
      </c>
      <c r="AI22" s="773">
        <v>971</v>
      </c>
      <c r="AJ22" s="773">
        <v>891</v>
      </c>
      <c r="AK22" s="782">
        <v>781</v>
      </c>
      <c r="AL22" s="783">
        <v>689</v>
      </c>
      <c r="AM22" s="783">
        <v>4655</v>
      </c>
      <c r="AN22" s="783">
        <v>4906</v>
      </c>
      <c r="AO22" s="783">
        <v>4441</v>
      </c>
      <c r="AP22" s="784">
        <v>4178</v>
      </c>
      <c r="AQ22" s="782">
        <v>3700</v>
      </c>
      <c r="AR22" s="782">
        <v>3796</v>
      </c>
      <c r="AS22" s="782">
        <v>5308</v>
      </c>
      <c r="AT22" s="800"/>
      <c r="AU22" s="773">
        <f t="shared" ref="AU22:AU30" si="7">SUM(K22:M22)</f>
        <v>31780</v>
      </c>
      <c r="AV22" s="773">
        <f t="shared" ref="AV22:AV30" si="8">SUM(O22:Q22)</f>
        <v>26290</v>
      </c>
      <c r="AW22" s="785">
        <f t="shared" ref="AW22:AW31" si="9">AZ22-BA22</f>
        <v>5480</v>
      </c>
      <c r="AX22" s="623">
        <f t="shared" si="1"/>
        <v>0.14559753440671661</v>
      </c>
      <c r="AY22" s="786"/>
      <c r="AZ22" s="506">
        <f t="shared" si="3"/>
        <v>43118</v>
      </c>
      <c r="BA22" s="506">
        <f>+SUM(N22:Q22)</f>
        <v>37638</v>
      </c>
      <c r="BB22" s="506">
        <f>+'6 Capital Markets Canada'!BS22+'7 CG - US'!BS23</f>
        <v>28640</v>
      </c>
      <c r="BC22" s="506">
        <f>+'6 Capital Markets Canada'!BT22+'7 CG - US'!BT23</f>
        <v>17643</v>
      </c>
      <c r="BD22" s="506">
        <f>+'6 Capital Markets Canada'!BU22+'7 CG - US'!BU23</f>
        <v>17925</v>
      </c>
      <c r="BE22" s="506">
        <v>9367</v>
      </c>
      <c r="BF22" s="787">
        <v>7303</v>
      </c>
      <c r="BG22" s="632">
        <v>3032</v>
      </c>
      <c r="BH22" s="632">
        <v>2191</v>
      </c>
      <c r="BI22" s="642">
        <v>2896</v>
      </c>
      <c r="BJ22" s="642">
        <v>1887</v>
      </c>
      <c r="BK22" s="642">
        <v>3440</v>
      </c>
      <c r="BL22" s="575"/>
      <c r="BN22" s="575"/>
      <c r="BO22" s="575"/>
      <c r="BP22" s="575"/>
      <c r="BQ22" s="575"/>
    </row>
    <row r="23" spans="1:69" ht="12.75" customHeight="1" x14ac:dyDescent="0.2">
      <c r="A23" s="614"/>
      <c r="B23" s="616" t="s">
        <v>66</v>
      </c>
      <c r="C23" s="622">
        <f t="shared" si="5"/>
        <v>447</v>
      </c>
      <c r="D23" s="656">
        <f t="shared" si="6"/>
        <v>0.13335322195704058</v>
      </c>
      <c r="E23" s="624"/>
      <c r="F23" s="628"/>
      <c r="G23" s="628"/>
      <c r="H23" s="773"/>
      <c r="I23" s="782">
        <f>+'6 Capital Markets Canada'!V23+'7 CG - US'!V24</f>
        <v>3799</v>
      </c>
      <c r="J23" s="628">
        <f>+'6 Capital Markets Canada'!W23+'7 CG - US'!W24</f>
        <v>3591</v>
      </c>
      <c r="K23" s="628">
        <f>+'6 Capital Markets Canada'!X23+'7 CG - US'!X24</f>
        <v>3512</v>
      </c>
      <c r="L23" s="773">
        <f>+'6 Capital Markets Canada'!Y23+'7 CG - US'!Y24</f>
        <v>3327</v>
      </c>
      <c r="M23" s="782">
        <f>+'6 Capital Markets Canada'!Z23+'7 CG - US'!Z24</f>
        <v>3352</v>
      </c>
      <c r="N23" s="628">
        <f>+'6 Capital Markets Canada'!AA23+'7 CG - US'!AA24</f>
        <v>3335</v>
      </c>
      <c r="O23" s="628">
        <f>+'6 Capital Markets Canada'!AB23+'7 CG - US'!AB24</f>
        <v>3141</v>
      </c>
      <c r="P23" s="773">
        <f>+'6 Capital Markets Canada'!AC23+'7 CG - US'!AC24</f>
        <v>3192</v>
      </c>
      <c r="Q23" s="782">
        <f>+'6 Capital Markets Canada'!AD23+'7 CG - US'!AD24</f>
        <v>3047</v>
      </c>
      <c r="R23" s="773">
        <f>+'6 Capital Markets Canada'!AE23+'7 CG - US'!AE24</f>
        <v>3067</v>
      </c>
      <c r="S23" s="773">
        <f>+'6 Capital Markets Canada'!AF23+'7 CG - US'!AF24</f>
        <v>3044</v>
      </c>
      <c r="T23" s="773">
        <v>1196</v>
      </c>
      <c r="U23" s="782">
        <v>1263</v>
      </c>
      <c r="V23" s="773">
        <v>1300</v>
      </c>
      <c r="W23" s="773">
        <v>1228</v>
      </c>
      <c r="X23" s="773">
        <v>1661</v>
      </c>
      <c r="Y23" s="782" t="e">
        <f>+'5 Canaccord Genuity '!AL32-'8 UK &amp; Dubai'!AL25-'7 CG - US'!AL24-#REF!</f>
        <v>#REF!</v>
      </c>
      <c r="Z23" s="773">
        <v>1191</v>
      </c>
      <c r="AA23" s="773">
        <v>1338</v>
      </c>
      <c r="AB23" s="773">
        <v>855</v>
      </c>
      <c r="AC23" s="782">
        <v>549</v>
      </c>
      <c r="AD23" s="773">
        <v>661</v>
      </c>
      <c r="AE23" s="773">
        <v>671</v>
      </c>
      <c r="AF23" s="773">
        <v>645</v>
      </c>
      <c r="AG23" s="782">
        <v>595</v>
      </c>
      <c r="AH23" s="773">
        <v>667</v>
      </c>
      <c r="AI23" s="773">
        <v>676</v>
      </c>
      <c r="AJ23" s="773">
        <v>693</v>
      </c>
      <c r="AK23" s="782">
        <v>690</v>
      </c>
      <c r="AL23" s="783">
        <v>706</v>
      </c>
      <c r="AM23" s="783">
        <v>3011</v>
      </c>
      <c r="AN23" s="783">
        <v>2910</v>
      </c>
      <c r="AO23" s="783">
        <v>2613</v>
      </c>
      <c r="AP23" s="784">
        <v>5054</v>
      </c>
      <c r="AQ23" s="782">
        <v>3183</v>
      </c>
      <c r="AR23" s="782">
        <v>2884</v>
      </c>
      <c r="AS23" s="782">
        <v>3008</v>
      </c>
      <c r="AT23" s="800"/>
      <c r="AU23" s="773">
        <f t="shared" si="7"/>
        <v>10191</v>
      </c>
      <c r="AV23" s="773">
        <f t="shared" si="8"/>
        <v>9380</v>
      </c>
      <c r="AW23" s="785">
        <f t="shared" si="9"/>
        <v>1067</v>
      </c>
      <c r="AX23" s="623">
        <f t="shared" si="1"/>
        <v>8.3916633896972084E-2</v>
      </c>
      <c r="AY23" s="786"/>
      <c r="AZ23" s="506">
        <f t="shared" si="3"/>
        <v>13782</v>
      </c>
      <c r="BA23" s="506">
        <f>+SUM(N23:Q23)</f>
        <v>12715</v>
      </c>
      <c r="BB23" s="506">
        <f>+'6 Capital Markets Canada'!BS23+'7 CG - US'!BS24</f>
        <v>13218</v>
      </c>
      <c r="BC23" s="506">
        <f>+'6 Capital Markets Canada'!BT23+'7 CG - US'!BT24</f>
        <v>10072</v>
      </c>
      <c r="BD23" s="506">
        <f>+'6 Capital Markets Canada'!BU23+'7 CG - US'!BU24</f>
        <v>8770</v>
      </c>
      <c r="BE23" s="506">
        <v>3014</v>
      </c>
      <c r="BF23" s="787">
        <v>3158</v>
      </c>
      <c r="BG23" s="632">
        <v>2856</v>
      </c>
      <c r="BH23" s="632">
        <v>3000</v>
      </c>
      <c r="BI23" s="642">
        <v>2293</v>
      </c>
      <c r="BJ23" s="642">
        <v>1365</v>
      </c>
      <c r="BK23" s="642">
        <v>4236</v>
      </c>
      <c r="BL23" s="575"/>
      <c r="BN23" s="575"/>
      <c r="BO23" s="575"/>
      <c r="BP23" s="575"/>
      <c r="BQ23" s="575"/>
    </row>
    <row r="24" spans="1:69" ht="12.75" customHeight="1" x14ac:dyDescent="0.2">
      <c r="A24" s="614"/>
      <c r="B24" s="616" t="s">
        <v>67</v>
      </c>
      <c r="C24" s="622">
        <f t="shared" si="5"/>
        <v>689</v>
      </c>
      <c r="D24" s="656">
        <f t="shared" si="6"/>
        <v>0.15037101702313399</v>
      </c>
      <c r="E24" s="624"/>
      <c r="F24" s="628"/>
      <c r="G24" s="628"/>
      <c r="H24" s="773"/>
      <c r="I24" s="782">
        <f>+'6 Capital Markets Canada'!V24+'7 CG - US'!V25</f>
        <v>5271</v>
      </c>
      <c r="J24" s="628">
        <f>+'6 Capital Markets Canada'!W24+'7 CG - US'!W25</f>
        <v>5738</v>
      </c>
      <c r="K24" s="628">
        <f>+'6 Capital Markets Canada'!X24+'7 CG - US'!X25</f>
        <v>4721</v>
      </c>
      <c r="L24" s="773">
        <f>+'6 Capital Markets Canada'!Y24+'7 CG - US'!Y25</f>
        <v>5274</v>
      </c>
      <c r="M24" s="782">
        <f>+'6 Capital Markets Canada'!Z24+'7 CG - US'!Z25</f>
        <v>4582</v>
      </c>
      <c r="N24" s="628">
        <f>+'6 Capital Markets Canada'!AA24+'7 CG - US'!AA25</f>
        <v>4457</v>
      </c>
      <c r="O24" s="628">
        <f>+'6 Capital Markets Canada'!AB24+'7 CG - US'!AB25</f>
        <v>4850</v>
      </c>
      <c r="P24" s="773">
        <f>+'6 Capital Markets Canada'!AC24+'7 CG - US'!AC25</f>
        <v>4331</v>
      </c>
      <c r="Q24" s="782">
        <f>+'6 Capital Markets Canada'!AD24+'7 CG - US'!AD25</f>
        <v>4098</v>
      </c>
      <c r="R24" s="773">
        <f>+'6 Capital Markets Canada'!AE24+'7 CG - US'!AE25</f>
        <v>4080</v>
      </c>
      <c r="S24" s="773">
        <f>+'6 Capital Markets Canada'!AF24+'7 CG - US'!AF25</f>
        <v>4873</v>
      </c>
      <c r="T24" s="773">
        <v>1305</v>
      </c>
      <c r="U24" s="782">
        <v>1477</v>
      </c>
      <c r="V24" s="773">
        <v>2254</v>
      </c>
      <c r="W24" s="773">
        <v>1309</v>
      </c>
      <c r="X24" s="773">
        <v>1341</v>
      </c>
      <c r="Y24" s="782" t="e">
        <f>+'5 Canaccord Genuity '!AL33-'8 UK &amp; Dubai'!AL26-'7 CG - US'!AL25-#REF!</f>
        <v>#REF!</v>
      </c>
      <c r="Z24" s="773">
        <v>977</v>
      </c>
      <c r="AA24" s="773">
        <v>993</v>
      </c>
      <c r="AB24" s="773">
        <v>1107</v>
      </c>
      <c r="AC24" s="782">
        <v>1004</v>
      </c>
      <c r="AD24" s="773">
        <v>587</v>
      </c>
      <c r="AE24" s="773">
        <v>610</v>
      </c>
      <c r="AF24" s="773">
        <v>573</v>
      </c>
      <c r="AG24" s="782">
        <v>706</v>
      </c>
      <c r="AH24" s="773">
        <v>894</v>
      </c>
      <c r="AI24" s="773">
        <v>1012</v>
      </c>
      <c r="AJ24" s="773">
        <v>1350</v>
      </c>
      <c r="AK24" s="782">
        <v>1224</v>
      </c>
      <c r="AL24" s="783">
        <v>1201</v>
      </c>
      <c r="AM24" s="783">
        <v>3063</v>
      </c>
      <c r="AN24" s="783">
        <v>2962</v>
      </c>
      <c r="AO24" s="783">
        <v>2879</v>
      </c>
      <c r="AP24" s="784">
        <v>2804</v>
      </c>
      <c r="AQ24" s="782">
        <v>2586</v>
      </c>
      <c r="AR24" s="782">
        <v>2530</v>
      </c>
      <c r="AS24" s="782">
        <v>2427</v>
      </c>
      <c r="AT24" s="800"/>
      <c r="AU24" s="773">
        <f t="shared" si="7"/>
        <v>14577</v>
      </c>
      <c r="AV24" s="773">
        <f t="shared" si="8"/>
        <v>13279</v>
      </c>
      <c r="AW24" s="785">
        <f t="shared" si="9"/>
        <v>2579</v>
      </c>
      <c r="AX24" s="623">
        <f t="shared" si="1"/>
        <v>0.14541046459179072</v>
      </c>
      <c r="AY24" s="786"/>
      <c r="AZ24" s="506">
        <f t="shared" si="3"/>
        <v>20315</v>
      </c>
      <c r="BA24" s="506">
        <f t="shared" si="4"/>
        <v>17736</v>
      </c>
      <c r="BB24" s="506">
        <f>+'6 Capital Markets Canada'!BS24+'7 CG - US'!BS25</f>
        <v>18225</v>
      </c>
      <c r="BC24" s="506">
        <f>+'6 Capital Markets Canada'!BT24+'7 CG - US'!BT25</f>
        <v>11802</v>
      </c>
      <c r="BD24" s="506">
        <f>+'6 Capital Markets Canada'!BU24+'7 CG - US'!BU25</f>
        <v>10814</v>
      </c>
      <c r="BE24" s="506">
        <v>3731</v>
      </c>
      <c r="BF24" s="787">
        <v>6466</v>
      </c>
      <c r="BG24" s="632">
        <v>4740</v>
      </c>
      <c r="BH24" s="632">
        <v>3930</v>
      </c>
      <c r="BI24" s="642">
        <v>2980</v>
      </c>
      <c r="BJ24" s="642">
        <v>2274</v>
      </c>
      <c r="BK24" s="642">
        <v>4205</v>
      </c>
      <c r="BL24" s="575"/>
      <c r="BN24" s="575"/>
      <c r="BO24" s="575"/>
      <c r="BP24" s="575"/>
      <c r="BQ24" s="575"/>
    </row>
    <row r="25" spans="1:69" ht="12.75" customHeight="1" x14ac:dyDescent="0.2">
      <c r="A25" s="614"/>
      <c r="B25" s="616" t="s">
        <v>62</v>
      </c>
      <c r="C25" s="622">
        <f t="shared" si="5"/>
        <v>-931</v>
      </c>
      <c r="D25" s="623">
        <f t="shared" si="6"/>
        <v>-0.28814608480346643</v>
      </c>
      <c r="E25" s="624"/>
      <c r="F25" s="628"/>
      <c r="G25" s="628"/>
      <c r="H25" s="773"/>
      <c r="I25" s="782">
        <f>+'6 Capital Markets Canada'!V25+'7 CG - US'!V26</f>
        <v>2300</v>
      </c>
      <c r="J25" s="628">
        <f>+'6 Capital Markets Canada'!W25+'7 CG - US'!W26</f>
        <v>2004</v>
      </c>
      <c r="K25" s="628">
        <f>+'6 Capital Markets Canada'!X25+'7 CG - US'!X26</f>
        <v>2236</v>
      </c>
      <c r="L25" s="773">
        <f>+'6 Capital Markets Canada'!Y25+'7 CG - US'!Y26</f>
        <v>2053</v>
      </c>
      <c r="M25" s="782">
        <f>+'6 Capital Markets Canada'!Z25+'7 CG - US'!Z26</f>
        <v>3231</v>
      </c>
      <c r="N25" s="628">
        <f>+'6 Capital Markets Canada'!AA25+'7 CG - US'!AA26</f>
        <v>2707</v>
      </c>
      <c r="O25" s="628">
        <f>+'6 Capital Markets Canada'!AB25+'7 CG - US'!AB26</f>
        <v>2643</v>
      </c>
      <c r="P25" s="773">
        <f>+'6 Capital Markets Canada'!AC25+'7 CG - US'!AC26</f>
        <v>2859</v>
      </c>
      <c r="Q25" s="782">
        <f>+'6 Capital Markets Canada'!AD25+'7 CG - US'!AD26</f>
        <v>3194</v>
      </c>
      <c r="R25" s="773">
        <f>+'6 Capital Markets Canada'!AE25+'7 CG - US'!AE26</f>
        <v>2069</v>
      </c>
      <c r="S25" s="773">
        <f>+'6 Capital Markets Canada'!AF25+'7 CG - US'!AF26</f>
        <v>2724</v>
      </c>
      <c r="T25" s="773">
        <v>1441</v>
      </c>
      <c r="U25" s="782">
        <v>2552</v>
      </c>
      <c r="V25" s="773">
        <v>2405</v>
      </c>
      <c r="W25" s="773">
        <v>1861</v>
      </c>
      <c r="X25" s="773">
        <v>1440</v>
      </c>
      <c r="Y25" s="782" t="e">
        <f>+'5 Canaccord Genuity '!AL34-'8 UK &amp; Dubai'!AL27-'7 CG - US'!AL26-#REF!</f>
        <v>#REF!</v>
      </c>
      <c r="Z25" s="773">
        <v>8</v>
      </c>
      <c r="AA25" s="773">
        <v>3</v>
      </c>
      <c r="AB25" s="773">
        <v>3</v>
      </c>
      <c r="AC25" s="782">
        <v>33</v>
      </c>
      <c r="AD25" s="773">
        <v>3</v>
      </c>
      <c r="AE25" s="773">
        <v>2</v>
      </c>
      <c r="AF25" s="773">
        <v>2</v>
      </c>
      <c r="AG25" s="782">
        <v>5</v>
      </c>
      <c r="AH25" s="773">
        <v>21</v>
      </c>
      <c r="AI25" s="773">
        <v>72</v>
      </c>
      <c r="AJ25" s="773">
        <v>94</v>
      </c>
      <c r="AK25" s="782">
        <v>126</v>
      </c>
      <c r="AL25" s="783">
        <v>153</v>
      </c>
      <c r="AM25" s="783">
        <v>738</v>
      </c>
      <c r="AN25" s="783">
        <v>353</v>
      </c>
      <c r="AO25" s="783">
        <v>594</v>
      </c>
      <c r="AP25" s="784">
        <v>617</v>
      </c>
      <c r="AQ25" s="782">
        <v>520</v>
      </c>
      <c r="AR25" s="782">
        <v>889</v>
      </c>
      <c r="AS25" s="782">
        <v>691</v>
      </c>
      <c r="AT25" s="800"/>
      <c r="AU25" s="773">
        <f t="shared" si="7"/>
        <v>7520</v>
      </c>
      <c r="AV25" s="773">
        <f t="shared" si="8"/>
        <v>8696</v>
      </c>
      <c r="AW25" s="785">
        <f t="shared" si="9"/>
        <v>-1879</v>
      </c>
      <c r="AX25" s="623">
        <f t="shared" si="1"/>
        <v>-0.16478119793036919</v>
      </c>
      <c r="AY25" s="786"/>
      <c r="AZ25" s="506">
        <f t="shared" si="3"/>
        <v>9524</v>
      </c>
      <c r="BA25" s="506">
        <f t="shared" si="4"/>
        <v>11403</v>
      </c>
      <c r="BB25" s="506">
        <f>+'6 Capital Markets Canada'!BS25+'7 CG - US'!BS26</f>
        <v>9850</v>
      </c>
      <c r="BC25" s="506">
        <f>+'6 Capital Markets Canada'!BT25+'7 CG - US'!BT26</f>
        <v>7807</v>
      </c>
      <c r="BD25" s="506">
        <f>+'6 Capital Markets Canada'!BU25+'7 CG - US'!BU26</f>
        <v>5865</v>
      </c>
      <c r="BE25" s="506">
        <v>435</v>
      </c>
      <c r="BF25" s="787">
        <v>949</v>
      </c>
      <c r="BG25" s="632">
        <v>602</v>
      </c>
      <c r="BH25" s="632">
        <v>551</v>
      </c>
      <c r="BI25" s="642">
        <v>175</v>
      </c>
      <c r="BJ25" s="642">
        <v>114</v>
      </c>
      <c r="BK25" s="642">
        <v>35</v>
      </c>
      <c r="BL25" s="575"/>
      <c r="BN25" s="575"/>
      <c r="BO25" s="575"/>
      <c r="BP25" s="575"/>
      <c r="BQ25" s="575"/>
    </row>
    <row r="26" spans="1:69" ht="12.75" customHeight="1" x14ac:dyDescent="0.2">
      <c r="A26" s="614"/>
      <c r="B26" s="616" t="s">
        <v>68</v>
      </c>
      <c r="C26" s="622">
        <f t="shared" si="5"/>
        <v>-687</v>
      </c>
      <c r="D26" s="656">
        <f t="shared" si="6"/>
        <v>-8.167875401260255E-2</v>
      </c>
      <c r="E26" s="624"/>
      <c r="F26" s="628"/>
      <c r="G26" s="628"/>
      <c r="H26" s="773"/>
      <c r="I26" s="782">
        <f>+'6 Capital Markets Canada'!V26+'7 CG - US'!V27</f>
        <v>7724</v>
      </c>
      <c r="J26" s="628">
        <f>+'6 Capital Markets Canada'!W26+'7 CG - US'!W27</f>
        <v>6128</v>
      </c>
      <c r="K26" s="628">
        <f>+'6 Capital Markets Canada'!X26+'7 CG - US'!X27</f>
        <v>9953</v>
      </c>
      <c r="L26" s="773">
        <f>+'6 Capital Markets Canada'!Y26+'7 CG - US'!Y27</f>
        <v>7517</v>
      </c>
      <c r="M26" s="782">
        <f>+'6 Capital Markets Canada'!Z26+'7 CG - US'!Z27</f>
        <v>8411</v>
      </c>
      <c r="N26" s="628">
        <f>+'6 Capital Markets Canada'!AA26+'7 CG - US'!AA27</f>
        <v>6545</v>
      </c>
      <c r="O26" s="628">
        <f>+'6 Capital Markets Canada'!AB26+'7 CG - US'!AB27</f>
        <v>6107</v>
      </c>
      <c r="P26" s="773">
        <f>+'6 Capital Markets Canada'!AC26+'7 CG - US'!AC27</f>
        <v>5592</v>
      </c>
      <c r="Q26" s="782">
        <f>+'6 Capital Markets Canada'!AD26+'7 CG - US'!AD27</f>
        <v>6215</v>
      </c>
      <c r="R26" s="773">
        <f>+'6 Capital Markets Canada'!AE26+'7 CG - US'!AE27</f>
        <v>5756</v>
      </c>
      <c r="S26" s="773">
        <f>+'6 Capital Markets Canada'!AF26+'7 CG - US'!AF27</f>
        <v>7235</v>
      </c>
      <c r="T26" s="773">
        <v>4496</v>
      </c>
      <c r="U26" s="782">
        <v>3008</v>
      </c>
      <c r="V26" s="773">
        <v>3819</v>
      </c>
      <c r="W26" s="773">
        <v>2995</v>
      </c>
      <c r="X26" s="773">
        <v>5330</v>
      </c>
      <c r="Y26" s="782" t="e">
        <f>+'5 Canaccord Genuity '!AL35-'8 UK &amp; Dubai'!AL28-'7 CG - US'!AL27-#REF!</f>
        <v>#REF!</v>
      </c>
      <c r="Z26" s="773">
        <v>3862</v>
      </c>
      <c r="AA26" s="773">
        <v>4390</v>
      </c>
      <c r="AB26" s="773">
        <v>3806</v>
      </c>
      <c r="AC26" s="782">
        <v>3275</v>
      </c>
      <c r="AD26" s="773">
        <v>1553</v>
      </c>
      <c r="AE26" s="773">
        <v>1777</v>
      </c>
      <c r="AF26" s="773">
        <v>1251</v>
      </c>
      <c r="AG26" s="782">
        <v>1408</v>
      </c>
      <c r="AH26" s="773">
        <v>-532</v>
      </c>
      <c r="AI26" s="773">
        <v>1655</v>
      </c>
      <c r="AJ26" s="773">
        <v>2880</v>
      </c>
      <c r="AK26" s="782">
        <v>4020</v>
      </c>
      <c r="AL26" s="783">
        <v>3405</v>
      </c>
      <c r="AM26" s="783">
        <v>8753</v>
      </c>
      <c r="AN26" s="783">
        <v>9885</v>
      </c>
      <c r="AO26" s="783">
        <v>10397</v>
      </c>
      <c r="AP26" s="784">
        <v>10292</v>
      </c>
      <c r="AQ26" s="782">
        <v>7376</v>
      </c>
      <c r="AR26" s="782">
        <v>8470</v>
      </c>
      <c r="AS26" s="782">
        <v>8715</v>
      </c>
      <c r="AT26" s="800"/>
      <c r="AU26" s="773">
        <f t="shared" si="7"/>
        <v>25881</v>
      </c>
      <c r="AV26" s="773">
        <f t="shared" si="8"/>
        <v>17914</v>
      </c>
      <c r="AW26" s="785">
        <f t="shared" si="9"/>
        <v>7550</v>
      </c>
      <c r="AX26" s="623">
        <f t="shared" si="1"/>
        <v>0.30867983155484691</v>
      </c>
      <c r="AY26" s="786"/>
      <c r="AZ26" s="506">
        <f t="shared" si="3"/>
        <v>32009</v>
      </c>
      <c r="BA26" s="506">
        <f t="shared" si="4"/>
        <v>24459</v>
      </c>
      <c r="BB26" s="506">
        <f>+'6 Capital Markets Canada'!BS26+'7 CG - US'!BS27</f>
        <v>29280</v>
      </c>
      <c r="BC26" s="506">
        <f>+'6 Capital Markets Canada'!BT26+'7 CG - US'!BT27</f>
        <v>28698</v>
      </c>
      <c r="BD26" s="506">
        <f>+'6 Capital Markets Canada'!BU26+'7 CG - US'!BU27</f>
        <v>27405</v>
      </c>
      <c r="BE26" s="506">
        <v>6369</v>
      </c>
      <c r="BF26" s="787">
        <v>9497</v>
      </c>
      <c r="BG26" s="632">
        <v>14790</v>
      </c>
      <c r="BH26" s="632">
        <v>12437</v>
      </c>
      <c r="BI26" s="642">
        <v>11037</v>
      </c>
      <c r="BJ26" s="642">
        <v>6277</v>
      </c>
      <c r="BK26" s="642">
        <v>7632</v>
      </c>
      <c r="BL26" s="575"/>
      <c r="BN26" s="575"/>
      <c r="BO26" s="575"/>
      <c r="BP26" s="575"/>
      <c r="BQ26" s="575"/>
    </row>
    <row r="27" spans="1:69" ht="12.75" customHeight="1" x14ac:dyDescent="0.2">
      <c r="A27" s="614"/>
      <c r="B27" s="616" t="s">
        <v>69</v>
      </c>
      <c r="C27" s="622">
        <f t="shared" si="5"/>
        <v>-354</v>
      </c>
      <c r="D27" s="656">
        <f t="shared" si="6"/>
        <v>-0.21454545454545454</v>
      </c>
      <c r="E27" s="852"/>
      <c r="F27" s="628"/>
      <c r="G27" s="180"/>
      <c r="H27" s="773"/>
      <c r="I27" s="782">
        <f>+'6 Capital Markets Canada'!V27+'7 CG - US'!V28</f>
        <v>1296</v>
      </c>
      <c r="J27" s="628">
        <f>+'6 Capital Markets Canada'!W27+'7 CG - US'!W28</f>
        <v>1708</v>
      </c>
      <c r="K27" s="180">
        <f>+'6 Capital Markets Canada'!X27+'7 CG - US'!X28</f>
        <v>1665</v>
      </c>
      <c r="L27" s="773">
        <f>+'6 Capital Markets Canada'!Y27+'7 CG - US'!Y28</f>
        <v>1662</v>
      </c>
      <c r="M27" s="782">
        <f>+'6 Capital Markets Canada'!Z27+'7 CG - US'!Z28</f>
        <v>1650</v>
      </c>
      <c r="N27" s="628">
        <f>+'6 Capital Markets Canada'!AA27+'7 CG - US'!AA28</f>
        <v>1631</v>
      </c>
      <c r="O27" s="180">
        <f>+'6 Capital Markets Canada'!AB27+'7 CG - US'!AB28</f>
        <v>1635</v>
      </c>
      <c r="P27" s="773">
        <f>+'6 Capital Markets Canada'!AC27+'7 CG - US'!AC28</f>
        <v>1601</v>
      </c>
      <c r="Q27" s="782">
        <f>+'6 Capital Markets Canada'!AD27+'7 CG - US'!AD28</f>
        <v>1584</v>
      </c>
      <c r="R27" s="773">
        <f>+'6 Capital Markets Canada'!AE27+'7 CG - US'!AE28</f>
        <v>1686</v>
      </c>
      <c r="S27" s="773">
        <f>+'6 Capital Markets Canada'!AF27+'7 CG - US'!AF28</f>
        <v>1616</v>
      </c>
      <c r="T27" s="773">
        <v>1401</v>
      </c>
      <c r="U27" s="782">
        <v>1400</v>
      </c>
      <c r="V27" s="773">
        <v>1522</v>
      </c>
      <c r="W27" s="773">
        <v>1400</v>
      </c>
      <c r="X27" s="773">
        <v>1417</v>
      </c>
      <c r="Y27" s="782" t="e">
        <f>+'5 Canaccord Genuity '!AL36-'8 UK &amp; Dubai'!AL29-'7 CG - US'!AL28-#REF!</f>
        <v>#REF!</v>
      </c>
      <c r="Z27" s="773">
        <v>1199</v>
      </c>
      <c r="AA27" s="773">
        <v>1232</v>
      </c>
      <c r="AB27" s="773">
        <v>2158</v>
      </c>
      <c r="AC27" s="782">
        <v>1735</v>
      </c>
      <c r="AD27" s="773">
        <v>186</v>
      </c>
      <c r="AE27" s="773">
        <v>183</v>
      </c>
      <c r="AF27" s="773">
        <v>182</v>
      </c>
      <c r="AG27" s="782">
        <v>189</v>
      </c>
      <c r="AH27" s="773">
        <v>228</v>
      </c>
      <c r="AI27" s="773">
        <v>732</v>
      </c>
      <c r="AJ27" s="773">
        <v>193</v>
      </c>
      <c r="AK27" s="782">
        <v>191</v>
      </c>
      <c r="AL27" s="783">
        <v>220</v>
      </c>
      <c r="AM27" s="783">
        <v>984</v>
      </c>
      <c r="AN27" s="783">
        <v>985</v>
      </c>
      <c r="AO27" s="783">
        <v>911</v>
      </c>
      <c r="AP27" s="784">
        <v>895</v>
      </c>
      <c r="AQ27" s="782">
        <v>785</v>
      </c>
      <c r="AR27" s="782">
        <v>1291</v>
      </c>
      <c r="AS27" s="782">
        <v>950</v>
      </c>
      <c r="AT27" s="800"/>
      <c r="AU27" s="773">
        <f t="shared" si="7"/>
        <v>4977</v>
      </c>
      <c r="AV27" s="773">
        <f t="shared" si="8"/>
        <v>4820</v>
      </c>
      <c r="AW27" s="785">
        <f t="shared" si="9"/>
        <v>234</v>
      </c>
      <c r="AX27" s="623">
        <f t="shared" si="1"/>
        <v>3.6273445977367848E-2</v>
      </c>
      <c r="AY27" s="786"/>
      <c r="AZ27" s="506">
        <f t="shared" si="3"/>
        <v>6685</v>
      </c>
      <c r="BA27" s="506">
        <f t="shared" si="4"/>
        <v>6451</v>
      </c>
      <c r="BB27" s="506">
        <f>+'6 Capital Markets Canada'!BS27+'7 CG - US'!BS28</f>
        <v>6951</v>
      </c>
      <c r="BC27" s="506">
        <f>+'6 Capital Markets Canada'!BT27+'7 CG - US'!BT28</f>
        <v>6986</v>
      </c>
      <c r="BD27" s="506">
        <f>+'6 Capital Markets Canada'!BU27+'7 CG - US'!BU28</f>
        <v>7458</v>
      </c>
      <c r="BE27" s="506">
        <v>907</v>
      </c>
      <c r="BF27" s="787">
        <v>1492</v>
      </c>
      <c r="BG27" s="632">
        <v>804</v>
      </c>
      <c r="BH27" s="632">
        <v>1063</v>
      </c>
      <c r="BI27" s="642">
        <v>893</v>
      </c>
      <c r="BJ27" s="642">
        <v>470</v>
      </c>
      <c r="BK27" s="642">
        <v>1291</v>
      </c>
      <c r="BL27" s="575"/>
      <c r="BN27" s="575"/>
      <c r="BO27" s="575"/>
      <c r="BP27" s="575"/>
      <c r="BQ27" s="575"/>
    </row>
    <row r="28" spans="1:69" ht="12.75" customHeight="1" x14ac:dyDescent="0.2">
      <c r="A28" s="584"/>
      <c r="B28" s="616" t="s">
        <v>70</v>
      </c>
      <c r="C28" s="622">
        <f t="shared" si="5"/>
        <v>-850</v>
      </c>
      <c r="D28" s="623">
        <f t="shared" si="6"/>
        <v>-0.5494505494505495</v>
      </c>
      <c r="E28" s="624"/>
      <c r="F28" s="628"/>
      <c r="G28" s="180"/>
      <c r="H28" s="773"/>
      <c r="I28" s="782">
        <f>+'6 Capital Markets Canada'!V29+'7 CG - US'!V30</f>
        <v>697</v>
      </c>
      <c r="J28" s="628">
        <f>+'6 Capital Markets Canada'!W29+'7 CG - US'!W30</f>
        <v>644</v>
      </c>
      <c r="K28" s="180">
        <f>+'6 Capital Markets Canada'!X29+'7 CG - US'!X30</f>
        <v>1864</v>
      </c>
      <c r="L28" s="773">
        <f>+'6 Capital Markets Canada'!Y29+'7 CG - US'!Y30</f>
        <v>1221</v>
      </c>
      <c r="M28" s="782">
        <f>+'6 Capital Markets Canada'!Z29+'7 CG - US'!Z30</f>
        <v>1547</v>
      </c>
      <c r="N28" s="628">
        <f>+'6 Capital Markets Canada'!AA29+'7 CG - US'!AA30</f>
        <v>1288</v>
      </c>
      <c r="O28" s="180">
        <f>+'6 Capital Markets Canada'!AB29+'7 CG - US'!AB30</f>
        <v>1327</v>
      </c>
      <c r="P28" s="773">
        <f>+'6 Capital Markets Canada'!AC29+'7 CG - US'!AC30</f>
        <v>1112</v>
      </c>
      <c r="Q28" s="782">
        <f>+'6 Capital Markets Canada'!AD29+'7 CG - US'!AD30</f>
        <v>756</v>
      </c>
      <c r="R28" s="773">
        <f>+'6 Capital Markets Canada'!AE29+'7 CG - US'!AE30</f>
        <v>939</v>
      </c>
      <c r="S28" s="773">
        <f>+'6 Capital Markets Canada'!AF29+'7 CG - US'!AF30</f>
        <v>1237</v>
      </c>
      <c r="T28" s="773">
        <v>1037</v>
      </c>
      <c r="U28" s="782">
        <v>121</v>
      </c>
      <c r="V28" s="773">
        <v>34</v>
      </c>
      <c r="W28" s="773">
        <v>-103</v>
      </c>
      <c r="X28" s="773">
        <v>275</v>
      </c>
      <c r="Y28" s="782" t="e">
        <f>+'5 Canaccord Genuity '!AL38-'8 UK &amp; Dubai'!AL31-'7 CG - US'!AL30-#REF!</f>
        <v>#REF!</v>
      </c>
      <c r="Z28" s="773">
        <v>472</v>
      </c>
      <c r="AA28" s="773">
        <v>550</v>
      </c>
      <c r="AB28" s="773">
        <v>709</v>
      </c>
      <c r="AC28" s="782">
        <v>1042</v>
      </c>
      <c r="AD28" s="773">
        <v>608</v>
      </c>
      <c r="AE28" s="773">
        <v>1167</v>
      </c>
      <c r="AF28" s="773">
        <v>272</v>
      </c>
      <c r="AG28" s="782">
        <v>657</v>
      </c>
      <c r="AH28" s="773">
        <v>605</v>
      </c>
      <c r="AI28" s="773">
        <v>643</v>
      </c>
      <c r="AJ28" s="773">
        <v>602</v>
      </c>
      <c r="AK28" s="782">
        <v>517</v>
      </c>
      <c r="AL28" s="783">
        <v>692</v>
      </c>
      <c r="AM28" s="783">
        <v>3936</v>
      </c>
      <c r="AN28" s="783">
        <v>5582</v>
      </c>
      <c r="AO28" s="783">
        <v>4292</v>
      </c>
      <c r="AP28" s="784">
        <v>3663</v>
      </c>
      <c r="AQ28" s="782">
        <v>2463</v>
      </c>
      <c r="AR28" s="782">
        <v>3310</v>
      </c>
      <c r="AS28" s="782">
        <v>1287</v>
      </c>
      <c r="AT28" s="800"/>
      <c r="AU28" s="773">
        <f t="shared" si="7"/>
        <v>4632</v>
      </c>
      <c r="AV28" s="773">
        <f t="shared" si="8"/>
        <v>3195</v>
      </c>
      <c r="AW28" s="785">
        <f t="shared" si="9"/>
        <v>793</v>
      </c>
      <c r="AX28" s="623">
        <f t="shared" si="1"/>
        <v>0.17689047512826234</v>
      </c>
      <c r="AY28" s="786"/>
      <c r="AZ28" s="506">
        <f t="shared" si="3"/>
        <v>5276</v>
      </c>
      <c r="BA28" s="506">
        <f t="shared" si="4"/>
        <v>4483</v>
      </c>
      <c r="BB28" s="506">
        <f>+'6 Capital Markets Canada'!BS29+'7 CG - US'!BS30</f>
        <v>6300</v>
      </c>
      <c r="BC28" s="506">
        <f>+'6 Capital Markets Canada'!BT29+'7 CG - US'!BT30</f>
        <v>5431</v>
      </c>
      <c r="BD28" s="506">
        <f>+'6 Capital Markets Canada'!BU29+'7 CG - US'!BU30</f>
        <v>6037</v>
      </c>
      <c r="BE28" s="506">
        <v>3213</v>
      </c>
      <c r="BF28" s="787">
        <v>2422</v>
      </c>
      <c r="BG28" s="632">
        <v>2174</v>
      </c>
      <c r="BH28" s="632">
        <v>1510</v>
      </c>
      <c r="BI28" s="642">
        <v>538</v>
      </c>
      <c r="BJ28" s="642">
        <v>590</v>
      </c>
      <c r="BK28" s="642">
        <v>836</v>
      </c>
      <c r="BL28" s="575"/>
      <c r="BN28" s="575"/>
      <c r="BO28" s="575"/>
      <c r="BP28" s="575"/>
      <c r="BQ28" s="575"/>
    </row>
    <row r="29" spans="1:69" ht="12.75" customHeight="1" x14ac:dyDescent="0.2">
      <c r="A29" s="584"/>
      <c r="B29" s="584" t="s">
        <v>164</v>
      </c>
      <c r="C29" s="622">
        <f t="shared" si="5"/>
        <v>0</v>
      </c>
      <c r="D29" s="623">
        <v>0</v>
      </c>
      <c r="E29" s="624"/>
      <c r="F29" s="180"/>
      <c r="G29" s="180"/>
      <c r="H29" s="523"/>
      <c r="I29" s="788">
        <f>+'6 Capital Markets Canada'!V30+'7 CG - US'!V31</f>
        <v>0</v>
      </c>
      <c r="J29" s="180">
        <f>+'6 Capital Markets Canada'!W30+'7 CG - US'!W31</f>
        <v>11354</v>
      </c>
      <c r="K29" s="180">
        <f>+'6 Capital Markets Canada'!X30+'7 CG - US'!X31</f>
        <v>0</v>
      </c>
      <c r="L29" s="523">
        <f>+'6 Capital Markets Canada'!Y30+'7 CG - US'!Y31</f>
        <v>0</v>
      </c>
      <c r="M29" s="788">
        <f>+'6 Capital Markets Canada'!Z30+'7 CG - US'!Z31</f>
        <v>0</v>
      </c>
      <c r="N29" s="180">
        <f>+'6 Capital Markets Canada'!AA30+'7 CG - US'!AA31</f>
        <v>0</v>
      </c>
      <c r="O29" s="180">
        <f>+'6 Capital Markets Canada'!AB30+'7 CG - US'!AB31</f>
        <v>0</v>
      </c>
      <c r="P29" s="523">
        <f>+'6 Capital Markets Canada'!AC30+'7 CG - US'!AC31</f>
        <v>4179</v>
      </c>
      <c r="Q29" s="788">
        <f>+'6 Capital Markets Canada'!AD30+'7 CG - US'!AD31</f>
        <v>0</v>
      </c>
      <c r="R29" s="523">
        <f>+'6 Capital Markets Canada'!AE30+'7 CG - US'!AE31</f>
        <v>0</v>
      </c>
      <c r="S29" s="523">
        <f>+'6 Capital Markets Canada'!AF30+'7 CG - US'!AF31</f>
        <v>2985</v>
      </c>
      <c r="T29" s="523">
        <v>575</v>
      </c>
      <c r="U29" s="788">
        <v>0</v>
      </c>
      <c r="V29" s="523">
        <v>6979</v>
      </c>
      <c r="W29" s="523">
        <v>884</v>
      </c>
      <c r="X29" s="779">
        <v>0</v>
      </c>
      <c r="Y29" s="788" t="e">
        <f>+'5 Canaccord Genuity '!AL34-'8 UK &amp; Dubai'!AL28-'7 CG - US'!AL26-#REF!</f>
        <v>#REF!</v>
      </c>
      <c r="Z29" s="523">
        <v>0</v>
      </c>
      <c r="AA29" s="523">
        <v>0</v>
      </c>
      <c r="AB29" s="779">
        <v>0</v>
      </c>
      <c r="AC29" s="788">
        <v>0</v>
      </c>
      <c r="AD29" s="773">
        <v>0</v>
      </c>
      <c r="AE29" s="779">
        <v>0</v>
      </c>
      <c r="AF29" s="779">
        <v>0</v>
      </c>
      <c r="AG29" s="788">
        <v>0</v>
      </c>
      <c r="AH29" s="779">
        <v>22</v>
      </c>
      <c r="AI29" s="779">
        <v>5010</v>
      </c>
      <c r="AJ29" s="779">
        <v>0</v>
      </c>
      <c r="AK29" s="782">
        <v>0</v>
      </c>
      <c r="AL29" s="792">
        <v>0</v>
      </c>
      <c r="AM29" s="792">
        <v>0</v>
      </c>
      <c r="AN29" s="792">
        <v>0</v>
      </c>
      <c r="AO29" s="792">
        <v>0</v>
      </c>
      <c r="AP29" s="793">
        <v>0</v>
      </c>
      <c r="AQ29" s="794">
        <v>0</v>
      </c>
      <c r="AR29" s="794"/>
      <c r="AS29" s="794"/>
      <c r="AT29" s="793"/>
      <c r="AU29" s="773">
        <f t="shared" si="7"/>
        <v>0</v>
      </c>
      <c r="AV29" s="779">
        <f t="shared" si="8"/>
        <v>4179</v>
      </c>
      <c r="AW29" s="785">
        <f t="shared" si="9"/>
        <v>7175</v>
      </c>
      <c r="AX29" s="623">
        <f t="shared" si="1"/>
        <v>1.7169179229480738</v>
      </c>
      <c r="AY29" s="795"/>
      <c r="AZ29" s="526">
        <f t="shared" si="3"/>
        <v>11354</v>
      </c>
      <c r="BA29" s="526">
        <f t="shared" si="4"/>
        <v>4179</v>
      </c>
      <c r="BB29" s="526">
        <f>+'6 Capital Markets Canada'!BS30+'7 CG - US'!BS31</f>
        <v>7380</v>
      </c>
      <c r="BC29" s="526">
        <f>+'6 Capital Markets Canada'!BT30+'7 CG - US'!BT31</f>
        <v>11029</v>
      </c>
      <c r="BD29" s="803">
        <f>+'6 Capital Markets Canada'!BU30+'7 CG - US'!BU31</f>
        <v>0</v>
      </c>
      <c r="BE29" s="803">
        <v>0</v>
      </c>
      <c r="BF29" s="796">
        <v>4697</v>
      </c>
      <c r="BG29" s="660">
        <v>0</v>
      </c>
      <c r="BH29" s="660">
        <v>0</v>
      </c>
      <c r="BI29" s="661">
        <v>0</v>
      </c>
      <c r="BJ29" s="642">
        <v>0</v>
      </c>
      <c r="BK29" s="642">
        <v>0</v>
      </c>
      <c r="BL29" s="575"/>
      <c r="BN29" s="575"/>
      <c r="BO29" s="575"/>
      <c r="BP29" s="575"/>
      <c r="BQ29" s="575"/>
    </row>
    <row r="30" spans="1:69" ht="12.75" customHeight="1" x14ac:dyDescent="0.2">
      <c r="A30" s="584"/>
      <c r="B30" s="584" t="s">
        <v>185</v>
      </c>
      <c r="C30" s="622">
        <f t="shared" si="5"/>
        <v>0</v>
      </c>
      <c r="D30" s="623">
        <v>0</v>
      </c>
      <c r="E30" s="624"/>
      <c r="F30" s="180"/>
      <c r="G30" s="180"/>
      <c r="H30" s="523"/>
      <c r="I30" s="788">
        <f>+'6 Capital Markets Canada'!V31+'7 CG - US'!V34</f>
        <v>0</v>
      </c>
      <c r="J30" s="180">
        <f>+'6 Capital Markets Canada'!W31+'7 CG - US'!W34</f>
        <v>0</v>
      </c>
      <c r="K30" s="180">
        <f>+'6 Capital Markets Canada'!X31+'7 CG - US'!X34</f>
        <v>0</v>
      </c>
      <c r="L30" s="523">
        <f>+'6 Capital Markets Canada'!Y31+'7 CG - US'!Y34</f>
        <v>0</v>
      </c>
      <c r="M30" s="788">
        <f>+'6 Capital Markets Canada'!Z31+'7 CG - US'!Z34</f>
        <v>0</v>
      </c>
      <c r="N30" s="180">
        <f>+'6 Capital Markets Canada'!AA31+'7 CG - US'!AA34</f>
        <v>0</v>
      </c>
      <c r="O30" s="180">
        <f>+'6 Capital Markets Canada'!AB31+'7 CG - US'!AB34</f>
        <v>0</v>
      </c>
      <c r="P30" s="523">
        <f>+'6 Capital Markets Canada'!AC31+'7 CG - US'!AC34</f>
        <v>0</v>
      </c>
      <c r="Q30" s="788">
        <f>+'6 Capital Markets Canada'!AD31+'7 CG - US'!AD34</f>
        <v>0</v>
      </c>
      <c r="R30" s="523">
        <f>+'6 Capital Markets Canada'!AE31+'7 CG - US'!AE34</f>
        <v>0</v>
      </c>
      <c r="S30" s="523">
        <f>+'6 Capital Markets Canada'!AF31+'7 CG - US'!AF34</f>
        <v>0</v>
      </c>
      <c r="T30" s="523">
        <v>388</v>
      </c>
      <c r="U30" s="788">
        <v>0</v>
      </c>
      <c r="V30" s="523">
        <v>0</v>
      </c>
      <c r="W30" s="523">
        <v>2290</v>
      </c>
      <c r="X30" s="779">
        <v>1443</v>
      </c>
      <c r="Y30" s="788">
        <f>+'5 Canaccord Genuity '!AL41-'8 UK &amp; Dubai'!AL34-'7 CG - US'!AL35</f>
        <v>-23244</v>
      </c>
      <c r="Z30" s="523">
        <v>0</v>
      </c>
      <c r="AA30" s="523">
        <v>1750</v>
      </c>
      <c r="AB30" s="779">
        <v>0</v>
      </c>
      <c r="AC30" s="788">
        <v>10990</v>
      </c>
      <c r="AD30" s="773">
        <v>5000</v>
      </c>
      <c r="AE30" s="779">
        <v>0</v>
      </c>
      <c r="AF30" s="779">
        <v>0</v>
      </c>
      <c r="AG30" s="788">
        <v>0</v>
      </c>
      <c r="AH30" s="779">
        <v>0</v>
      </c>
      <c r="AI30" s="779">
        <v>0</v>
      </c>
      <c r="AJ30" s="779">
        <v>0</v>
      </c>
      <c r="AK30" s="782">
        <v>0</v>
      </c>
      <c r="AL30" s="792"/>
      <c r="AM30" s="792">
        <v>0</v>
      </c>
      <c r="AN30" s="792">
        <v>0</v>
      </c>
      <c r="AO30" s="792">
        <v>0</v>
      </c>
      <c r="AP30" s="793">
        <v>0</v>
      </c>
      <c r="AQ30" s="794">
        <v>0</v>
      </c>
      <c r="AR30" s="794">
        <v>0</v>
      </c>
      <c r="AS30" s="794">
        <v>0</v>
      </c>
      <c r="AT30" s="793"/>
      <c r="AU30" s="773">
        <f t="shared" si="7"/>
        <v>0</v>
      </c>
      <c r="AV30" s="779">
        <f t="shared" si="8"/>
        <v>0</v>
      </c>
      <c r="AW30" s="785">
        <f t="shared" si="9"/>
        <v>0</v>
      </c>
      <c r="AX30" s="623">
        <v>0</v>
      </c>
      <c r="AY30" s="795"/>
      <c r="AZ30" s="803">
        <f t="shared" si="3"/>
        <v>0</v>
      </c>
      <c r="BA30" s="803">
        <f t="shared" si="4"/>
        <v>0</v>
      </c>
      <c r="BB30" s="526">
        <f>+'6 Capital Markets Canada'!BS31+'7 CG - US'!BS34</f>
        <v>388</v>
      </c>
      <c r="BC30" s="526">
        <f>+'6 Capital Markets Canada'!BT31+'7 CG - US'!BT34</f>
        <v>4171</v>
      </c>
      <c r="BD30" s="526">
        <f>+'6 Capital Markets Canada'!BU31+'7 CG - US'!BU34</f>
        <v>12740</v>
      </c>
      <c r="BE30" s="526">
        <v>5000</v>
      </c>
      <c r="BF30" s="796">
        <v>0</v>
      </c>
      <c r="BG30" s="660">
        <v>0</v>
      </c>
      <c r="BH30" s="660">
        <v>0</v>
      </c>
      <c r="BI30" s="661">
        <v>0</v>
      </c>
      <c r="BJ30" s="642"/>
      <c r="BK30" s="642">
        <v>0</v>
      </c>
      <c r="BL30" s="575"/>
      <c r="BN30" s="575"/>
      <c r="BO30" s="575"/>
      <c r="BP30" s="575"/>
      <c r="BQ30" s="575"/>
    </row>
    <row r="31" spans="1:69" ht="12.75" hidden="1" customHeight="1" x14ac:dyDescent="0.2">
      <c r="A31" s="584"/>
      <c r="B31" s="664" t="s">
        <v>163</v>
      </c>
      <c r="C31" s="622">
        <f t="shared" si="5"/>
        <v>0</v>
      </c>
      <c r="D31" s="623">
        <v>0</v>
      </c>
      <c r="E31" s="624"/>
      <c r="F31" s="662"/>
      <c r="G31" s="662"/>
      <c r="H31" s="790"/>
      <c r="I31" s="797"/>
      <c r="J31" s="662"/>
      <c r="K31" s="662"/>
      <c r="L31" s="790"/>
      <c r="M31" s="797"/>
      <c r="N31" s="662"/>
      <c r="O31" s="662"/>
      <c r="P31" s="790"/>
      <c r="Q31" s="797"/>
      <c r="R31" s="790"/>
      <c r="S31" s="790"/>
      <c r="T31" s="790"/>
      <c r="U31" s="797"/>
      <c r="V31" s="790"/>
      <c r="W31" s="790"/>
      <c r="X31" s="790"/>
      <c r="Y31" s="797"/>
      <c r="Z31" s="790"/>
      <c r="AA31" s="790"/>
      <c r="AB31" s="790"/>
      <c r="AC31" s="797"/>
      <c r="AD31" s="790"/>
      <c r="AE31" s="790"/>
      <c r="AF31" s="790"/>
      <c r="AG31" s="797"/>
      <c r="AH31" s="790"/>
      <c r="AI31" s="790"/>
      <c r="AJ31" s="790"/>
      <c r="AK31" s="797"/>
      <c r="AL31" s="799"/>
      <c r="AM31" s="790">
        <v>0</v>
      </c>
      <c r="AN31" s="790">
        <v>0</v>
      </c>
      <c r="AO31" s="790">
        <v>0</v>
      </c>
      <c r="AP31" s="799">
        <v>0</v>
      </c>
      <c r="AQ31" s="797">
        <v>0</v>
      </c>
      <c r="AR31" s="797">
        <v>0</v>
      </c>
      <c r="AS31" s="797">
        <v>0</v>
      </c>
      <c r="AT31" s="800"/>
      <c r="AU31" s="773">
        <f>SUM(P31:Q31)</f>
        <v>0</v>
      </c>
      <c r="AV31" s="790">
        <f>SUM(W31:Y31)</f>
        <v>0</v>
      </c>
      <c r="AW31" s="802">
        <f t="shared" si="9"/>
        <v>0</v>
      </c>
      <c r="AX31" s="623" t="e">
        <f>IF(OR((AW31/BA31)&gt;3,(AW31/BA31)&lt;-3),"n.m.",(AW31/BA31))</f>
        <v>#DIV/0!</v>
      </c>
      <c r="AY31" s="786"/>
      <c r="AZ31" s="789"/>
      <c r="BA31" s="789">
        <f t="shared" si="4"/>
        <v>0</v>
      </c>
      <c r="BB31" s="789"/>
      <c r="BC31" s="789"/>
      <c r="BD31" s="789"/>
      <c r="BE31" s="789"/>
      <c r="BF31" s="789"/>
      <c r="BG31" s="663"/>
      <c r="BH31" s="663"/>
      <c r="BI31" s="642"/>
      <c r="BJ31" s="642"/>
      <c r="BK31" s="642">
        <v>0</v>
      </c>
      <c r="BL31" s="575"/>
      <c r="BN31" s="575"/>
      <c r="BO31" s="575"/>
      <c r="BP31" s="575"/>
      <c r="BQ31" s="575"/>
    </row>
    <row r="32" spans="1:69" ht="12.75" hidden="1" customHeight="1" x14ac:dyDescent="0.2">
      <c r="A32" s="584"/>
      <c r="B32" s="584" t="s">
        <v>162</v>
      </c>
      <c r="C32" s="622"/>
      <c r="D32" s="623"/>
      <c r="E32" s="624"/>
      <c r="F32" s="662"/>
      <c r="G32" s="662"/>
      <c r="H32" s="790"/>
      <c r="I32" s="797"/>
      <c r="J32" s="662"/>
      <c r="K32" s="662"/>
      <c r="L32" s="790"/>
      <c r="M32" s="797"/>
      <c r="N32" s="662"/>
      <c r="O32" s="662"/>
      <c r="P32" s="790"/>
      <c r="Q32" s="797"/>
      <c r="R32" s="790"/>
      <c r="S32" s="790"/>
      <c r="T32" s="790"/>
      <c r="U32" s="797"/>
      <c r="V32" s="790"/>
      <c r="W32" s="790">
        <v>0</v>
      </c>
      <c r="X32" s="790">
        <v>0</v>
      </c>
      <c r="Y32" s="797" t="e">
        <f>+'5 Canaccord Genuity '!AL43-'7 CG - US'!#REF!</f>
        <v>#REF!</v>
      </c>
      <c r="Z32" s="790"/>
      <c r="AA32" s="790"/>
      <c r="AB32" s="790"/>
      <c r="AC32" s="797"/>
      <c r="AD32" s="790"/>
      <c r="AE32" s="790">
        <v>0</v>
      </c>
      <c r="AF32" s="790">
        <v>0</v>
      </c>
      <c r="AG32" s="797">
        <v>0</v>
      </c>
      <c r="AH32" s="790">
        <v>0</v>
      </c>
      <c r="AI32" s="790">
        <v>0</v>
      </c>
      <c r="AJ32" s="790">
        <v>0</v>
      </c>
      <c r="AK32" s="797">
        <v>0</v>
      </c>
      <c r="AL32" s="799">
        <v>0</v>
      </c>
      <c r="AM32" s="790">
        <v>0</v>
      </c>
      <c r="AN32" s="790">
        <v>0</v>
      </c>
      <c r="AO32" s="790">
        <v>0</v>
      </c>
      <c r="AP32" s="799">
        <v>0</v>
      </c>
      <c r="AQ32" s="797">
        <v>0</v>
      </c>
      <c r="AR32" s="797"/>
      <c r="AS32" s="797"/>
      <c r="AT32" s="800"/>
      <c r="AU32" s="773">
        <f>SUM(K32:M32)</f>
        <v>0</v>
      </c>
      <c r="AV32" s="790">
        <f>SUM(O32:Q32)</f>
        <v>0</v>
      </c>
      <c r="AW32" s="802"/>
      <c r="AX32" s="623"/>
      <c r="AY32" s="786"/>
      <c r="AZ32" s="803"/>
      <c r="BA32" s="803"/>
      <c r="BB32" s="803"/>
      <c r="BC32" s="803"/>
      <c r="BD32" s="803"/>
      <c r="BE32" s="803"/>
      <c r="BF32" s="789">
        <v>3958</v>
      </c>
      <c r="BG32" s="663">
        <v>0</v>
      </c>
      <c r="BH32" s="663">
        <v>0</v>
      </c>
      <c r="BI32" s="663">
        <v>0</v>
      </c>
      <c r="BJ32" s="663">
        <v>0</v>
      </c>
      <c r="BK32" s="663">
        <v>0</v>
      </c>
      <c r="BL32" s="575"/>
      <c r="BN32" s="575"/>
      <c r="BO32" s="575"/>
      <c r="BP32" s="575"/>
      <c r="BQ32" s="575"/>
    </row>
    <row r="33" spans="1:69" ht="12.75" hidden="1" customHeight="1" x14ac:dyDescent="0.2">
      <c r="A33" s="614"/>
      <c r="B33" s="584"/>
      <c r="C33" s="622"/>
      <c r="D33" s="623"/>
      <c r="E33" s="624"/>
      <c r="F33" s="654"/>
      <c r="G33" s="180"/>
      <c r="H33" s="551"/>
      <c r="I33" s="548"/>
      <c r="J33" s="654"/>
      <c r="K33" s="180"/>
      <c r="L33" s="551"/>
      <c r="M33" s="548"/>
      <c r="N33" s="654"/>
      <c r="O33" s="180"/>
      <c r="P33" s="551"/>
      <c r="Q33" s="548"/>
      <c r="R33" s="779"/>
      <c r="S33" s="523"/>
      <c r="T33" s="551"/>
      <c r="U33" s="548"/>
      <c r="V33" s="779"/>
      <c r="W33" s="551"/>
      <c r="X33" s="551"/>
      <c r="Y33" s="548"/>
      <c r="Z33" s="779"/>
      <c r="AA33" s="551"/>
      <c r="AB33" s="551"/>
      <c r="AC33" s="548"/>
      <c r="AD33" s="779"/>
      <c r="AE33" s="804"/>
      <c r="AF33" s="804"/>
      <c r="AG33" s="805"/>
      <c r="AH33" s="773"/>
      <c r="AI33" s="773"/>
      <c r="AJ33" s="804"/>
      <c r="AK33" s="805"/>
      <c r="AL33" s="806"/>
      <c r="AM33" s="790"/>
      <c r="AN33" s="790"/>
      <c r="AO33" s="790"/>
      <c r="AP33" s="799"/>
      <c r="AQ33" s="797"/>
      <c r="AR33" s="782"/>
      <c r="AS33" s="782"/>
      <c r="AT33" s="800"/>
      <c r="AU33" s="773"/>
      <c r="AV33" s="551"/>
      <c r="AW33" s="785"/>
      <c r="AX33" s="623"/>
      <c r="AY33" s="786"/>
      <c r="AZ33" s="803"/>
      <c r="BA33" s="803"/>
      <c r="BB33" s="803"/>
      <c r="BC33" s="803"/>
      <c r="BD33" s="549"/>
      <c r="BE33" s="803"/>
      <c r="BF33" s="803"/>
      <c r="BG33" s="666"/>
      <c r="BH33" s="666"/>
      <c r="BI33" s="666"/>
      <c r="BJ33" s="642"/>
      <c r="BK33" s="642"/>
      <c r="BL33" s="575"/>
      <c r="BN33" s="575"/>
      <c r="BO33" s="575"/>
      <c r="BP33" s="575"/>
      <c r="BQ33" s="575"/>
    </row>
    <row r="34" spans="1:69" ht="12.75" customHeight="1" x14ac:dyDescent="0.2">
      <c r="A34" s="614"/>
      <c r="B34" s="584"/>
      <c r="C34" s="633">
        <f t="shared" ref="C34:C41" si="10">I34-M34</f>
        <v>-18962</v>
      </c>
      <c r="D34" s="667">
        <f>IF(OR((C34/M34)&gt;3,(C34/M34)&lt;-3),"n.m.",(C34/M34))</f>
        <v>-0.1967155291359331</v>
      </c>
      <c r="E34" s="624"/>
      <c r="F34" s="814"/>
      <c r="G34" s="814"/>
      <c r="H34" s="814"/>
      <c r="I34" s="817">
        <f t="shared" ref="I34:S34" si="11">SUM(I19:I33)</f>
        <v>77431</v>
      </c>
      <c r="J34" s="814">
        <f>SUM(J19:J33)</f>
        <v>102256</v>
      </c>
      <c r="K34" s="814">
        <f t="shared" si="11"/>
        <v>76572</v>
      </c>
      <c r="L34" s="814">
        <f t="shared" si="11"/>
        <v>89207</v>
      </c>
      <c r="M34" s="817">
        <f t="shared" si="11"/>
        <v>96393</v>
      </c>
      <c r="N34" s="814">
        <f t="shared" si="11"/>
        <v>89353</v>
      </c>
      <c r="O34" s="814">
        <f t="shared" si="11"/>
        <v>78152</v>
      </c>
      <c r="P34" s="814">
        <f t="shared" si="11"/>
        <v>73255</v>
      </c>
      <c r="Q34" s="817">
        <f t="shared" si="11"/>
        <v>72341</v>
      </c>
      <c r="R34" s="814">
        <f t="shared" si="11"/>
        <v>81542</v>
      </c>
      <c r="S34" s="814">
        <f t="shared" si="11"/>
        <v>88746</v>
      </c>
      <c r="T34" s="814">
        <f>SUM(T19:T32)</f>
        <v>35842</v>
      </c>
      <c r="U34" s="817">
        <f>SUM(U19:U32)</f>
        <v>31620</v>
      </c>
      <c r="V34" s="814">
        <v>58961</v>
      </c>
      <c r="W34" s="814">
        <v>43143</v>
      </c>
      <c r="X34" s="814">
        <v>37095</v>
      </c>
      <c r="Y34" s="817" t="e">
        <f>SUM(Y19:Y33)</f>
        <v>#REF!</v>
      </c>
      <c r="Z34" s="820">
        <f>SUM(Z19:Z33)</f>
        <v>50271</v>
      </c>
      <c r="AA34" s="820">
        <f>SUM(AA19:AA33)</f>
        <v>61943</v>
      </c>
      <c r="AB34" s="814">
        <f>SUM(AB19:AB33)</f>
        <v>34417</v>
      </c>
      <c r="AC34" s="817">
        <f>SUM(AC19:AC33)</f>
        <v>44140</v>
      </c>
      <c r="AD34" s="814">
        <v>27693</v>
      </c>
      <c r="AE34" s="820">
        <v>37922</v>
      </c>
      <c r="AF34" s="814">
        <v>19480</v>
      </c>
      <c r="AG34" s="817">
        <v>22187</v>
      </c>
      <c r="AH34" s="820">
        <f>SUM(AH19:AH33)</f>
        <v>15783</v>
      </c>
      <c r="AI34" s="820">
        <f>SUM(AI19:AI33)</f>
        <v>21597</v>
      </c>
      <c r="AJ34" s="820">
        <f>SUM(AJ19:AJ33)</f>
        <v>20639</v>
      </c>
      <c r="AK34" s="817">
        <f>SUM(AK19:AK33)</f>
        <v>27571</v>
      </c>
      <c r="AL34" s="820">
        <f>SUM(AL19:AL33)</f>
        <v>24147</v>
      </c>
      <c r="AM34" s="820">
        <v>87449</v>
      </c>
      <c r="AN34" s="813">
        <v>74128</v>
      </c>
      <c r="AO34" s="820">
        <v>106349</v>
      </c>
      <c r="AP34" s="821">
        <v>100905</v>
      </c>
      <c r="AQ34" s="817">
        <v>75317</v>
      </c>
      <c r="AR34" s="817">
        <v>70703</v>
      </c>
      <c r="AS34" s="820">
        <v>91522</v>
      </c>
      <c r="AT34" s="800"/>
      <c r="AU34" s="814">
        <f>SUM(AU19:AU33)</f>
        <v>262172</v>
      </c>
      <c r="AV34" s="814">
        <f>SUM(AV19:AV33)</f>
        <v>223748</v>
      </c>
      <c r="AW34" s="835">
        <f t="shared" ref="AW34:AW41" si="12">AZ34-BA34</f>
        <v>51327</v>
      </c>
      <c r="AX34" s="669">
        <f>IF(OR((AW34/BA34)&gt;3,(AW34/BA34)&lt;-3),"n.m.",(AW34/BA34))</f>
        <v>0.16393112765529333</v>
      </c>
      <c r="AY34" s="618"/>
      <c r="AZ34" s="670">
        <f>SUM(AZ19:AZ33)</f>
        <v>364428</v>
      </c>
      <c r="BA34" s="670">
        <f>SUM(BA19:BA33)</f>
        <v>313101</v>
      </c>
      <c r="BB34" s="670">
        <f>SUM(BB19:BB33)</f>
        <v>320551</v>
      </c>
      <c r="BC34" s="670">
        <f>SUM(BC19:BC33)</f>
        <v>269174</v>
      </c>
      <c r="BD34" s="670">
        <f>SUM(BD19:BD33)</f>
        <v>310989</v>
      </c>
      <c r="BE34" s="670">
        <v>129651</v>
      </c>
      <c r="BF34" s="670">
        <v>111254</v>
      </c>
      <c r="BG34" s="670">
        <f>SUM(BG19:BG33)</f>
        <v>120138</v>
      </c>
      <c r="BH34" s="670">
        <f>SUM(BH19:BH33)</f>
        <v>125171</v>
      </c>
      <c r="BI34" s="671">
        <f>SUM(BI19:BI33)</f>
        <v>105485</v>
      </c>
      <c r="BJ34" s="671">
        <f>SUM(BJ19:BJ33)</f>
        <v>67435</v>
      </c>
      <c r="BK34" s="637">
        <v>154490</v>
      </c>
      <c r="BL34" s="575"/>
      <c r="BN34" s="575"/>
      <c r="BO34" s="575"/>
      <c r="BP34" s="575"/>
      <c r="BQ34" s="575"/>
    </row>
    <row r="35" spans="1:69" s="675" customFormat="1" ht="24.95" customHeight="1" thickBot="1" x14ac:dyDescent="0.25">
      <c r="A35" s="3167" t="s">
        <v>183</v>
      </c>
      <c r="B35" s="3168"/>
      <c r="C35" s="633">
        <f t="shared" si="10"/>
        <v>-12376</v>
      </c>
      <c r="D35" s="634">
        <f>IF(OR((C35/M35)&gt;3,(C35/M35)&lt;-3),"n.m.",(C35/M35))</f>
        <v>-0.51446624542733621</v>
      </c>
      <c r="E35" s="624"/>
      <c r="F35" s="823"/>
      <c r="G35" s="823"/>
      <c r="H35" s="823"/>
      <c r="I35" s="822">
        <f t="shared" ref="I35:S35" si="13">I15-I34</f>
        <v>11680</v>
      </c>
      <c r="J35" s="823">
        <f t="shared" si="13"/>
        <v>2551</v>
      </c>
      <c r="K35" s="823">
        <f t="shared" si="13"/>
        <v>-3887</v>
      </c>
      <c r="L35" s="823">
        <f t="shared" si="13"/>
        <v>20409</v>
      </c>
      <c r="M35" s="822">
        <f t="shared" si="13"/>
        <v>24056</v>
      </c>
      <c r="N35" s="823">
        <f t="shared" si="13"/>
        <v>24977</v>
      </c>
      <c r="O35" s="823">
        <f t="shared" si="13"/>
        <v>11400</v>
      </c>
      <c r="P35" s="823">
        <f t="shared" si="13"/>
        <v>2009</v>
      </c>
      <c r="Q35" s="822">
        <f t="shared" si="13"/>
        <v>13512</v>
      </c>
      <c r="R35" s="823">
        <f t="shared" si="13"/>
        <v>20478</v>
      </c>
      <c r="S35" s="823">
        <f t="shared" si="13"/>
        <v>25333</v>
      </c>
      <c r="T35" s="823">
        <v>-396</v>
      </c>
      <c r="U35" s="822">
        <v>4004</v>
      </c>
      <c r="V35" s="823">
        <v>12045</v>
      </c>
      <c r="W35" s="823">
        <v>13799</v>
      </c>
      <c r="X35" s="823">
        <v>5396</v>
      </c>
      <c r="Y35" s="822" t="e">
        <f t="shared" ref="Y35:AL35" si="14">Y15-Y34</f>
        <v>#REF!</v>
      </c>
      <c r="Z35" s="823">
        <f t="shared" si="14"/>
        <v>38361</v>
      </c>
      <c r="AA35" s="823">
        <f t="shared" si="14"/>
        <v>47461</v>
      </c>
      <c r="AB35" s="779">
        <f t="shared" si="14"/>
        <v>15492</v>
      </c>
      <c r="AC35" s="822">
        <f t="shared" si="14"/>
        <v>8917</v>
      </c>
      <c r="AD35" s="779">
        <f t="shared" si="14"/>
        <v>5113</v>
      </c>
      <c r="AE35" s="823">
        <f t="shared" si="14"/>
        <v>20118</v>
      </c>
      <c r="AF35" s="779">
        <f>AF15-AF34</f>
        <v>7834</v>
      </c>
      <c r="AG35" s="822">
        <f t="shared" si="14"/>
        <v>7867</v>
      </c>
      <c r="AH35" s="823">
        <f t="shared" si="14"/>
        <v>9250</v>
      </c>
      <c r="AI35" s="823">
        <f t="shared" si="14"/>
        <v>-8958</v>
      </c>
      <c r="AJ35" s="823">
        <f t="shared" si="14"/>
        <v>2822</v>
      </c>
      <c r="AK35" s="822">
        <f t="shared" si="14"/>
        <v>6781</v>
      </c>
      <c r="AL35" s="823">
        <f t="shared" si="14"/>
        <v>7797</v>
      </c>
      <c r="AM35" s="814">
        <v>22134</v>
      </c>
      <c r="AN35" s="813">
        <v>14943</v>
      </c>
      <c r="AO35" s="814">
        <v>48674</v>
      </c>
      <c r="AP35" s="814">
        <v>29246</v>
      </c>
      <c r="AQ35" s="814">
        <v>26110</v>
      </c>
      <c r="AR35" s="814">
        <v>22330</v>
      </c>
      <c r="AS35" s="814">
        <v>33584</v>
      </c>
      <c r="AT35" s="800"/>
      <c r="AU35" s="823">
        <f>AU15-AU34</f>
        <v>40578</v>
      </c>
      <c r="AV35" s="823">
        <f>AV15-AV34</f>
        <v>26921</v>
      </c>
      <c r="AW35" s="834">
        <f t="shared" si="12"/>
        <v>-8769</v>
      </c>
      <c r="AX35" s="634">
        <f>IF(OR((AW35/BA35)&gt;3,(AW35/BA35)&lt;-3),"n.m.",(AW35/BA35))</f>
        <v>-0.16896604878800725</v>
      </c>
      <c r="AY35" s="618"/>
      <c r="AZ35" s="636">
        <f>AZ15-AZ34</f>
        <v>43129</v>
      </c>
      <c r="BA35" s="636">
        <f>BA15-BA34</f>
        <v>51898</v>
      </c>
      <c r="BB35" s="636">
        <f>BB15-BB34</f>
        <v>37141</v>
      </c>
      <c r="BC35" s="636">
        <f>BC15-BC34</f>
        <v>42618</v>
      </c>
      <c r="BD35" s="636">
        <f>BD15-BD34</f>
        <v>133750</v>
      </c>
      <c r="BE35" s="636">
        <v>47930</v>
      </c>
      <c r="BF35" s="636">
        <v>11596</v>
      </c>
      <c r="BG35" s="672">
        <f>BG15-BG34</f>
        <v>56517</v>
      </c>
      <c r="BH35" s="672">
        <f>BH15-BH34</f>
        <v>62391</v>
      </c>
      <c r="BI35" s="637">
        <f>BI15-BI34</f>
        <v>44985</v>
      </c>
      <c r="BJ35" s="637">
        <f>BJ15-BJ34</f>
        <v>28124</v>
      </c>
      <c r="BK35" s="673">
        <v>57268</v>
      </c>
      <c r="BL35" s="674"/>
      <c r="BN35" s="674"/>
      <c r="BO35" s="674"/>
      <c r="BP35" s="674"/>
      <c r="BQ35" s="674"/>
    </row>
    <row r="36" spans="1:69" s="137" customFormat="1" ht="12.75" hidden="1" customHeight="1" outlineLevel="1" thickTop="1" x14ac:dyDescent="0.2">
      <c r="A36" s="543"/>
      <c r="B36" s="547" t="s">
        <v>322</v>
      </c>
      <c r="C36" s="312" t="e">
        <f t="shared" si="10"/>
        <v>#REF!</v>
      </c>
      <c r="D36" s="353" t="e">
        <f>IF(OR((C36/M36)&gt;3,(C36/M36)&lt;-3),"n.m.",(C36/M36))</f>
        <v>#REF!</v>
      </c>
      <c r="E36" s="497"/>
      <c r="F36" s="161"/>
      <c r="G36" s="500"/>
      <c r="H36" s="500"/>
      <c r="I36" s="501" t="e">
        <f>+'6 Capital Markets Canada'!#REF!+'7 CG - US'!V37</f>
        <v>#REF!</v>
      </c>
      <c r="J36" s="557" t="e">
        <f>'6 Capital Markets Canada'!#REF!+'7 CG - US'!#REF!</f>
        <v>#REF!</v>
      </c>
      <c r="K36" s="500">
        <v>3336</v>
      </c>
      <c r="L36" s="500">
        <v>3885</v>
      </c>
      <c r="M36" s="501">
        <v>3376</v>
      </c>
      <c r="N36" s="161">
        <f>3857+1110</f>
        <v>4967</v>
      </c>
      <c r="O36" s="161">
        <v>3970</v>
      </c>
      <c r="P36" s="500">
        <v>3306</v>
      </c>
      <c r="Q36" s="501">
        <v>3095</v>
      </c>
      <c r="R36" s="490">
        <v>2855</v>
      </c>
      <c r="S36" s="500">
        <v>3118</v>
      </c>
      <c r="T36" s="504">
        <v>3107</v>
      </c>
      <c r="U36" s="503">
        <v>3192</v>
      </c>
      <c r="V36" s="504">
        <v>3575</v>
      </c>
      <c r="W36" s="504">
        <v>3056</v>
      </c>
      <c r="X36" s="504">
        <v>3566</v>
      </c>
      <c r="Y36" s="501">
        <v>3326</v>
      </c>
      <c r="Z36" s="500"/>
      <c r="AA36" s="500"/>
      <c r="AB36" s="500"/>
      <c r="AC36" s="501"/>
      <c r="AD36" s="500"/>
      <c r="AE36" s="500"/>
      <c r="AF36" s="500"/>
      <c r="AG36" s="501"/>
      <c r="AH36" s="544"/>
      <c r="AI36" s="315"/>
      <c r="AJ36" s="315"/>
      <c r="AK36" s="316"/>
      <c r="AL36" s="315"/>
      <c r="AM36" s="500"/>
      <c r="AN36" s="501"/>
      <c r="AO36" s="500"/>
      <c r="AP36" s="500"/>
      <c r="AQ36" s="500"/>
      <c r="AR36" s="500"/>
      <c r="AS36" s="500"/>
      <c r="AT36" s="170"/>
      <c r="AU36" s="280">
        <f>+SUM(K36:M36)</f>
        <v>10597</v>
      </c>
      <c r="AV36" s="500">
        <f>U36+T36</f>
        <v>6299</v>
      </c>
      <c r="AW36" s="507" t="e">
        <f t="shared" si="12"/>
        <v>#REF!</v>
      </c>
      <c r="AX36" s="498" t="e">
        <f>IF(OR((AW36/BA36)&gt;3,(AW36/BA36)&lt;-3),"n.m.",(AW36/BA36))</f>
        <v>#REF!</v>
      </c>
      <c r="AY36" s="169"/>
      <c r="AZ36" s="833" t="e">
        <f>+'6 Capital Markets Canada'!#REF!+'7 CG - US'!BQ37</f>
        <v>#REF!</v>
      </c>
      <c r="BA36" s="558">
        <f>+SUM(N36:Q36)</f>
        <v>15338</v>
      </c>
      <c r="BB36" s="506"/>
      <c r="BC36" s="506"/>
      <c r="BD36" s="506"/>
      <c r="BE36" s="506">
        <v>9597</v>
      </c>
      <c r="BF36" s="316" t="s">
        <v>181</v>
      </c>
      <c r="BG36" s="539"/>
      <c r="BH36" s="539"/>
      <c r="BI36" s="540"/>
      <c r="BJ36" s="540"/>
      <c r="BK36" s="180"/>
      <c r="BL36" s="328"/>
      <c r="BM36" s="328"/>
      <c r="BN36" s="328"/>
      <c r="BO36" s="328"/>
    </row>
    <row r="37" spans="1:69" s="137" customFormat="1" ht="12.75" hidden="1" customHeight="1" outlineLevel="1" x14ac:dyDescent="0.2">
      <c r="A37" s="543"/>
      <c r="B37" s="547" t="s">
        <v>323</v>
      </c>
      <c r="C37" s="459" t="e">
        <f t="shared" si="10"/>
        <v>#REF!</v>
      </c>
      <c r="D37" s="498" t="s">
        <v>41</v>
      </c>
      <c r="E37" s="497"/>
      <c r="F37" s="500"/>
      <c r="G37" s="504"/>
      <c r="H37" s="504"/>
      <c r="I37" s="503" t="e">
        <f>+'6 Capital Markets Canada'!#REF!</f>
        <v>#REF!</v>
      </c>
      <c r="J37" s="504" t="e">
        <f>'6 Capital Markets Canada'!#REF!</f>
        <v>#REF!</v>
      </c>
      <c r="K37" s="504">
        <v>-765</v>
      </c>
      <c r="L37" s="504">
        <v>-479</v>
      </c>
      <c r="M37" s="503">
        <v>-660</v>
      </c>
      <c r="N37" s="504">
        <f>-540-784</f>
        <v>-1324</v>
      </c>
      <c r="O37" s="504">
        <v>-653</v>
      </c>
      <c r="P37" s="504">
        <v>-984</v>
      </c>
      <c r="Q37" s="503">
        <v>-123</v>
      </c>
      <c r="R37" s="523">
        <v>0</v>
      </c>
      <c r="S37" s="523">
        <v>0</v>
      </c>
      <c r="T37" s="523">
        <v>0</v>
      </c>
      <c r="U37" s="524">
        <v>0</v>
      </c>
      <c r="V37" s="523">
        <v>0</v>
      </c>
      <c r="W37" s="523">
        <v>0</v>
      </c>
      <c r="X37" s="523">
        <v>0</v>
      </c>
      <c r="Y37" s="524">
        <v>0</v>
      </c>
      <c r="Z37" s="523"/>
      <c r="AA37" s="500"/>
      <c r="AB37" s="500"/>
      <c r="AC37" s="501"/>
      <c r="AD37" s="500"/>
      <c r="AE37" s="500"/>
      <c r="AF37" s="500"/>
      <c r="AG37" s="501"/>
      <c r="AH37" s="315"/>
      <c r="AI37" s="315"/>
      <c r="AJ37" s="315"/>
      <c r="AK37" s="316"/>
      <c r="AL37" s="315"/>
      <c r="AM37" s="500"/>
      <c r="AN37" s="501"/>
      <c r="AO37" s="500"/>
      <c r="AP37" s="500"/>
      <c r="AQ37" s="500"/>
      <c r="AR37" s="500"/>
      <c r="AS37" s="500"/>
      <c r="AT37" s="170"/>
      <c r="AU37" s="280">
        <f>+SUM(K37:M37)</f>
        <v>-1904</v>
      </c>
      <c r="AV37" s="363">
        <f>U37+T37</f>
        <v>0</v>
      </c>
      <c r="AW37" s="507" t="e">
        <f t="shared" si="12"/>
        <v>#REF!</v>
      </c>
      <c r="AX37" s="498" t="s">
        <v>41</v>
      </c>
      <c r="AY37" s="131"/>
      <c r="AZ37" s="346" t="e">
        <f>+'6 Capital Markets Canada'!#REF!</f>
        <v>#REF!</v>
      </c>
      <c r="BA37" s="506">
        <f>+SUM(N37:Q37)</f>
        <v>-3084</v>
      </c>
      <c r="BB37" s="506"/>
      <c r="BC37" s="506"/>
      <c r="BD37" s="506"/>
      <c r="BE37" s="506">
        <v>0</v>
      </c>
      <c r="BF37" s="316" t="s">
        <v>181</v>
      </c>
      <c r="BG37" s="316"/>
      <c r="BH37" s="316"/>
      <c r="BI37" s="330"/>
      <c r="BJ37" s="330"/>
      <c r="BK37" s="180"/>
      <c r="BL37" s="328"/>
      <c r="BM37" s="328"/>
      <c r="BN37" s="328"/>
      <c r="BO37" s="328"/>
    </row>
    <row r="38" spans="1:69" s="137" customFormat="1" ht="12.75" hidden="1" customHeight="1" outlineLevel="1" x14ac:dyDescent="0.2">
      <c r="A38" s="543"/>
      <c r="B38" s="547" t="s">
        <v>324</v>
      </c>
      <c r="C38" s="459" t="e">
        <f t="shared" si="10"/>
        <v>#REF!</v>
      </c>
      <c r="D38" s="353" t="e">
        <f>-IF(OR((C38/M38)&gt;3,(C38/M38)&lt;-3),"n.m.",(C38/M38))</f>
        <v>#REF!</v>
      </c>
      <c r="E38" s="497"/>
      <c r="F38" s="500"/>
      <c r="G38" s="504"/>
      <c r="H38" s="504"/>
      <c r="I38" s="503" t="e">
        <f>+'6 Capital Markets Canada'!#REF!</f>
        <v>#REF!</v>
      </c>
      <c r="J38" s="504" t="e">
        <f>'6 Capital Markets Canada'!#REF!</f>
        <v>#REF!</v>
      </c>
      <c r="K38" s="504">
        <v>-588</v>
      </c>
      <c r="L38" s="504">
        <v>-561</v>
      </c>
      <c r="M38" s="503">
        <v>-550</v>
      </c>
      <c r="N38" s="504">
        <v>-613</v>
      </c>
      <c r="O38" s="504">
        <v>-561</v>
      </c>
      <c r="P38" s="504">
        <v>-550</v>
      </c>
      <c r="Q38" s="503">
        <v>-611</v>
      </c>
      <c r="R38" s="346">
        <v>-1374</v>
      </c>
      <c r="S38" s="504">
        <v>-1280</v>
      </c>
      <c r="T38" s="504">
        <v>-1398</v>
      </c>
      <c r="U38" s="503">
        <v>-1138</v>
      </c>
      <c r="V38" s="504">
        <v>-1366</v>
      </c>
      <c r="W38" s="504">
        <v>-1279</v>
      </c>
      <c r="X38" s="504">
        <v>-1344</v>
      </c>
      <c r="Y38" s="501">
        <v>-1206</v>
      </c>
      <c r="Z38" s="500"/>
      <c r="AA38" s="500"/>
      <c r="AB38" s="500"/>
      <c r="AC38" s="501"/>
      <c r="AD38" s="500"/>
      <c r="AE38" s="500"/>
      <c r="AF38" s="500"/>
      <c r="AG38" s="501"/>
      <c r="AH38" s="544"/>
      <c r="AI38" s="315"/>
      <c r="AJ38" s="315"/>
      <c r="AK38" s="316"/>
      <c r="AL38" s="315"/>
      <c r="AM38" s="500"/>
      <c r="AN38" s="501"/>
      <c r="AO38" s="500"/>
      <c r="AP38" s="500"/>
      <c r="AQ38" s="500"/>
      <c r="AR38" s="500"/>
      <c r="AS38" s="500"/>
      <c r="AT38" s="170"/>
      <c r="AU38" s="280">
        <f>+SUM(K38:M38)</f>
        <v>-1699</v>
      </c>
      <c r="AV38" s="504">
        <f>U38+T38</f>
        <v>-2536</v>
      </c>
      <c r="AW38" s="507" t="e">
        <f t="shared" si="12"/>
        <v>#REF!</v>
      </c>
      <c r="AX38" s="498" t="e">
        <f>IF(OR((AW38/BA38)&gt;3,(AW38/BA38)&lt;-3),"n.m.",(AW38/BA38))</f>
        <v>#REF!</v>
      </c>
      <c r="AY38" s="169"/>
      <c r="AZ38" s="346" t="e">
        <f>+'6 Capital Markets Canada'!#REF!</f>
        <v>#REF!</v>
      </c>
      <c r="BA38" s="506">
        <f>+SUM(N38:Q38)</f>
        <v>-2335</v>
      </c>
      <c r="BB38" s="506"/>
      <c r="BC38" s="506"/>
      <c r="BD38" s="506"/>
      <c r="BE38" s="506">
        <v>-3141</v>
      </c>
      <c r="BF38" s="316" t="s">
        <v>181</v>
      </c>
      <c r="BG38" s="316"/>
      <c r="BH38" s="316"/>
      <c r="BI38" s="330"/>
      <c r="BJ38" s="330"/>
      <c r="BK38" s="180"/>
      <c r="BL38" s="328"/>
      <c r="BM38" s="328"/>
      <c r="BN38" s="328"/>
      <c r="BO38" s="328"/>
    </row>
    <row r="39" spans="1:69" s="137" customFormat="1" ht="12.75" hidden="1" customHeight="1" outlineLevel="1" x14ac:dyDescent="0.2">
      <c r="A39" s="543"/>
      <c r="B39" s="547" t="s">
        <v>325</v>
      </c>
      <c r="C39" s="267" t="e">
        <f t="shared" si="10"/>
        <v>#REF!</v>
      </c>
      <c r="D39" s="810">
        <v>0</v>
      </c>
      <c r="E39" s="497"/>
      <c r="F39" s="840"/>
      <c r="G39" s="841"/>
      <c r="H39" s="841"/>
      <c r="I39" s="842" t="e">
        <f>+'6 Capital Markets Canada'!#REF!</f>
        <v>#REF!</v>
      </c>
      <c r="J39" s="840"/>
      <c r="K39" s="841">
        <v>0</v>
      </c>
      <c r="L39" s="841">
        <v>0</v>
      </c>
      <c r="M39" s="842">
        <v>0</v>
      </c>
      <c r="N39" s="840">
        <v>0</v>
      </c>
      <c r="O39" s="840">
        <v>0</v>
      </c>
      <c r="P39" s="841">
        <v>0</v>
      </c>
      <c r="Q39" s="842">
        <v>0</v>
      </c>
      <c r="R39" s="777">
        <v>800</v>
      </c>
      <c r="S39" s="527">
        <v>753</v>
      </c>
      <c r="T39" s="527">
        <v>809</v>
      </c>
      <c r="U39" s="559">
        <v>860</v>
      </c>
      <c r="V39" s="527">
        <v>898</v>
      </c>
      <c r="W39" s="527">
        <v>838</v>
      </c>
      <c r="X39" s="527">
        <v>882</v>
      </c>
      <c r="Y39" s="501">
        <v>921</v>
      </c>
      <c r="Z39" s="500"/>
      <c r="AA39" s="500"/>
      <c r="AB39" s="500"/>
      <c r="AC39" s="501"/>
      <c r="AD39" s="500"/>
      <c r="AE39" s="500"/>
      <c r="AF39" s="500"/>
      <c r="AG39" s="501"/>
      <c r="AH39" s="544"/>
      <c r="AI39" s="315"/>
      <c r="AJ39" s="315"/>
      <c r="AK39" s="316"/>
      <c r="AL39" s="315"/>
      <c r="AM39" s="500"/>
      <c r="AN39" s="501"/>
      <c r="AO39" s="500"/>
      <c r="AP39" s="500"/>
      <c r="AQ39" s="500"/>
      <c r="AR39" s="500"/>
      <c r="AS39" s="500"/>
      <c r="AT39" s="170"/>
      <c r="AU39" s="280">
        <f>+SUM(K39:M39)</f>
        <v>0</v>
      </c>
      <c r="AV39" s="166">
        <f>U39+T39</f>
        <v>1669</v>
      </c>
      <c r="AW39" s="100" t="e">
        <f t="shared" si="12"/>
        <v>#REF!</v>
      </c>
      <c r="AX39" s="92" t="e">
        <f>IF(OR((AW39/BA39)&gt;3,(AW39/BA39)&lt;-3),"n.m.",(AW39/BA39))</f>
        <v>#REF!</v>
      </c>
      <c r="AY39" s="131"/>
      <c r="AZ39" s="665" t="e">
        <f>+'6 Capital Markets Canada'!#REF!</f>
        <v>#REF!</v>
      </c>
      <c r="BA39" s="853">
        <f>+SUM(N39:Q39)</f>
        <v>0</v>
      </c>
      <c r="BB39" s="134"/>
      <c r="BC39" s="134"/>
      <c r="BD39" s="134"/>
      <c r="BE39" s="134">
        <v>3117</v>
      </c>
      <c r="BF39" s="545" t="s">
        <v>181</v>
      </c>
      <c r="BG39" s="545"/>
      <c r="BH39" s="545"/>
      <c r="BI39" s="546"/>
      <c r="BJ39" s="546"/>
      <c r="BK39" s="180"/>
      <c r="BL39" s="328"/>
      <c r="BM39" s="328"/>
      <c r="BN39" s="328"/>
      <c r="BO39" s="328"/>
    </row>
    <row r="40" spans="1:69" s="675" customFormat="1" ht="12.75" customHeight="1" collapsed="1" thickTop="1" x14ac:dyDescent="0.2">
      <c r="A40" s="854"/>
      <c r="B40" s="676" t="s">
        <v>336</v>
      </c>
      <c r="C40" s="646" t="e">
        <f t="shared" si="10"/>
        <v>#REF!</v>
      </c>
      <c r="D40" s="656" t="e">
        <f>IF(OR((C40/M40)&gt;3,(C40/M40)&lt;-3),"n.m.",(C40/M40))</f>
        <v>#REF!</v>
      </c>
      <c r="E40" s="624"/>
      <c r="F40" s="804"/>
      <c r="G40" s="804"/>
      <c r="H40" s="804"/>
      <c r="I40" s="822" t="e">
        <f>SUM(I36:I39)</f>
        <v>#REF!</v>
      </c>
      <c r="J40" s="804">
        <f>+'6 Capital Markets Canada'!W37+'7 CG - US'!W37</f>
        <v>3266</v>
      </c>
      <c r="K40" s="804">
        <f>+'6 Capital Markets Canada'!X37+'7 CG - US'!X37</f>
        <v>2735</v>
      </c>
      <c r="L40" s="804">
        <f>+'6 Capital Markets Canada'!Y37+'7 CG - US'!Y37</f>
        <v>3597</v>
      </c>
      <c r="M40" s="822">
        <f>+'6 Capital Markets Canada'!Z37+'7 CG - US'!Z37</f>
        <v>2914</v>
      </c>
      <c r="N40" s="804">
        <f>+'6 Capital Markets Canada'!AA37+'7 CG - US'!AA37</f>
        <v>3779</v>
      </c>
      <c r="O40" s="804">
        <f>+'6 Capital Markets Canada'!AB37+'7 CG - US'!AB37</f>
        <v>3432</v>
      </c>
      <c r="P40" s="804">
        <f>+'6 Capital Markets Canada'!AC37+'7 CG - US'!AC37</f>
        <v>2523</v>
      </c>
      <c r="Q40" s="804">
        <f>+'6 Capital Markets Canada'!AD37+'7 CG - US'!AD37</f>
        <v>2886</v>
      </c>
      <c r="R40" s="804">
        <f>+'6 Capital Markets Canada'!AE37+'7 CG - US'!AE37</f>
        <v>2279</v>
      </c>
      <c r="S40" s="804">
        <f>+'6 Capital Markets Canada'!AF37+'7 CG - US'!AF37</f>
        <v>2591</v>
      </c>
      <c r="T40" s="804">
        <v>2518</v>
      </c>
      <c r="U40" s="788">
        <v>2914</v>
      </c>
      <c r="V40" s="779">
        <v>3107</v>
      </c>
      <c r="W40" s="779">
        <v>2615</v>
      </c>
      <c r="X40" s="804">
        <v>3104</v>
      </c>
      <c r="Y40" s="788">
        <f>+'5 Canaccord Genuity '!AL61</f>
        <v>0</v>
      </c>
      <c r="Z40" s="823">
        <v>1560</v>
      </c>
      <c r="AA40" s="779">
        <v>1796</v>
      </c>
      <c r="AB40" s="823">
        <v>1873</v>
      </c>
      <c r="AC40" s="788">
        <v>1741</v>
      </c>
      <c r="AD40" s="823">
        <v>1757</v>
      </c>
      <c r="AE40" s="779">
        <v>1483</v>
      </c>
      <c r="AF40" s="823">
        <v>1374</v>
      </c>
      <c r="AG40" s="788">
        <v>1459</v>
      </c>
      <c r="AH40" s="779">
        <v>2224</v>
      </c>
      <c r="AI40" s="779">
        <v>671</v>
      </c>
      <c r="AJ40" s="779">
        <v>2365</v>
      </c>
      <c r="AK40" s="788">
        <v>1384</v>
      </c>
      <c r="AL40" s="779">
        <v>889</v>
      </c>
      <c r="AM40" s="824" t="s">
        <v>181</v>
      </c>
      <c r="AN40" s="825" t="s">
        <v>181</v>
      </c>
      <c r="AO40" s="824"/>
      <c r="AP40" s="824"/>
      <c r="AQ40" s="824"/>
      <c r="AR40" s="824"/>
      <c r="AS40" s="824"/>
      <c r="AT40" s="875"/>
      <c r="AU40" s="823">
        <f>SUM(K40:M40)</f>
        <v>9246</v>
      </c>
      <c r="AV40" s="823">
        <f>SUM(O40:Q40)</f>
        <v>8841</v>
      </c>
      <c r="AW40" s="504">
        <f t="shared" si="12"/>
        <v>-108</v>
      </c>
      <c r="AX40" s="656">
        <f>IF(OR((AW40/BA40)&gt;3,(AW40/BA40)&lt;-3),"n.m.",(AW40/BA40))</f>
        <v>-8.5578446909667198E-3</v>
      </c>
      <c r="AY40" s="677"/>
      <c r="AZ40" s="632">
        <f>+SUM(J40:M40)</f>
        <v>12512</v>
      </c>
      <c r="BA40" s="632">
        <f>+SUM(N40:Q40)</f>
        <v>12620</v>
      </c>
      <c r="BB40" s="632">
        <f>+'6 Capital Markets Canada'!BS37+'7 CG - US'!BS37</f>
        <v>10302</v>
      </c>
      <c r="BC40" s="632">
        <f>+'6 Capital Markets Canada'!BT37+'7 CG - US'!BT37</f>
        <v>11867</v>
      </c>
      <c r="BD40" s="632">
        <f>+'6 Capital Markets Canada'!BU37+'7 CG - US'!BU37</f>
        <v>10903</v>
      </c>
      <c r="BE40" s="632">
        <v>9573</v>
      </c>
      <c r="BF40" s="809" t="s">
        <v>181</v>
      </c>
      <c r="BG40" s="645">
        <v>2661</v>
      </c>
      <c r="BH40" s="645">
        <v>2823</v>
      </c>
      <c r="BI40" s="678">
        <v>2501</v>
      </c>
      <c r="BJ40" s="642">
        <v>3033</v>
      </c>
      <c r="BK40" s="653"/>
      <c r="BL40" s="674"/>
      <c r="BN40" s="674"/>
      <c r="BO40" s="674"/>
      <c r="BP40" s="674"/>
      <c r="BQ40" s="674"/>
    </row>
    <row r="41" spans="1:69" s="675" customFormat="1" ht="13.5" thickBot="1" x14ac:dyDescent="0.25">
      <c r="A41" s="3167" t="s">
        <v>72</v>
      </c>
      <c r="B41" s="3169"/>
      <c r="C41" s="679" t="e">
        <f t="shared" si="10"/>
        <v>#REF!</v>
      </c>
      <c r="D41" s="780" t="e">
        <f>IF(OR((C41/M41)&gt;3,(C41/M41)&lt;-3),"n.m.",(C41/M41))</f>
        <v>#REF!</v>
      </c>
      <c r="E41" s="624"/>
      <c r="F41" s="826"/>
      <c r="G41" s="826"/>
      <c r="H41" s="826"/>
      <c r="I41" s="827" t="e">
        <f>I35-I40</f>
        <v>#REF!</v>
      </c>
      <c r="J41" s="826">
        <f t="shared" ref="J41:S41" si="15">J35-J40</f>
        <v>-715</v>
      </c>
      <c r="K41" s="826">
        <f t="shared" si="15"/>
        <v>-6622</v>
      </c>
      <c r="L41" s="826">
        <f t="shared" si="15"/>
        <v>16812</v>
      </c>
      <c r="M41" s="827">
        <f t="shared" si="15"/>
        <v>21142</v>
      </c>
      <c r="N41" s="826">
        <f t="shared" si="15"/>
        <v>21198</v>
      </c>
      <c r="O41" s="826">
        <f t="shared" si="15"/>
        <v>7968</v>
      </c>
      <c r="P41" s="826">
        <f t="shared" si="15"/>
        <v>-514</v>
      </c>
      <c r="Q41" s="827">
        <f t="shared" si="15"/>
        <v>10626</v>
      </c>
      <c r="R41" s="826">
        <f t="shared" si="15"/>
        <v>18199</v>
      </c>
      <c r="S41" s="826">
        <f t="shared" si="15"/>
        <v>22742</v>
      </c>
      <c r="T41" s="826">
        <v>-2914</v>
      </c>
      <c r="U41" s="827">
        <v>1090</v>
      </c>
      <c r="V41" s="826">
        <v>8938</v>
      </c>
      <c r="W41" s="826">
        <v>11184</v>
      </c>
      <c r="X41" s="826">
        <v>2292</v>
      </c>
      <c r="Y41" s="827" t="e">
        <f t="shared" ref="Y41:AL41" si="16">Y35-Y40</f>
        <v>#REF!</v>
      </c>
      <c r="Z41" s="826">
        <f t="shared" si="16"/>
        <v>36801</v>
      </c>
      <c r="AA41" s="826">
        <f t="shared" si="16"/>
        <v>45665</v>
      </c>
      <c r="AB41" s="826">
        <f t="shared" si="16"/>
        <v>13619</v>
      </c>
      <c r="AC41" s="827">
        <f t="shared" si="16"/>
        <v>7176</v>
      </c>
      <c r="AD41" s="826">
        <f t="shared" si="16"/>
        <v>3356</v>
      </c>
      <c r="AE41" s="826">
        <f t="shared" si="16"/>
        <v>18635</v>
      </c>
      <c r="AF41" s="826">
        <f t="shared" si="16"/>
        <v>6460</v>
      </c>
      <c r="AG41" s="827">
        <f t="shared" si="16"/>
        <v>6408</v>
      </c>
      <c r="AH41" s="826">
        <f t="shared" si="16"/>
        <v>7026</v>
      </c>
      <c r="AI41" s="826">
        <f t="shared" si="16"/>
        <v>-9629</v>
      </c>
      <c r="AJ41" s="826">
        <f t="shared" si="16"/>
        <v>457</v>
      </c>
      <c r="AK41" s="827">
        <f t="shared" si="16"/>
        <v>5397</v>
      </c>
      <c r="AL41" s="826">
        <f t="shared" si="16"/>
        <v>6908</v>
      </c>
      <c r="AM41" s="828" t="s">
        <v>181</v>
      </c>
      <c r="AN41" s="829" t="s">
        <v>181</v>
      </c>
      <c r="AO41" s="828"/>
      <c r="AP41" s="828"/>
      <c r="AQ41" s="828"/>
      <c r="AR41" s="828"/>
      <c r="AS41" s="828"/>
      <c r="AT41" s="875"/>
      <c r="AU41" s="826">
        <f>AU35-AU40</f>
        <v>31332</v>
      </c>
      <c r="AV41" s="826">
        <f>AV35-AV40</f>
        <v>18080</v>
      </c>
      <c r="AW41" s="438">
        <f t="shared" si="12"/>
        <v>-8661</v>
      </c>
      <c r="AX41" s="780">
        <f>IF(OR((AW41/BA41)&gt;3,(AW41/BA41)&lt;-3),"n.m.",(AW41/BA41))</f>
        <v>-0.22050511736850145</v>
      </c>
      <c r="AY41" s="677"/>
      <c r="AZ41" s="681">
        <f>AZ35-AZ40</f>
        <v>30617</v>
      </c>
      <c r="BA41" s="681">
        <f>BA35-BA40</f>
        <v>39278</v>
      </c>
      <c r="BB41" s="681">
        <f>BB35-BB40</f>
        <v>26839</v>
      </c>
      <c r="BC41" s="681">
        <f>BC35-BC40</f>
        <v>30751</v>
      </c>
      <c r="BD41" s="681">
        <f>BD35-BD40</f>
        <v>122847</v>
      </c>
      <c r="BE41" s="681">
        <v>38357</v>
      </c>
      <c r="BF41" s="681">
        <v>11596</v>
      </c>
      <c r="BG41" s="680">
        <f>BG35-BG40</f>
        <v>53856</v>
      </c>
      <c r="BH41" s="680">
        <f>BH35-BH40</f>
        <v>59568</v>
      </c>
      <c r="BI41" s="682">
        <f>BI35-BI40</f>
        <v>42484</v>
      </c>
      <c r="BJ41" s="637">
        <f>BJ35-BJ40</f>
        <v>25091</v>
      </c>
      <c r="BK41" s="653"/>
      <c r="BL41" s="674"/>
      <c r="BN41" s="674"/>
      <c r="BO41" s="674"/>
      <c r="BP41" s="674"/>
      <c r="BQ41" s="674"/>
    </row>
    <row r="42" spans="1:69" ht="12.75" customHeight="1" thickTop="1" x14ac:dyDescent="0.2">
      <c r="A42" s="664"/>
      <c r="B42" s="664"/>
      <c r="C42" s="653"/>
      <c r="D42" s="683"/>
      <c r="E42" s="683"/>
      <c r="F42" s="683"/>
      <c r="G42" s="684"/>
      <c r="H42" s="684"/>
      <c r="I42" s="618"/>
      <c r="J42" s="683"/>
      <c r="K42" s="684"/>
      <c r="L42" s="684"/>
      <c r="M42" s="618"/>
      <c r="N42" s="683"/>
      <c r="O42" s="684"/>
      <c r="P42" s="684"/>
      <c r="Q42" s="618"/>
      <c r="R42" s="683"/>
      <c r="S42" s="684"/>
      <c r="T42" s="684"/>
      <c r="U42" s="618"/>
      <c r="V42" s="683"/>
      <c r="W42" s="683"/>
      <c r="X42" s="684"/>
      <c r="Y42" s="618"/>
      <c r="Z42" s="683"/>
      <c r="AA42" s="683"/>
      <c r="AB42" s="683"/>
      <c r="AC42" s="618"/>
      <c r="AD42" s="683"/>
      <c r="AE42" s="683"/>
      <c r="AF42" s="683"/>
      <c r="AG42" s="618"/>
      <c r="AH42" s="683"/>
      <c r="AI42" s="683"/>
      <c r="AJ42" s="683"/>
      <c r="AK42" s="618"/>
      <c r="AL42" s="619"/>
      <c r="AM42" s="619"/>
      <c r="AN42" s="619"/>
      <c r="AO42" s="619"/>
      <c r="AP42" s="685"/>
      <c r="AQ42" s="685"/>
      <c r="AR42" s="685"/>
      <c r="AS42" s="685"/>
      <c r="AT42" s="618"/>
      <c r="AU42" s="618"/>
      <c r="AV42" s="618"/>
      <c r="AW42" s="631"/>
      <c r="AX42" s="683"/>
      <c r="AY42" s="618"/>
      <c r="AZ42" s="618"/>
      <c r="BA42" s="618"/>
      <c r="BB42" s="618"/>
      <c r="BC42" s="618"/>
      <c r="BD42" s="618"/>
      <c r="BE42" s="618"/>
      <c r="BF42" s="618"/>
      <c r="BG42" s="653"/>
      <c r="BH42" s="653"/>
      <c r="BI42" s="653"/>
      <c r="BJ42" s="653"/>
      <c r="BK42" s="653"/>
      <c r="BL42" s="575"/>
      <c r="BN42" s="575"/>
      <c r="BO42" s="575"/>
      <c r="BP42" s="575"/>
      <c r="BQ42" s="575"/>
    </row>
    <row r="43" spans="1:69" ht="12.75" customHeight="1" x14ac:dyDescent="0.2">
      <c r="A43" s="664" t="s">
        <v>294</v>
      </c>
      <c r="B43" s="664"/>
      <c r="C43" s="686">
        <f t="shared" ref="C43:C50" si="17">(I43-M43)*100</f>
        <v>-3.7606786099738554</v>
      </c>
      <c r="D43" s="683"/>
      <c r="E43" s="683"/>
      <c r="F43" s="687"/>
      <c r="G43" s="687"/>
      <c r="H43" s="687"/>
      <c r="I43" s="687">
        <f>+I17/I$15</f>
        <v>0.40932095925306639</v>
      </c>
      <c r="J43" s="687">
        <f t="shared" ref="J43:S44" si="18">+J17/J$15</f>
        <v>0.4584426612726249</v>
      </c>
      <c r="K43" s="687">
        <f t="shared" si="18"/>
        <v>0.42616770998142672</v>
      </c>
      <c r="L43" s="687">
        <f t="shared" si="18"/>
        <v>0.44602977667493798</v>
      </c>
      <c r="M43" s="687">
        <f t="shared" si="18"/>
        <v>0.44692774535280494</v>
      </c>
      <c r="N43" s="687">
        <f t="shared" si="18"/>
        <v>0.4287326161112569</v>
      </c>
      <c r="O43" s="687">
        <f t="shared" si="18"/>
        <v>0.45369170984455959</v>
      </c>
      <c r="P43" s="687">
        <f t="shared" si="18"/>
        <v>0.43712797619047616</v>
      </c>
      <c r="Q43" s="687">
        <f t="shared" si="18"/>
        <v>0.40047523091796444</v>
      </c>
      <c r="R43" s="687">
        <f t="shared" si="18"/>
        <v>0.47230935110762595</v>
      </c>
      <c r="S43" s="687">
        <f t="shared" si="18"/>
        <v>0.44770729056180364</v>
      </c>
      <c r="T43" s="687">
        <v>0.39509098603470166</v>
      </c>
      <c r="U43" s="687">
        <v>0.38086683134965194</v>
      </c>
      <c r="V43" s="687">
        <v>0.42531617046446779</v>
      </c>
      <c r="W43" s="687">
        <v>0.41185767974430121</v>
      </c>
      <c r="X43" s="687">
        <v>0.40003765503283051</v>
      </c>
      <c r="Y43" s="687" t="e">
        <f t="shared" ref="Y43:AB44" si="19">+Y17/Y$15</f>
        <v>#REF!</v>
      </c>
      <c r="Z43" s="687">
        <f t="shared" si="19"/>
        <v>0.48563724162830579</v>
      </c>
      <c r="AA43" s="687">
        <f t="shared" si="19"/>
        <v>0.43493839347738655</v>
      </c>
      <c r="AB43" s="687">
        <f t="shared" si="19"/>
        <v>0.41539602075777915</v>
      </c>
      <c r="AC43" s="687"/>
      <c r="AD43" s="687"/>
      <c r="AE43" s="687"/>
      <c r="AF43" s="687"/>
      <c r="AG43" s="687"/>
      <c r="AH43" s="687"/>
      <c r="AI43" s="687"/>
      <c r="AJ43" s="687"/>
      <c r="AK43" s="687"/>
      <c r="AL43" s="687"/>
      <c r="AM43" s="687"/>
      <c r="AN43" s="687"/>
      <c r="AO43" s="687"/>
      <c r="AP43" s="687"/>
      <c r="AQ43" s="687"/>
      <c r="AR43" s="687"/>
      <c r="AS43" s="687"/>
      <c r="AT43" s="687"/>
      <c r="AU43" s="687">
        <f>+AU17/AU$15</f>
        <v>0.44161849710982659</v>
      </c>
      <c r="AV43" s="687">
        <f>+AV17/AV$15</f>
        <v>0.43049200339890453</v>
      </c>
      <c r="AW43" s="686">
        <f t="shared" ref="AW43:AW50" si="20">(AZ43-BA43)*100</f>
        <v>1.6004080434870616</v>
      </c>
      <c r="AX43" s="683"/>
      <c r="AY43" s="618"/>
      <c r="AZ43" s="687">
        <f t="shared" ref="AZ43:BE44" si="21">+AZ17/AZ$15</f>
        <v>0.44594498438255264</v>
      </c>
      <c r="BA43" s="687">
        <f t="shared" si="21"/>
        <v>0.42994090394768203</v>
      </c>
      <c r="BB43" s="687">
        <f t="shared" si="21"/>
        <v>0.45996835266094854</v>
      </c>
      <c r="BC43" s="687">
        <f t="shared" si="21"/>
        <v>0.45453699902499101</v>
      </c>
      <c r="BD43" s="687">
        <f t="shared" si="21"/>
        <v>0.4532096353141955</v>
      </c>
      <c r="BE43" s="687">
        <f t="shared" si="21"/>
        <v>0.48791255821287188</v>
      </c>
      <c r="BF43" s="687">
        <v>0.51352055352055348</v>
      </c>
      <c r="BG43" s="687">
        <f>+BG17/BG$15</f>
        <v>0.49947071976451274</v>
      </c>
      <c r="BH43" s="653"/>
      <c r="BI43" s="653"/>
      <c r="BJ43" s="653"/>
      <c r="BK43" s="653"/>
      <c r="BL43" s="575"/>
      <c r="BN43" s="575"/>
      <c r="BO43" s="575"/>
      <c r="BP43" s="575"/>
      <c r="BQ43" s="575"/>
    </row>
    <row r="44" spans="1:69" ht="12.75" customHeight="1" x14ac:dyDescent="0.2">
      <c r="A44" s="664" t="s">
        <v>337</v>
      </c>
      <c r="B44" s="664"/>
      <c r="C44" s="686">
        <f t="shared" si="17"/>
        <v>2.553288742430424</v>
      </c>
      <c r="D44" s="683"/>
      <c r="E44" s="683"/>
      <c r="F44" s="687"/>
      <c r="G44" s="687"/>
      <c r="H44" s="687"/>
      <c r="I44" s="687">
        <f>+I18/I$15</f>
        <v>6.9800585786266564E-2</v>
      </c>
      <c r="J44" s="687">
        <f t="shared" si="18"/>
        <v>7.3458833856517219E-2</v>
      </c>
      <c r="K44" s="687">
        <f t="shared" si="18"/>
        <v>8.9468253422301719E-2</v>
      </c>
      <c r="L44" s="687">
        <f t="shared" si="18"/>
        <v>5.3559699313968763E-2</v>
      </c>
      <c r="M44" s="687">
        <f t="shared" si="18"/>
        <v>4.4267698361962322E-2</v>
      </c>
      <c r="N44" s="687">
        <f t="shared" si="18"/>
        <v>4.8394996938686256E-2</v>
      </c>
      <c r="O44" s="687">
        <f t="shared" si="18"/>
        <v>5.5520814722172594E-2</v>
      </c>
      <c r="P44" s="687">
        <f t="shared" si="18"/>
        <v>7.8297725340136057E-2</v>
      </c>
      <c r="Q44" s="687">
        <f t="shared" si="18"/>
        <v>6.9409339219363334E-2</v>
      </c>
      <c r="R44" s="687">
        <f t="shared" si="18"/>
        <v>4.4706920211723192E-2</v>
      </c>
      <c r="S44" s="687">
        <f t="shared" si="18"/>
        <v>3.443227938533823E-2</v>
      </c>
      <c r="T44" s="687">
        <v>0.15426717449569757</v>
      </c>
      <c r="U44" s="687">
        <v>9.8529081518077696E-2</v>
      </c>
      <c r="V44" s="687">
        <v>8.8429146832662023E-2</v>
      </c>
      <c r="W44" s="687">
        <v>5.7145867725053562E-2</v>
      </c>
      <c r="X44" s="687">
        <v>7.4556965004353867E-2</v>
      </c>
      <c r="Y44" s="687" t="e">
        <f t="shared" si="19"/>
        <v>#REF!</v>
      </c>
      <c r="Z44" s="687">
        <f t="shared" si="19"/>
        <v>-4.2196949183139272E-2</v>
      </c>
      <c r="AA44" s="687">
        <f t="shared" si="19"/>
        <v>5.4659793060582796E-3</v>
      </c>
      <c r="AB44" s="687">
        <f t="shared" si="19"/>
        <v>3.5664910136448333E-2</v>
      </c>
      <c r="AC44" s="687"/>
      <c r="AD44" s="687"/>
      <c r="AE44" s="687"/>
      <c r="AF44" s="687"/>
      <c r="AG44" s="687"/>
      <c r="AH44" s="687"/>
      <c r="AI44" s="687"/>
      <c r="AJ44" s="687"/>
      <c r="AK44" s="687"/>
      <c r="AL44" s="687"/>
      <c r="AM44" s="687"/>
      <c r="AN44" s="687"/>
      <c r="AO44" s="687"/>
      <c r="AP44" s="687"/>
      <c r="AQ44" s="687"/>
      <c r="AR44" s="687"/>
      <c r="AS44" s="687"/>
      <c r="AT44" s="687"/>
      <c r="AU44" s="687">
        <f>+AU18/AU$15</f>
        <v>5.8483897605284892E-2</v>
      </c>
      <c r="AV44" s="687">
        <f>+AV18/AV$15</f>
        <v>6.71163965229047E-2</v>
      </c>
      <c r="AW44" s="686">
        <f t="shared" si="20"/>
        <v>0.10826164443585862</v>
      </c>
      <c r="AX44" s="683"/>
      <c r="AY44" s="618"/>
      <c r="AZ44" s="687">
        <f t="shared" si="21"/>
        <v>6.2334839053187652E-2</v>
      </c>
      <c r="BA44" s="687">
        <f t="shared" si="21"/>
        <v>6.1252222608829066E-2</v>
      </c>
      <c r="BB44" s="687">
        <f t="shared" si="21"/>
        <v>5.2855529338089756E-2</v>
      </c>
      <c r="BC44" s="687">
        <f t="shared" si="21"/>
        <v>4.4189716221070457E-2</v>
      </c>
      <c r="BD44" s="687">
        <f t="shared" si="21"/>
        <v>3.8989159934253574E-3</v>
      </c>
      <c r="BE44" s="687">
        <f t="shared" si="21"/>
        <v>3.654107139840411E-2</v>
      </c>
      <c r="BF44" s="687">
        <v>3.2047212047212045E-2</v>
      </c>
      <c r="BG44" s="687">
        <f>+BG18/BG$15</f>
        <v>-1.4321700489654976E-3</v>
      </c>
      <c r="BH44" s="653"/>
      <c r="BI44" s="653"/>
      <c r="BJ44" s="653"/>
      <c r="BK44" s="653"/>
      <c r="BL44" s="575"/>
      <c r="BN44" s="575"/>
      <c r="BO44" s="575"/>
      <c r="BP44" s="575"/>
      <c r="BQ44" s="575"/>
    </row>
    <row r="45" spans="1:69" ht="12.75" customHeight="1" x14ac:dyDescent="0.2">
      <c r="A45" s="688" t="s">
        <v>74</v>
      </c>
      <c r="B45" s="689"/>
      <c r="C45" s="686">
        <f t="shared" si="17"/>
        <v>-1.2073898675434291</v>
      </c>
      <c r="D45" s="683"/>
      <c r="E45" s="683"/>
      <c r="F45" s="687"/>
      <c r="G45" s="687"/>
      <c r="H45" s="687"/>
      <c r="I45" s="687">
        <f>I19/I15</f>
        <v>0.47912154503933296</v>
      </c>
      <c r="J45" s="687">
        <f t="shared" ref="J45:S45" si="22">J19/J15</f>
        <v>0.53190149512914209</v>
      </c>
      <c r="K45" s="687">
        <f t="shared" si="22"/>
        <v>0.51563596340372841</v>
      </c>
      <c r="L45" s="687">
        <f t="shared" si="22"/>
        <v>0.49958947598890674</v>
      </c>
      <c r="M45" s="687">
        <f t="shared" si="22"/>
        <v>0.49119544371476725</v>
      </c>
      <c r="N45" s="687">
        <f t="shared" si="22"/>
        <v>0.47712761304994317</v>
      </c>
      <c r="O45" s="687">
        <f t="shared" si="22"/>
        <v>0.50921252456673216</v>
      </c>
      <c r="P45" s="687">
        <f t="shared" si="22"/>
        <v>0.51542570153061229</v>
      </c>
      <c r="Q45" s="687">
        <f t="shared" si="22"/>
        <v>0.46988457013732776</v>
      </c>
      <c r="R45" s="687">
        <f t="shared" si="22"/>
        <v>0.51701627131934913</v>
      </c>
      <c r="S45" s="687">
        <f t="shared" si="22"/>
        <v>0.48213956994714191</v>
      </c>
      <c r="T45" s="687">
        <v>0.54935816053039921</v>
      </c>
      <c r="U45" s="687">
        <v>0.47939591286772965</v>
      </c>
      <c r="V45" s="687">
        <v>0.5137453172971298</v>
      </c>
      <c r="W45" s="687">
        <v>0.4690035474693548</v>
      </c>
      <c r="X45" s="687">
        <v>0.47459462003718433</v>
      </c>
      <c r="Y45" s="687" t="e">
        <f>Y19/Y15</f>
        <v>#REF!</v>
      </c>
      <c r="Z45" s="687">
        <f>Z19/Z15</f>
        <v>0.44344029244516653</v>
      </c>
      <c r="AA45" s="687">
        <f>AA19/AA15</f>
        <v>0.44040437278344485</v>
      </c>
      <c r="AB45" s="687">
        <f>AB19/AB15</f>
        <v>0.4510609308942275</v>
      </c>
      <c r="AC45" s="687">
        <f>AC19/AC15</f>
        <v>0.42422300544697211</v>
      </c>
      <c r="AD45" s="687">
        <v>0.51723611026220895</v>
      </c>
      <c r="AE45" s="687">
        <v>0.53841046875272991</v>
      </c>
      <c r="AF45" s="687">
        <v>0.56449056603773584</v>
      </c>
      <c r="AG45" s="687">
        <v>0.57280228921275034</v>
      </c>
      <c r="AH45" s="687">
        <f>AH19/AH15</f>
        <v>0.49418767227260019</v>
      </c>
      <c r="AI45" s="687">
        <f>AI19/AI15</f>
        <v>0.81422580900387687</v>
      </c>
      <c r="AJ45" s="687">
        <f>AJ19/AJ15</f>
        <v>0.56382933378798861</v>
      </c>
      <c r="AK45" s="687">
        <f>AK19/AK15</f>
        <v>0.55557172799254773</v>
      </c>
      <c r="AL45" s="687">
        <f>AL19/AL15</f>
        <v>0.51684197345354366</v>
      </c>
      <c r="AM45" s="690">
        <v>0.52900000000000003</v>
      </c>
      <c r="AN45" s="690">
        <v>0.47399999999999998</v>
      </c>
      <c r="AO45" s="690">
        <v>0.49199999999999999</v>
      </c>
      <c r="AP45" s="690">
        <v>0.54400000000000004</v>
      </c>
      <c r="AQ45" s="690">
        <v>0.50800000000000001</v>
      </c>
      <c r="AR45" s="690">
        <v>0.48699999999999999</v>
      </c>
      <c r="AS45" s="690">
        <v>0.52700000000000002</v>
      </c>
      <c r="AT45" s="618"/>
      <c r="AU45" s="687">
        <f>AU19/AU15</f>
        <v>0.50010239471511153</v>
      </c>
      <c r="AV45" s="687">
        <f>AV19/AV15</f>
        <v>0.49760839992180922</v>
      </c>
      <c r="AW45" s="686">
        <f t="shared" si="20"/>
        <v>1.7086696879229202</v>
      </c>
      <c r="AX45" s="683"/>
      <c r="AY45" s="618"/>
      <c r="AZ45" s="687">
        <f t="shared" ref="AZ45:BE45" si="23">AZ19/AZ15</f>
        <v>0.5082798234357403</v>
      </c>
      <c r="BA45" s="687">
        <f t="shared" si="23"/>
        <v>0.49119312655651109</v>
      </c>
      <c r="BB45" s="687">
        <f t="shared" si="23"/>
        <v>0.51282388199903828</v>
      </c>
      <c r="BC45" s="687">
        <f t="shared" si="23"/>
        <v>0.49872671524606149</v>
      </c>
      <c r="BD45" s="687">
        <f t="shared" si="23"/>
        <v>0.45710855130762085</v>
      </c>
      <c r="BE45" s="687">
        <f t="shared" si="23"/>
        <v>0.52445362961127595</v>
      </c>
      <c r="BF45" s="690">
        <v>0.54556776556776554</v>
      </c>
      <c r="BG45" s="690">
        <f>BG19/BG15</f>
        <v>0.49803854971554723</v>
      </c>
      <c r="BH45" s="690">
        <f>BH19/BH15</f>
        <v>0.52591676352352823</v>
      </c>
      <c r="BI45" s="691">
        <f>BI19/BI15</f>
        <v>0.54668040140891871</v>
      </c>
      <c r="BJ45" s="691">
        <f>BJ19/BJ15</f>
        <v>0.49978547284923452</v>
      </c>
      <c r="BK45" s="691">
        <v>0.56799999999999995</v>
      </c>
      <c r="BL45" s="575"/>
      <c r="BN45" s="575"/>
      <c r="BO45" s="575"/>
      <c r="BP45" s="575"/>
      <c r="BQ45" s="575"/>
    </row>
    <row r="46" spans="1:69" ht="12.75" customHeight="1" x14ac:dyDescent="0.2">
      <c r="A46" s="485" t="s">
        <v>210</v>
      </c>
      <c r="B46" s="689"/>
      <c r="C46" s="686">
        <f t="shared" si="17"/>
        <v>-0.71128622740853631</v>
      </c>
      <c r="D46" s="683"/>
      <c r="E46" s="683"/>
      <c r="F46" s="687"/>
      <c r="G46" s="687"/>
      <c r="H46" s="687"/>
      <c r="I46" s="687">
        <f>(I19+I20)/I15</f>
        <v>0.51902683170427888</v>
      </c>
      <c r="J46" s="687">
        <f>(J19+J20)/J15</f>
        <v>0.5701050502351942</v>
      </c>
      <c r="K46" s="687">
        <f>(K19+K20)/K15</f>
        <v>0.5652748159867923</v>
      </c>
      <c r="L46" s="687">
        <f>(L19+L20)/L15</f>
        <v>0.53052474091373525</v>
      </c>
      <c r="M46" s="687">
        <f>(M19+M20)/M15</f>
        <v>0.52613969397836424</v>
      </c>
      <c r="N46" s="687">
        <f t="shared" ref="N46:S46" si="24">(N19+N20)/N15</f>
        <v>0.50767077757369017</v>
      </c>
      <c r="O46" s="687">
        <f t="shared" si="24"/>
        <v>0.55212613900303731</v>
      </c>
      <c r="P46" s="687">
        <f t="shared" si="24"/>
        <v>0.5638950892857143</v>
      </c>
      <c r="Q46" s="687">
        <f t="shared" si="24"/>
        <v>0.51378519096595343</v>
      </c>
      <c r="R46" s="687">
        <f t="shared" si="24"/>
        <v>0.56046853558125853</v>
      </c>
      <c r="S46" s="687">
        <f t="shared" si="24"/>
        <v>0.51356516098493155</v>
      </c>
      <c r="T46" s="687">
        <v>0.61201862039779942</v>
      </c>
      <c r="U46" s="687">
        <v>0.52815517628565012</v>
      </c>
      <c r="V46" s="687">
        <v>0.5337577106160043</v>
      </c>
      <c r="W46" s="687">
        <v>0.4920094130870008</v>
      </c>
      <c r="X46" s="687">
        <v>0.49499894095220165</v>
      </c>
      <c r="Y46" s="687" t="e">
        <f>(Y19+Y20)/Y15</f>
        <v>#REF!</v>
      </c>
      <c r="Z46" s="687">
        <f>(Z19+Z20)/Z15</f>
        <v>0.45171044318079251</v>
      </c>
      <c r="AA46" s="687">
        <f>(AA19+AA20)/AA15</f>
        <v>0.44890497605206392</v>
      </c>
      <c r="AB46" s="687">
        <f>(AB19+AB20)/AB15</f>
        <v>0.47221943937967098</v>
      </c>
      <c r="AC46" s="687">
        <f>(AC19+AC20)/AC15</f>
        <v>0.44572817912810753</v>
      </c>
      <c r="AD46" s="687">
        <v>0.53972862294480772</v>
      </c>
      <c r="AE46" s="687">
        <v>0.55773363383825147</v>
      </c>
      <c r="AF46" s="687">
        <v>0.58128301886792455</v>
      </c>
      <c r="AG46" s="687">
        <v>0.58840753310707394</v>
      </c>
      <c r="AH46" s="687">
        <f>(AH19+AH20)/AH15</f>
        <v>0.51472056884911921</v>
      </c>
      <c r="AI46" s="687">
        <f>(AI19+AI20)/AI15</f>
        <v>0.85655510720784878</v>
      </c>
      <c r="AJ46" s="687">
        <f>(AJ19+AJ20)/AJ15</f>
        <v>0.59400707557222621</v>
      </c>
      <c r="AK46" s="687">
        <f>(AK19+AK20)/AK15</f>
        <v>0.58284816022356778</v>
      </c>
      <c r="AL46" s="687">
        <f>(AL19+AL20)/AL15</f>
        <v>0.53471700475832706</v>
      </c>
      <c r="AM46" s="690">
        <v>0.55900000000000005</v>
      </c>
      <c r="AN46" s="690">
        <v>0.51</v>
      </c>
      <c r="AO46" s="690">
        <v>0.51700000000000002</v>
      </c>
      <c r="AP46" s="690">
        <v>0.56399999999999995</v>
      </c>
      <c r="AQ46" s="690">
        <v>0.53900000000000003</v>
      </c>
      <c r="AR46" s="690">
        <v>0.51100000000000001</v>
      </c>
      <c r="AS46" s="690">
        <v>0.55300000000000005</v>
      </c>
      <c r="AT46" s="618"/>
      <c r="AU46" s="687">
        <f>(AU19+AU20)/AU15</f>
        <v>0.53712303881090007</v>
      </c>
      <c r="AV46" s="687">
        <f>(AV19+AV20)/AV15</f>
        <v>0.54252819455138046</v>
      </c>
      <c r="AW46" s="686">
        <f t="shared" si="20"/>
        <v>1.399498824455836</v>
      </c>
      <c r="AX46" s="683"/>
      <c r="AY46" s="618"/>
      <c r="AZ46" s="687">
        <f t="shared" ref="AZ46:BE46" si="25">(AZ19+AZ20)/AZ15</f>
        <v>0.54560466388750528</v>
      </c>
      <c r="BA46" s="687">
        <f t="shared" si="25"/>
        <v>0.53160967564294692</v>
      </c>
      <c r="BB46" s="687">
        <f t="shared" si="25"/>
        <v>0.56003209465126425</v>
      </c>
      <c r="BC46" s="687">
        <f t="shared" si="25"/>
        <v>0.53091484066300609</v>
      </c>
      <c r="BD46" s="687">
        <f t="shared" si="25"/>
        <v>0.48112488448280905</v>
      </c>
      <c r="BE46" s="687">
        <f t="shared" si="25"/>
        <v>0.54969281623597122</v>
      </c>
      <c r="BF46" s="690">
        <v>0.58048026048026047</v>
      </c>
      <c r="BG46" s="690">
        <f>(BG19+BG20)/BG15</f>
        <v>0.51592086269848014</v>
      </c>
      <c r="BH46" s="690">
        <f>(BH19+BH20)/BH15</f>
        <v>0.53576417397980403</v>
      </c>
      <c r="BI46" s="691">
        <f>(BI19+BI20)/BI15</f>
        <v>0.56272346647172189</v>
      </c>
      <c r="BJ46" s="691">
        <f>(BJ19+BJ20)/BJ15</f>
        <v>0.56988875982377385</v>
      </c>
      <c r="BK46" s="691">
        <v>0.627</v>
      </c>
      <c r="BL46" s="575"/>
      <c r="BN46" s="575"/>
      <c r="BO46" s="575"/>
      <c r="BP46" s="575"/>
      <c r="BQ46" s="575"/>
    </row>
    <row r="47" spans="1:69" ht="12.75" customHeight="1" x14ac:dyDescent="0.2">
      <c r="A47" s="688" t="s">
        <v>75</v>
      </c>
      <c r="B47" s="689"/>
      <c r="C47" s="686">
        <f t="shared" si="17"/>
        <v>7.5759762947525013</v>
      </c>
      <c r="D47" s="683"/>
      <c r="E47" s="683"/>
      <c r="F47" s="687"/>
      <c r="G47" s="687"/>
      <c r="H47" s="687"/>
      <c r="I47" s="687">
        <f>(I22+I23+I24+I25+I26+I27+I28+I29+I30+I31+I32+I33)/I15</f>
        <v>0.34990068566170279</v>
      </c>
      <c r="J47" s="687">
        <f t="shared" ref="J47:S47" si="26">(J22+J23+J24+J25+J26+J27+J28+J29+J30+J31+J32+J33)/J15</f>
        <v>0.40555497247321265</v>
      </c>
      <c r="K47" s="687">
        <f t="shared" si="26"/>
        <v>0.48820251771342094</v>
      </c>
      <c r="L47" s="687">
        <f t="shared" si="26"/>
        <v>0.28328893592176324</v>
      </c>
      <c r="M47" s="687">
        <f t="shared" si="26"/>
        <v>0.27414092271417778</v>
      </c>
      <c r="N47" s="687">
        <f t="shared" si="26"/>
        <v>0.27386512726318551</v>
      </c>
      <c r="O47" s="687">
        <f t="shared" si="26"/>
        <v>0.32057352152939073</v>
      </c>
      <c r="P47" s="687">
        <f t="shared" si="26"/>
        <v>0.40941220238095238</v>
      </c>
      <c r="Q47" s="687">
        <f t="shared" si="26"/>
        <v>0.32882951090818024</v>
      </c>
      <c r="R47" s="687">
        <f t="shared" si="26"/>
        <v>0.23880611644775535</v>
      </c>
      <c r="S47" s="687">
        <f t="shared" si="26"/>
        <v>0.26436942820326265</v>
      </c>
      <c r="T47" s="687">
        <v>0.39915361828184509</v>
      </c>
      <c r="U47" s="687">
        <v>0.35944868627891308</v>
      </c>
      <c r="V47" s="687">
        <v>0.29660873728980647</v>
      </c>
      <c r="W47" s="687">
        <v>0.26565628183063467</v>
      </c>
      <c r="X47" s="687">
        <v>0.37800946082699866</v>
      </c>
      <c r="Y47" s="687" t="e">
        <f>(Y22+Y23+Y24+Y25+Y26+Y27+Y28+Y29+Y30+Y31+Y32+Y33)/Y15</f>
        <v>#REF!</v>
      </c>
      <c r="Z47" s="687">
        <f>(Z22+Z23+Z24+Z25+Z26+Z27+Z28+Z29+Z30+Z31+Z32+Z33)/Z15</f>
        <v>0.11547747991696002</v>
      </c>
      <c r="AA47" s="687">
        <f>(AA22+AA23+AA24+AA25+AA26+AA27+AA28+AA29+AA30+AA31+AA32+AA33)/AA15</f>
        <v>0.11728090380607656</v>
      </c>
      <c r="AB47" s="687">
        <f>(AB22+AB23+AB24+AB25+AB26+AB27+AB28+AB29+AB30+AB31+AB32+AB33)/AB15</f>
        <v>0.21737562363501572</v>
      </c>
      <c r="AC47" s="687">
        <f>(AC22+AC23+AC24+AC25+AC26+AC27+AC28+AC29+AC30+AC31+AC32+AC33)/AC15</f>
        <v>0.38620728650319469</v>
      </c>
      <c r="AD47" s="687">
        <v>0.30658272721716279</v>
      </c>
      <c r="AE47" s="687">
        <v>0.10480982581197477</v>
      </c>
      <c r="AF47" s="687">
        <v>0.15381132075471698</v>
      </c>
      <c r="AG47" s="687">
        <v>0.14983030545018966</v>
      </c>
      <c r="AH47" s="687">
        <f>(AH22+AH23+AH24+AH25+AH26+AH27+AH28+AH29+AH30+AH31+AH32+AH33)/AH15</f>
        <v>0.11576718731274717</v>
      </c>
      <c r="AI47" s="687">
        <f>(AI22+AI23+AI24+AI25+AI26+AI27+AI28+AI29+AI30+AI31+AI32+AI33)/AI15</f>
        <v>0.8522034971121133</v>
      </c>
      <c r="AJ47" s="687">
        <f>(AJ22+AJ23+AJ24+AJ25+AJ26+AJ27+AJ28+AJ29+AJ30+AJ31+AJ32+AJ33)/AJ15</f>
        <v>0.28570819658156088</v>
      </c>
      <c r="AK47" s="687">
        <f>(AK22+AK23+AK24+AK25+AK26+AK27+AK28+AK29+AK30+AK31+AK32+AK33)/AK15</f>
        <v>0.21975430833721471</v>
      </c>
      <c r="AL47" s="687">
        <f>(AL22+AL23+AL24+AL25+AL26+AL27+AL28+AL29+AL30+AL31+AL32+AL33)/AL15</f>
        <v>0.22119959929877286</v>
      </c>
      <c r="AM47" s="690">
        <v>0.23899999999999999</v>
      </c>
      <c r="AN47" s="690">
        <v>0.32199999999999995</v>
      </c>
      <c r="AO47" s="690">
        <v>0.16900000000000004</v>
      </c>
      <c r="AP47" s="690">
        <v>0.21100000000000008</v>
      </c>
      <c r="AQ47" s="690">
        <v>0.20399999999999996</v>
      </c>
      <c r="AR47" s="690">
        <v>0.249</v>
      </c>
      <c r="AS47" s="690">
        <v>0.17899999999999994</v>
      </c>
      <c r="AT47" s="618"/>
      <c r="AU47" s="687">
        <f>(AU22+AU23+AU24+AU25+AU26+AU27+AU28+AU29+AU30+AU31+AU32+AU33)/AU15</f>
        <v>0.32884558216350124</v>
      </c>
      <c r="AV47" s="687">
        <f>(AV22+AV23+AV24+AV25+AV26+AV27+AV28+AV29+AV30+AV31+AV32+AV33)/AV15</f>
        <v>0.35007519876809656</v>
      </c>
      <c r="AW47" s="686">
        <f t="shared" si="20"/>
        <v>2.2368468136456432</v>
      </c>
      <c r="AX47" s="683"/>
      <c r="AY47" s="618"/>
      <c r="AZ47" s="687">
        <f t="shared" ref="AZ47:BE47" si="27">(AZ22+AZ23+AZ24+AZ25+AZ26+AZ27+AZ28+AZ29+AZ30+AZ31+AZ32+AZ33)/AZ15</f>
        <v>0.3485721015710686</v>
      </c>
      <c r="BA47" s="687">
        <f t="shared" si="27"/>
        <v>0.32620363343461217</v>
      </c>
      <c r="BB47" s="687">
        <f t="shared" si="27"/>
        <v>0.33613276226474176</v>
      </c>
      <c r="BC47" s="687">
        <f t="shared" si="27"/>
        <v>0.33239788063837428</v>
      </c>
      <c r="BD47" s="687">
        <f t="shared" si="27"/>
        <v>0.21813692974980831</v>
      </c>
      <c r="BE47" s="687">
        <f t="shared" si="27"/>
        <v>0.18040218266593835</v>
      </c>
      <c r="BF47" s="690">
        <v>0.32512820512820512</v>
      </c>
      <c r="BG47" s="690">
        <f>(BG22+BG23+BG24+BG25+BG26+BG27+BG28+BG29+BG30+BG31+BG32+BG33)/BG15</f>
        <v>0.1641504627664091</v>
      </c>
      <c r="BH47" s="690">
        <f>(BH22+BH23+BH24+BH25+BH26+BH27+BH28+BH29+BH30+BH31+BH32+BH33)/BH15</f>
        <v>0.13159381964363784</v>
      </c>
      <c r="BI47" s="691">
        <f>(BI22+BI23+BI24+BI25+BI26+BI27+BI28+BI29+BI30+BI31+BI32+BI33)/BI15</f>
        <v>0.13831328504020735</v>
      </c>
      <c r="BJ47" s="691">
        <f>(BJ22+BJ23+BJ24+BJ25+BJ26+BJ27+BJ28+BJ29+BJ30+BJ31+BJ32+BJ33)/BJ15</f>
        <v>0.13580091880408962</v>
      </c>
      <c r="BK47" s="691">
        <v>0.10299999999999998</v>
      </c>
      <c r="BL47" s="575"/>
      <c r="BN47" s="575"/>
      <c r="BO47" s="575"/>
      <c r="BP47" s="575"/>
      <c r="BQ47" s="575"/>
    </row>
    <row r="48" spans="1:69" ht="12.75" customHeight="1" x14ac:dyDescent="0.2">
      <c r="A48" s="688" t="s">
        <v>76</v>
      </c>
      <c r="B48" s="688"/>
      <c r="C48" s="686">
        <f t="shared" si="17"/>
        <v>6.8646900673439699</v>
      </c>
      <c r="D48" s="683"/>
      <c r="E48" s="683"/>
      <c r="F48" s="687"/>
      <c r="G48" s="687"/>
      <c r="H48" s="687"/>
      <c r="I48" s="687">
        <f>I34/I15</f>
        <v>0.86892751736598173</v>
      </c>
      <c r="J48" s="687">
        <f t="shared" ref="J48:S48" si="28">J34/J15</f>
        <v>0.9756600227084069</v>
      </c>
      <c r="K48" s="687">
        <f t="shared" si="28"/>
        <v>1.0534773337002132</v>
      </c>
      <c r="L48" s="687">
        <f t="shared" si="28"/>
        <v>0.81381367683549843</v>
      </c>
      <c r="M48" s="687">
        <f t="shared" si="28"/>
        <v>0.80028061669254202</v>
      </c>
      <c r="N48" s="687">
        <f t="shared" si="28"/>
        <v>0.78153590483687574</v>
      </c>
      <c r="O48" s="687">
        <f t="shared" si="28"/>
        <v>0.87269966053242809</v>
      </c>
      <c r="P48" s="687">
        <f t="shared" si="28"/>
        <v>0.97330729166666663</v>
      </c>
      <c r="Q48" s="687">
        <f t="shared" si="28"/>
        <v>0.84261470187413368</v>
      </c>
      <c r="R48" s="687">
        <f t="shared" si="28"/>
        <v>0.79927465202901393</v>
      </c>
      <c r="S48" s="687">
        <f t="shared" si="28"/>
        <v>0.77793458918819414</v>
      </c>
      <c r="T48" s="687">
        <v>1.0111722386796445</v>
      </c>
      <c r="U48" s="687">
        <v>0.88760386256456325</v>
      </c>
      <c r="V48" s="687">
        <v>0.83036644790581082</v>
      </c>
      <c r="W48" s="687">
        <v>0.75766569491763547</v>
      </c>
      <c r="X48" s="687">
        <v>0.87300840177920025</v>
      </c>
      <c r="Y48" s="687" t="e">
        <f>Y34/Y15</f>
        <v>#REF!</v>
      </c>
      <c r="Z48" s="687">
        <f>Z34/Z15</f>
        <v>0.56718792309775246</v>
      </c>
      <c r="AA48" s="687">
        <f>AA34/AA15</f>
        <v>0.56618587985814051</v>
      </c>
      <c r="AB48" s="687">
        <f>AB34/AB15</f>
        <v>0.68959506301468676</v>
      </c>
      <c r="AC48" s="687">
        <f>AC34/AC15</f>
        <v>0.83193546563130216</v>
      </c>
      <c r="AD48" s="687">
        <v>0.84631135016197057</v>
      </c>
      <c r="AE48" s="687">
        <v>0.66254345965022621</v>
      </c>
      <c r="AF48" s="687">
        <v>0.73509433962264148</v>
      </c>
      <c r="AG48" s="687">
        <v>0.73823783855726355</v>
      </c>
      <c r="AH48" s="687">
        <f>AH34/AH15</f>
        <v>0.63048775616186636</v>
      </c>
      <c r="AI48" s="687">
        <f>AI34/AI15</f>
        <v>1.7087586043199621</v>
      </c>
      <c r="AJ48" s="687">
        <f>AJ34/AJ15</f>
        <v>0.87971527215378709</v>
      </c>
      <c r="AK48" s="687">
        <f>AK34/AK15</f>
        <v>0.80260246856078243</v>
      </c>
      <c r="AL48" s="687">
        <f>AL34/AL15</f>
        <v>0.75591660405709993</v>
      </c>
      <c r="AM48" s="690">
        <v>0.79800000000000004</v>
      </c>
      <c r="AN48" s="690">
        <v>0.83199999999999996</v>
      </c>
      <c r="AO48" s="690">
        <v>0.68600000000000005</v>
      </c>
      <c r="AP48" s="690">
        <v>0.77500000000000002</v>
      </c>
      <c r="AQ48" s="690">
        <v>0.74299999999999999</v>
      </c>
      <c r="AR48" s="690">
        <v>0.76</v>
      </c>
      <c r="AS48" s="690">
        <v>0.73199999999999998</v>
      </c>
      <c r="AT48" s="618"/>
      <c r="AU48" s="687">
        <f>AU34/AU15</f>
        <v>0.8659686209744013</v>
      </c>
      <c r="AV48" s="687">
        <f>AV34/AV15</f>
        <v>0.89260339331947713</v>
      </c>
      <c r="AW48" s="686">
        <f t="shared" si="20"/>
        <v>3.6363456381014791</v>
      </c>
      <c r="AX48" s="683"/>
      <c r="AY48" s="618"/>
      <c r="AZ48" s="687">
        <f t="shared" ref="AZ48:BE48" si="29">AZ34/AZ15</f>
        <v>0.89417676545857394</v>
      </c>
      <c r="BA48" s="687">
        <f t="shared" si="29"/>
        <v>0.85781330907755915</v>
      </c>
      <c r="BB48" s="687">
        <f t="shared" si="29"/>
        <v>0.896164856916006</v>
      </c>
      <c r="BC48" s="687">
        <f t="shared" si="29"/>
        <v>0.86331272130138037</v>
      </c>
      <c r="BD48" s="687">
        <f t="shared" si="29"/>
        <v>0.69926181423261735</v>
      </c>
      <c r="BE48" s="687">
        <f t="shared" si="29"/>
        <v>0.73009499890190954</v>
      </c>
      <c r="BF48" s="690">
        <v>0.90560846560846564</v>
      </c>
      <c r="BG48" s="690">
        <f>BG34/BG15</f>
        <v>0.68007132546488924</v>
      </c>
      <c r="BH48" s="690">
        <f>BH34/BH15</f>
        <v>0.66735799362344184</v>
      </c>
      <c r="BI48" s="691">
        <f>BI34/BI15</f>
        <v>0.70103675151192923</v>
      </c>
      <c r="BJ48" s="691">
        <f>BJ34/BJ15</f>
        <v>0.70568967862786336</v>
      </c>
      <c r="BK48" s="691">
        <v>0.73</v>
      </c>
      <c r="BL48" s="575"/>
      <c r="BN48" s="575"/>
      <c r="BO48" s="575"/>
      <c r="BP48" s="575"/>
      <c r="BQ48" s="575"/>
    </row>
    <row r="49" spans="1:69" ht="12.75" customHeight="1" x14ac:dyDescent="0.2">
      <c r="A49" s="688" t="s">
        <v>182</v>
      </c>
      <c r="B49" s="688"/>
      <c r="C49" s="686">
        <f t="shared" si="17"/>
        <v>-6.8646900673439673</v>
      </c>
      <c r="D49" s="683"/>
      <c r="E49" s="683"/>
      <c r="F49" s="687"/>
      <c r="G49" s="687"/>
      <c r="H49" s="687"/>
      <c r="I49" s="687">
        <f>I35/I15</f>
        <v>0.13107248263401824</v>
      </c>
      <c r="J49" s="687">
        <f t="shared" ref="J49:S49" si="30">J35/J15</f>
        <v>2.433997729159312E-2</v>
      </c>
      <c r="K49" s="687">
        <f t="shared" si="30"/>
        <v>-5.347733370021325E-2</v>
      </c>
      <c r="L49" s="687">
        <f t="shared" si="30"/>
        <v>0.18618632316450154</v>
      </c>
      <c r="M49" s="687">
        <f t="shared" si="30"/>
        <v>0.19971938330745792</v>
      </c>
      <c r="N49" s="687">
        <f t="shared" si="30"/>
        <v>0.21846409516312429</v>
      </c>
      <c r="O49" s="687">
        <f t="shared" si="30"/>
        <v>0.12730033946757191</v>
      </c>
      <c r="P49" s="687">
        <f t="shared" si="30"/>
        <v>2.6692708333333332E-2</v>
      </c>
      <c r="Q49" s="687">
        <f t="shared" si="30"/>
        <v>0.1573852981258663</v>
      </c>
      <c r="R49" s="687">
        <f t="shared" si="30"/>
        <v>0.20072534797098607</v>
      </c>
      <c r="S49" s="687">
        <f t="shared" si="30"/>
        <v>0.22206541081180586</v>
      </c>
      <c r="T49" s="687">
        <v>-1.117223867964452E-2</v>
      </c>
      <c r="U49" s="687">
        <v>0.11239613743543679</v>
      </c>
      <c r="V49" s="687">
        <v>0.16963355209418923</v>
      </c>
      <c r="W49" s="687">
        <v>0.2423343050823645</v>
      </c>
      <c r="X49" s="687">
        <v>0.1269915982207997</v>
      </c>
      <c r="Y49" s="687" t="e">
        <f>Y35/Y15</f>
        <v>#REF!</v>
      </c>
      <c r="Z49" s="687">
        <f>Z35/Z15</f>
        <v>0.43281207690224749</v>
      </c>
      <c r="AA49" s="687">
        <f>AA35/AA15</f>
        <v>0.43381412014185955</v>
      </c>
      <c r="AB49" s="687">
        <f>AB35/AB15</f>
        <v>0.3104049369853133</v>
      </c>
      <c r="AC49" s="687">
        <f>AC35/AC15</f>
        <v>0.16806453436869781</v>
      </c>
      <c r="AD49" s="687">
        <v>0.15368864983802946</v>
      </c>
      <c r="AE49" s="687">
        <v>0.33745654034977374</v>
      </c>
      <c r="AF49" s="687">
        <v>0.26490566037735847</v>
      </c>
      <c r="AG49" s="687">
        <v>0.2617621614427364</v>
      </c>
      <c r="AH49" s="687">
        <f>AH35/AH15</f>
        <v>0.36951224383813364</v>
      </c>
      <c r="AI49" s="687">
        <f>AI35/AI15</f>
        <v>-0.70875860431996207</v>
      </c>
      <c r="AJ49" s="687">
        <f>AJ35/AJ15</f>
        <v>0.12028472784621286</v>
      </c>
      <c r="AK49" s="687">
        <f>AK35/AK15</f>
        <v>0.19739753143921751</v>
      </c>
      <c r="AL49" s="687">
        <f>AL35/AL15</f>
        <v>0.24408339594290007</v>
      </c>
      <c r="AM49" s="690">
        <v>0.20199999999999996</v>
      </c>
      <c r="AN49" s="690">
        <v>0.16800000000000004</v>
      </c>
      <c r="AO49" s="690">
        <v>0.31399999999999995</v>
      </c>
      <c r="AP49" s="690">
        <v>0.22500000000000001</v>
      </c>
      <c r="AQ49" s="690">
        <v>0.25700000000000001</v>
      </c>
      <c r="AR49" s="690">
        <v>0.24</v>
      </c>
      <c r="AS49" s="690">
        <v>0.26800000000000002</v>
      </c>
      <c r="AT49" s="618"/>
      <c r="AU49" s="687">
        <f>AU35/AU15</f>
        <v>0.13403137902559867</v>
      </c>
      <c r="AV49" s="687">
        <f>AV35/AV15</f>
        <v>0.10739660668052292</v>
      </c>
      <c r="AW49" s="686">
        <f t="shared" si="20"/>
        <v>-3.6363456381014778</v>
      </c>
      <c r="AX49" s="683"/>
      <c r="AY49" s="618"/>
      <c r="AZ49" s="687">
        <f t="shared" ref="AZ49:BE49" si="31">AZ35/AZ15</f>
        <v>0.1058232345414261</v>
      </c>
      <c r="BA49" s="687">
        <f t="shared" si="31"/>
        <v>0.14218669092244088</v>
      </c>
      <c r="BB49" s="687">
        <f t="shared" si="31"/>
        <v>0.10383514308399405</v>
      </c>
      <c r="BC49" s="687">
        <f t="shared" si="31"/>
        <v>0.1366872786986196</v>
      </c>
      <c r="BD49" s="687">
        <f t="shared" si="31"/>
        <v>0.30073818576738265</v>
      </c>
      <c r="BE49" s="687">
        <f t="shared" si="31"/>
        <v>0.26990500109809046</v>
      </c>
      <c r="BF49" s="690">
        <v>9.4391534391534387E-2</v>
      </c>
      <c r="BG49" s="690">
        <f>BG35/BG15</f>
        <v>0.31992867453511081</v>
      </c>
      <c r="BH49" s="690">
        <f>BH35/BH15</f>
        <v>0.33264200637655816</v>
      </c>
      <c r="BI49" s="691">
        <f>BI35/BI15</f>
        <v>0.29896324848807071</v>
      </c>
      <c r="BJ49" s="691">
        <f>BJ35/BJ15</f>
        <v>0.29431032137213659</v>
      </c>
      <c r="BK49" s="691">
        <v>0.27</v>
      </c>
      <c r="BL49" s="575"/>
      <c r="BN49" s="575"/>
      <c r="BO49" s="575"/>
      <c r="BP49" s="575"/>
      <c r="BQ49" s="575"/>
    </row>
    <row r="50" spans="1:69" ht="12.75" customHeight="1" x14ac:dyDescent="0.2">
      <c r="A50" s="688" t="s">
        <v>77</v>
      </c>
      <c r="B50" s="688"/>
      <c r="C50" s="686" t="e">
        <f t="shared" si="17"/>
        <v>#REF!</v>
      </c>
      <c r="D50" s="683"/>
      <c r="E50" s="683"/>
      <c r="F50" s="687"/>
      <c r="G50" s="687"/>
      <c r="H50" s="687"/>
      <c r="I50" s="687" t="e">
        <f>I41/I15</f>
        <v>#REF!</v>
      </c>
      <c r="J50" s="687">
        <f t="shared" ref="J50:S50" si="32">J41/J15</f>
        <v>-6.8220634117950136E-3</v>
      </c>
      <c r="K50" s="687">
        <f t="shared" si="32"/>
        <v>-9.110545504574534E-2</v>
      </c>
      <c r="L50" s="687">
        <f t="shared" si="32"/>
        <v>0.15337177054444606</v>
      </c>
      <c r="M50" s="687">
        <f t="shared" si="32"/>
        <v>0.1755265714119669</v>
      </c>
      <c r="N50" s="687">
        <f t="shared" si="32"/>
        <v>0.18541065337181842</v>
      </c>
      <c r="O50" s="687">
        <f t="shared" si="32"/>
        <v>8.8976237269966049E-2</v>
      </c>
      <c r="P50" s="687">
        <f t="shared" si="32"/>
        <v>-6.8292942176870746E-3</v>
      </c>
      <c r="Q50" s="687">
        <f t="shared" si="32"/>
        <v>0.12376969936985312</v>
      </c>
      <c r="R50" s="687">
        <f t="shared" si="32"/>
        <v>0.17838659086453637</v>
      </c>
      <c r="S50" s="687">
        <f t="shared" si="32"/>
        <v>0.1993530798832388</v>
      </c>
      <c r="T50" s="687">
        <v>-8.2211877556778112E-2</v>
      </c>
      <c r="U50" s="687">
        <v>3.0597350101055468E-2</v>
      </c>
      <c r="V50" s="687">
        <v>0.1258766864771991</v>
      </c>
      <c r="W50" s="687">
        <v>0.19641038249446804</v>
      </c>
      <c r="X50" s="687">
        <v>5.3940834529665103E-2</v>
      </c>
      <c r="Y50" s="687" t="e">
        <f>Y41/Y15</f>
        <v>#REF!</v>
      </c>
      <c r="Z50" s="687">
        <f>Z41/Z15</f>
        <v>0.41521121039805037</v>
      </c>
      <c r="AA50" s="687">
        <f>AA41/AA15</f>
        <v>0.41739790135644034</v>
      </c>
      <c r="AB50" s="687">
        <f>AB41/AB15</f>
        <v>0.27287663547656738</v>
      </c>
      <c r="AC50" s="687">
        <f>AC41/AC15</f>
        <v>0.13525076804191719</v>
      </c>
      <c r="AD50" s="687">
        <v>9.9993887904162332E-2</v>
      </c>
      <c r="AE50" s="687">
        <v>0.31154672676765027</v>
      </c>
      <c r="AF50" s="687">
        <v>0.2130566037735849</v>
      </c>
      <c r="AG50" s="687">
        <v>0.21321621082052306</v>
      </c>
      <c r="AH50" s="687">
        <f>AH41/AH15</f>
        <v>0.28066951623856512</v>
      </c>
      <c r="AI50" s="687">
        <f>AI41/AI15</f>
        <v>-0.76184824748793423</v>
      </c>
      <c r="AJ50" s="687">
        <f>AJ41/AJ15</f>
        <v>1.9479135586718384E-2</v>
      </c>
      <c r="AK50" s="687">
        <f>AK41/AK15</f>
        <v>0.15710875640428504</v>
      </c>
      <c r="AL50" s="687">
        <f>AL41/AL15</f>
        <v>0.21625344352617079</v>
      </c>
      <c r="AM50" s="692" t="s">
        <v>181</v>
      </c>
      <c r="AN50" s="692" t="s">
        <v>181</v>
      </c>
      <c r="AO50" s="683"/>
      <c r="AP50" s="683"/>
      <c r="AQ50" s="683"/>
      <c r="AR50" s="683"/>
      <c r="AS50" s="683"/>
      <c r="AT50" s="655"/>
      <c r="AU50" s="687">
        <f>AU41/AU15</f>
        <v>0.10349132947976879</v>
      </c>
      <c r="AV50" s="687">
        <f>AV41/AV15</f>
        <v>7.2126988179631313E-2</v>
      </c>
      <c r="AW50" s="686">
        <f t="shared" si="20"/>
        <v>-3.2488019433400614</v>
      </c>
      <c r="AX50" s="683"/>
      <c r="AY50" s="655"/>
      <c r="AZ50" s="687">
        <f t="shared" ref="AZ50:BE50" si="33">AZ41/AZ15</f>
        <v>7.5123234296061658E-2</v>
      </c>
      <c r="BA50" s="687">
        <f t="shared" si="33"/>
        <v>0.10761125372946227</v>
      </c>
      <c r="BB50" s="687">
        <f t="shared" si="33"/>
        <v>7.5033827986088597E-2</v>
      </c>
      <c r="BC50" s="687">
        <f t="shared" si="33"/>
        <v>9.8626648534920716E-2</v>
      </c>
      <c r="BD50" s="687">
        <f t="shared" si="33"/>
        <v>0.2762226834165657</v>
      </c>
      <c r="BE50" s="687">
        <f t="shared" si="33"/>
        <v>0.21599720690839674</v>
      </c>
      <c r="BF50" s="690">
        <v>9.4391534391534387E-2</v>
      </c>
      <c r="BG50" s="690">
        <f>BG41/BG15</f>
        <v>0.3048654156406555</v>
      </c>
      <c r="BH50" s="690">
        <f>BH41/BH15</f>
        <v>0.31759098324820595</v>
      </c>
      <c r="BI50" s="691">
        <f>BI41/BI15</f>
        <v>0.28234199508207614</v>
      </c>
      <c r="BJ50" s="691">
        <f>BJ41/BJ15</f>
        <v>0.26257076779790495</v>
      </c>
      <c r="BK50" s="691"/>
      <c r="BL50" s="575"/>
      <c r="BN50" s="575"/>
      <c r="BO50" s="575"/>
      <c r="BP50" s="575"/>
      <c r="BQ50" s="575"/>
    </row>
    <row r="51" spans="1:69" ht="12.75" customHeight="1" x14ac:dyDescent="0.2">
      <c r="A51" s="689"/>
      <c r="B51" s="689"/>
      <c r="C51" s="686"/>
      <c r="D51" s="683"/>
      <c r="E51" s="683"/>
      <c r="F51" s="504"/>
      <c r="G51" s="683"/>
      <c r="H51" s="683"/>
      <c r="I51" s="683"/>
      <c r="J51" s="504"/>
      <c r="K51" s="683"/>
      <c r="L51" s="683"/>
      <c r="M51" s="683"/>
      <c r="N51" s="504"/>
      <c r="O51" s="683"/>
      <c r="P51" s="683"/>
      <c r="Q51" s="683"/>
      <c r="R51" s="683"/>
      <c r="S51" s="683"/>
      <c r="T51" s="683"/>
      <c r="U51" s="683"/>
      <c r="V51" s="683"/>
      <c r="W51" s="683"/>
      <c r="X51" s="683"/>
      <c r="Y51" s="683"/>
      <c r="Z51" s="683"/>
      <c r="AA51" s="683"/>
      <c r="AB51" s="683"/>
      <c r="AC51" s="683"/>
      <c r="AD51" s="683"/>
      <c r="AE51" s="683"/>
      <c r="AF51" s="683"/>
      <c r="AG51" s="683"/>
      <c r="AH51" s="683"/>
      <c r="AI51" s="683"/>
      <c r="AJ51" s="683"/>
      <c r="AK51" s="687"/>
      <c r="AL51" s="687"/>
      <c r="AM51" s="619"/>
      <c r="AN51" s="619"/>
      <c r="AO51" s="619"/>
      <c r="AP51" s="687"/>
      <c r="AQ51" s="687"/>
      <c r="AR51" s="687"/>
      <c r="AS51" s="687"/>
      <c r="AT51" s="618"/>
      <c r="AU51" s="618"/>
      <c r="AV51" s="618"/>
      <c r="AW51" s="631"/>
      <c r="AX51" s="683"/>
      <c r="AY51" s="618"/>
      <c r="AZ51" s="690"/>
      <c r="BA51" s="690"/>
      <c r="BB51" s="690"/>
      <c r="BC51" s="690"/>
      <c r="BD51" s="690"/>
      <c r="BE51" s="690"/>
      <c r="BF51" s="690"/>
      <c r="BG51" s="690"/>
      <c r="BH51" s="693"/>
      <c r="BI51" s="694"/>
      <c r="BJ51" s="694"/>
      <c r="BK51" s="694"/>
      <c r="BL51" s="575"/>
      <c r="BN51" s="575"/>
      <c r="BO51" s="575"/>
      <c r="BP51" s="575"/>
      <c r="BQ51" s="575"/>
    </row>
    <row r="52" spans="1:69" ht="12.75" customHeight="1" x14ac:dyDescent="0.2">
      <c r="A52" s="689" t="s">
        <v>89</v>
      </c>
      <c r="B52" s="689"/>
      <c r="C52" s="778">
        <f>I52-M52</f>
        <v>-28</v>
      </c>
      <c r="D52" s="683">
        <f>IF(OR((C52/M52)&gt;3,(C52/M52)&lt;-3),"n.m.",(C52/M52))</f>
        <v>-5.533596837944664E-2</v>
      </c>
      <c r="E52" s="683"/>
      <c r="F52" s="504"/>
      <c r="G52" s="504"/>
      <c r="H52" s="504"/>
      <c r="I52" s="504">
        <f>+'6 Capital Markets Canada'!V46+'7 CG - US'!V47</f>
        <v>478</v>
      </c>
      <c r="J52" s="504">
        <f>+'6 Capital Markets Canada'!W46+'7 CG - US'!W47</f>
        <v>470</v>
      </c>
      <c r="K52" s="504">
        <f>+'6 Capital Markets Canada'!X46+'7 CG - US'!X47</f>
        <v>500</v>
      </c>
      <c r="L52" s="504">
        <f>+'6 Capital Markets Canada'!Y46+'7 CG - US'!Y47</f>
        <v>503</v>
      </c>
      <c r="M52" s="504">
        <f>+'6 Capital Markets Canada'!Z46+'7 CG - US'!Z47</f>
        <v>506</v>
      </c>
      <c r="N52" s="504">
        <f>+'6 Capital Markets Canada'!AA46+'7 CG - US'!AA47</f>
        <v>501</v>
      </c>
      <c r="O52" s="504">
        <f>+'6 Capital Markets Canada'!AB46+'7 CG - US'!AB47</f>
        <v>493</v>
      </c>
      <c r="P52" s="504">
        <f>+'6 Capital Markets Canada'!AC46+'7 CG - US'!AC47</f>
        <v>490</v>
      </c>
      <c r="Q52" s="504">
        <f>+'6 Capital Markets Canada'!AD46+'7 CG - US'!AD47</f>
        <v>485</v>
      </c>
      <c r="R52" s="504">
        <f>+'6 Capital Markets Canada'!AE46+'7 CG - US'!AE47</f>
        <v>475</v>
      </c>
      <c r="S52" s="504">
        <f>+'6 Capital Markets Canada'!AF46+'7 CG - US'!AF47</f>
        <v>483</v>
      </c>
      <c r="T52" s="504">
        <v>225</v>
      </c>
      <c r="U52" s="504">
        <v>239</v>
      </c>
      <c r="V52" s="504">
        <v>247</v>
      </c>
      <c r="W52" s="504">
        <v>262</v>
      </c>
      <c r="X52" s="504">
        <v>266</v>
      </c>
      <c r="Y52" s="504"/>
      <c r="Z52" s="504"/>
      <c r="AA52" s="504"/>
      <c r="AB52" s="504"/>
      <c r="AC52" s="504"/>
      <c r="AD52" s="504"/>
      <c r="AE52" s="504"/>
      <c r="AF52" s="504"/>
      <c r="AG52" s="504"/>
      <c r="AH52" s="504"/>
      <c r="AI52" s="504"/>
      <c r="AJ52" s="504"/>
      <c r="AK52" s="359"/>
      <c r="AL52" s="359"/>
      <c r="AM52" s="457"/>
      <c r="AN52" s="457"/>
      <c r="AO52" s="457"/>
      <c r="AP52" s="359"/>
      <c r="AQ52" s="359"/>
      <c r="AR52" s="359"/>
      <c r="AS52" s="359"/>
      <c r="AT52" s="359"/>
      <c r="AU52" s="359">
        <f>+K52</f>
        <v>500</v>
      </c>
      <c r="AV52" s="359">
        <f>+O52</f>
        <v>493</v>
      </c>
      <c r="AW52" s="631">
        <f>AZ52-BA52</f>
        <v>-31</v>
      </c>
      <c r="AX52" s="683">
        <f>IF(OR((AW52/BA52)&gt;3,(AW52/BA52)&lt;-3),"n.m.",(AW52/BA52))</f>
        <v>-6.1876247504990017E-2</v>
      </c>
      <c r="AY52" s="618"/>
      <c r="AZ52" s="504">
        <f>+'6 Capital Markets Canada'!BQ46+'7 CG - US'!BQ47</f>
        <v>470</v>
      </c>
      <c r="BA52" s="504">
        <f>+'6 Capital Markets Canada'!BR46+'7 CG - US'!BR47</f>
        <v>501</v>
      </c>
      <c r="BB52" s="504">
        <f>+'6 Capital Markets Canada'!BS46+'7 CG - US'!BS47</f>
        <v>475</v>
      </c>
      <c r="BC52" s="504">
        <f>+'6 Capital Markets Canada'!BT46+'7 CG - US'!BT47</f>
        <v>549</v>
      </c>
      <c r="BD52" s="504">
        <f>+'6 Capital Markets Canada'!BU46+'7 CG - US'!BU47</f>
        <v>443</v>
      </c>
      <c r="BE52" s="280">
        <v>203</v>
      </c>
      <c r="BF52" s="280">
        <v>209</v>
      </c>
      <c r="BG52" s="690"/>
      <c r="BH52" s="693"/>
      <c r="BI52" s="694"/>
      <c r="BJ52" s="694"/>
      <c r="BK52" s="694"/>
      <c r="BL52" s="575"/>
      <c r="BN52" s="575"/>
      <c r="BO52" s="575"/>
      <c r="BP52" s="575"/>
      <c r="BQ52" s="575"/>
    </row>
    <row r="53" spans="1:69" ht="12.75" customHeight="1" x14ac:dyDescent="0.2">
      <c r="A53" s="584"/>
      <c r="B53" s="584"/>
      <c r="C53" s="618"/>
      <c r="D53" s="618"/>
      <c r="E53" s="618"/>
      <c r="F53" s="618"/>
      <c r="G53" s="618"/>
      <c r="H53" s="618"/>
      <c r="I53" s="618"/>
      <c r="J53" s="618"/>
      <c r="K53" s="618"/>
      <c r="L53" s="618"/>
      <c r="M53" s="618"/>
      <c r="N53" s="618"/>
      <c r="O53" s="618"/>
      <c r="P53" s="618"/>
      <c r="Q53" s="618"/>
      <c r="R53" s="618"/>
      <c r="S53" s="618"/>
      <c r="T53" s="618"/>
      <c r="U53" s="618"/>
      <c r="V53" s="618"/>
      <c r="W53" s="618"/>
      <c r="X53" s="618"/>
      <c r="Y53" s="618"/>
      <c r="Z53" s="618"/>
      <c r="AA53" s="618"/>
      <c r="AB53" s="618"/>
      <c r="AC53" s="618"/>
      <c r="AD53" s="618"/>
      <c r="AE53" s="618"/>
      <c r="AF53" s="618"/>
      <c r="AG53" s="618"/>
      <c r="AH53" s="618"/>
      <c r="AI53" s="618"/>
      <c r="AJ53" s="618"/>
      <c r="AK53" s="618"/>
      <c r="AL53" s="618"/>
      <c r="AM53" s="618"/>
      <c r="AN53" s="618"/>
      <c r="AO53" s="618"/>
      <c r="AP53" s="618"/>
      <c r="AQ53" s="618"/>
      <c r="AR53" s="618"/>
      <c r="AS53" s="618"/>
      <c r="AT53" s="618"/>
      <c r="AU53" s="618"/>
      <c r="AV53" s="618"/>
      <c r="AW53" s="695"/>
      <c r="AX53" s="695"/>
      <c r="AY53" s="618"/>
      <c r="AZ53" s="618"/>
      <c r="BA53" s="618"/>
      <c r="BB53" s="618"/>
      <c r="BC53" s="618"/>
      <c r="BD53" s="798"/>
      <c r="BE53" s="618"/>
      <c r="BF53" s="618"/>
      <c r="BG53" s="618"/>
      <c r="BH53" s="618"/>
      <c r="BI53" s="696"/>
      <c r="BJ53" s="696"/>
      <c r="BK53" s="696"/>
      <c r="BL53" s="575"/>
      <c r="BN53" s="575"/>
      <c r="BO53" s="575"/>
      <c r="BP53" s="575"/>
      <c r="BQ53" s="575"/>
    </row>
    <row r="54" spans="1:69" ht="18" customHeight="1" x14ac:dyDescent="0.2">
      <c r="A54" s="697" t="s">
        <v>250</v>
      </c>
      <c r="B54" s="584"/>
      <c r="C54" s="619"/>
      <c r="D54" s="619"/>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618"/>
      <c r="AF54" s="618"/>
      <c r="AG54" s="618"/>
      <c r="AH54" s="618"/>
      <c r="AI54" s="618"/>
      <c r="AJ54" s="618"/>
      <c r="AK54" s="618"/>
      <c r="AL54" s="618"/>
      <c r="AM54" s="618"/>
      <c r="AN54" s="619"/>
      <c r="AO54" s="619"/>
      <c r="AP54" s="619"/>
      <c r="AQ54" s="619"/>
      <c r="AR54" s="619"/>
      <c r="AS54" s="619"/>
      <c r="AT54" s="618"/>
      <c r="AU54" s="619"/>
      <c r="AV54" s="619"/>
      <c r="AW54" s="695"/>
      <c r="AX54" s="695"/>
      <c r="AY54" s="619"/>
      <c r="AZ54" s="619"/>
      <c r="BA54" s="619"/>
      <c r="BB54" s="619"/>
      <c r="BC54" s="619"/>
      <c r="BD54" s="619"/>
      <c r="BE54" s="619"/>
      <c r="BF54" s="786"/>
      <c r="BG54" s="619"/>
      <c r="BH54" s="619"/>
      <c r="BI54" s="698"/>
      <c r="BJ54" s="698"/>
      <c r="BK54" s="698"/>
      <c r="BL54" s="575"/>
      <c r="BN54" s="575"/>
      <c r="BO54" s="575"/>
      <c r="BP54" s="575"/>
      <c r="BQ54" s="575"/>
    </row>
    <row r="55" spans="1:69" ht="12.75" customHeight="1" x14ac:dyDescent="0.2">
      <c r="A55" s="699"/>
      <c r="B55" s="584"/>
      <c r="C55" s="619"/>
      <c r="D55" s="619"/>
      <c r="E55" s="618"/>
      <c r="F55" s="618"/>
      <c r="G55" s="700"/>
      <c r="H55" s="700"/>
      <c r="I55" s="618"/>
      <c r="J55" s="618"/>
      <c r="K55" s="700"/>
      <c r="L55" s="700"/>
      <c r="M55" s="618"/>
      <c r="N55" s="618"/>
      <c r="O55" s="700"/>
      <c r="P55" s="700"/>
      <c r="Q55" s="618"/>
      <c r="R55" s="618"/>
      <c r="S55" s="700"/>
      <c r="T55" s="700"/>
      <c r="U55" s="618"/>
      <c r="V55" s="618"/>
      <c r="W55" s="618"/>
      <c r="X55" s="700"/>
      <c r="Y55" s="618"/>
      <c r="Z55" s="700"/>
      <c r="AA55" s="618"/>
      <c r="AB55" s="700"/>
      <c r="AC55" s="618"/>
      <c r="AD55" s="700"/>
      <c r="AE55" s="618"/>
      <c r="AF55" s="700"/>
      <c r="AG55" s="618"/>
      <c r="AH55" s="700"/>
      <c r="AI55" s="618"/>
      <c r="AJ55" s="618"/>
      <c r="AK55" s="618"/>
      <c r="AL55" s="618"/>
      <c r="AM55" s="618"/>
      <c r="AN55" s="619"/>
      <c r="AO55" s="619"/>
      <c r="AP55" s="619"/>
      <c r="AQ55" s="619"/>
      <c r="AR55" s="619"/>
      <c r="AS55" s="619"/>
      <c r="AT55" s="618"/>
      <c r="AU55" s="619"/>
      <c r="AV55" s="619"/>
      <c r="AW55" s="695"/>
      <c r="AX55" s="695"/>
      <c r="AY55" s="619"/>
      <c r="AZ55" s="619"/>
      <c r="BA55" s="619"/>
      <c r="BB55" s="619"/>
      <c r="BC55" s="619"/>
      <c r="BD55" s="619"/>
      <c r="BE55" s="619"/>
      <c r="BF55" s="619"/>
      <c r="BG55" s="619"/>
      <c r="BH55" s="619"/>
      <c r="BI55" s="698"/>
      <c r="BJ55" s="698"/>
      <c r="BK55" s="698"/>
      <c r="BL55" s="575"/>
      <c r="BN55" s="575"/>
      <c r="BO55" s="575"/>
      <c r="BP55" s="575"/>
      <c r="BQ55" s="575"/>
    </row>
    <row r="56" spans="1:69" ht="12.75" customHeight="1" x14ac:dyDescent="0.2">
      <c r="A56" s="583"/>
      <c r="B56" s="584"/>
      <c r="C56" s="3165" t="s">
        <v>365</v>
      </c>
      <c r="D56" s="3166"/>
      <c r="E56" s="585"/>
      <c r="F56" s="586"/>
      <c r="G56" s="586"/>
      <c r="I56" s="587"/>
      <c r="J56" s="586"/>
      <c r="K56" s="586"/>
      <c r="M56" s="587"/>
      <c r="N56" s="586"/>
      <c r="O56" s="586"/>
      <c r="Q56" s="587"/>
      <c r="R56" s="586"/>
      <c r="S56" s="586"/>
      <c r="U56" s="587"/>
      <c r="V56" s="586"/>
      <c r="W56" s="586"/>
      <c r="Y56" s="587"/>
      <c r="Z56" s="586"/>
      <c r="AA56" s="586"/>
      <c r="AC56" s="587"/>
      <c r="AD56" s="586"/>
      <c r="AE56" s="586"/>
      <c r="AG56" s="587"/>
      <c r="AI56" s="586"/>
      <c r="AJ56" s="586"/>
      <c r="AK56" s="587"/>
      <c r="AL56" s="586"/>
      <c r="AM56" s="586"/>
      <c r="AN56" s="586"/>
      <c r="AO56" s="586"/>
      <c r="AP56" s="588"/>
      <c r="AQ56" s="587"/>
      <c r="AR56" s="587"/>
      <c r="AS56" s="587"/>
      <c r="AT56" s="594"/>
      <c r="AU56" s="433" t="s">
        <v>299</v>
      </c>
      <c r="AV56" s="433"/>
      <c r="AW56" s="433" t="s">
        <v>355</v>
      </c>
      <c r="AX56" s="434"/>
      <c r="AY56" s="590"/>
      <c r="AZ56" s="591"/>
      <c r="BA56" s="591"/>
      <c r="BB56" s="591"/>
      <c r="BC56" s="591"/>
      <c r="BD56" s="591"/>
      <c r="BE56" s="591"/>
      <c r="BF56" s="591"/>
      <c r="BG56" s="701"/>
      <c r="BH56" s="702"/>
      <c r="BI56" s="591"/>
      <c r="BJ56" s="591"/>
      <c r="BK56" s="591"/>
      <c r="BL56" s="594"/>
      <c r="BN56" s="575"/>
      <c r="BO56" s="575"/>
      <c r="BP56" s="575"/>
      <c r="BQ56" s="575"/>
    </row>
    <row r="57" spans="1:69" ht="12.75" customHeight="1" x14ac:dyDescent="0.2">
      <c r="A57" s="583" t="s">
        <v>2</v>
      </c>
      <c r="B57" s="584"/>
      <c r="C57" s="3161" t="s">
        <v>38</v>
      </c>
      <c r="D57" s="3162"/>
      <c r="E57" s="595"/>
      <c r="F57" s="19"/>
      <c r="G57" s="19"/>
      <c r="H57" s="19"/>
      <c r="I57" s="12" t="s">
        <v>364</v>
      </c>
      <c r="J57" s="19" t="s">
        <v>348</v>
      </c>
      <c r="K57" s="19" t="s">
        <v>349</v>
      </c>
      <c r="L57" s="19" t="s">
        <v>350</v>
      </c>
      <c r="M57" s="12" t="s">
        <v>351</v>
      </c>
      <c r="N57" s="596" t="s">
        <v>315</v>
      </c>
      <c r="O57" s="596" t="s">
        <v>314</v>
      </c>
      <c r="P57" s="596" t="s">
        <v>313</v>
      </c>
      <c r="Q57" s="597" t="s">
        <v>311</v>
      </c>
      <c r="R57" s="596" t="s">
        <v>270</v>
      </c>
      <c r="S57" s="596" t="s">
        <v>271</v>
      </c>
      <c r="T57" s="596" t="s">
        <v>272</v>
      </c>
      <c r="U57" s="597" t="s">
        <v>273</v>
      </c>
      <c r="V57" s="596" t="s">
        <v>223</v>
      </c>
      <c r="W57" s="596" t="s">
        <v>224</v>
      </c>
      <c r="X57" s="596" t="s">
        <v>225</v>
      </c>
      <c r="Y57" s="597" t="s">
        <v>222</v>
      </c>
      <c r="Z57" s="596" t="s">
        <v>189</v>
      </c>
      <c r="AA57" s="596" t="s">
        <v>190</v>
      </c>
      <c r="AB57" s="596" t="s">
        <v>191</v>
      </c>
      <c r="AC57" s="597" t="s">
        <v>192</v>
      </c>
      <c r="AD57" s="596" t="s">
        <v>121</v>
      </c>
      <c r="AE57" s="596" t="s">
        <v>120</v>
      </c>
      <c r="AF57" s="596" t="s">
        <v>119</v>
      </c>
      <c r="AG57" s="597" t="s">
        <v>118</v>
      </c>
      <c r="AH57" s="596" t="s">
        <v>81</v>
      </c>
      <c r="AI57" s="596" t="s">
        <v>82</v>
      </c>
      <c r="AJ57" s="596" t="s">
        <v>83</v>
      </c>
      <c r="AK57" s="597" t="s">
        <v>29</v>
      </c>
      <c r="AL57" s="596" t="s">
        <v>30</v>
      </c>
      <c r="AM57" s="596" t="s">
        <v>31</v>
      </c>
      <c r="AN57" s="596" t="s">
        <v>32</v>
      </c>
      <c r="AO57" s="596" t="s">
        <v>33</v>
      </c>
      <c r="AP57" s="598" t="s">
        <v>34</v>
      </c>
      <c r="AQ57" s="597" t="s">
        <v>35</v>
      </c>
      <c r="AR57" s="597" t="s">
        <v>36</v>
      </c>
      <c r="AS57" s="597" t="s">
        <v>37</v>
      </c>
      <c r="AT57" s="874"/>
      <c r="AU57" s="19" t="s">
        <v>349</v>
      </c>
      <c r="AV57" s="19" t="s">
        <v>314</v>
      </c>
      <c r="AW57" s="3163" t="s">
        <v>38</v>
      </c>
      <c r="AX57" s="3164"/>
      <c r="AY57" s="703"/>
      <c r="AZ57" s="18" t="s">
        <v>360</v>
      </c>
      <c r="BA57" s="18" t="s">
        <v>317</v>
      </c>
      <c r="BB57" s="598" t="s">
        <v>275</v>
      </c>
      <c r="BC57" s="598" t="s">
        <v>227</v>
      </c>
      <c r="BD57" s="598" t="s">
        <v>123</v>
      </c>
      <c r="BE57" s="598" t="s">
        <v>122</v>
      </c>
      <c r="BF57" s="598" t="s">
        <v>42</v>
      </c>
      <c r="BG57" s="598" t="s">
        <v>39</v>
      </c>
      <c r="BH57" s="600" t="s">
        <v>40</v>
      </c>
      <c r="BI57" s="600" t="s">
        <v>142</v>
      </c>
      <c r="BJ57" s="600" t="s">
        <v>143</v>
      </c>
      <c r="BK57" s="600" t="s">
        <v>144</v>
      </c>
      <c r="BL57" s="594"/>
      <c r="BN57" s="575"/>
      <c r="BO57" s="575"/>
      <c r="BP57" s="575"/>
      <c r="BQ57" s="575"/>
    </row>
    <row r="58" spans="1:69" ht="12.75" customHeight="1" x14ac:dyDescent="0.2">
      <c r="A58" s="704"/>
      <c r="B58" s="618" t="s">
        <v>4</v>
      </c>
      <c r="C58" s="705">
        <f>I58-M58</f>
        <v>-31338</v>
      </c>
      <c r="D58" s="706">
        <f>IF(OR((C58/M58)&gt;3,(C58/M58)&lt;-3),"n.m.",(C58/M58))</f>
        <v>-0.26017650623915517</v>
      </c>
      <c r="E58" s="617"/>
      <c r="F58" s="707"/>
      <c r="G58" s="707"/>
      <c r="H58" s="707"/>
      <c r="I58" s="708">
        <f>+I15</f>
        <v>89111</v>
      </c>
      <c r="J58" s="707">
        <f t="shared" ref="J58:S58" si="34">+J15</f>
        <v>104807</v>
      </c>
      <c r="K58" s="707">
        <f t="shared" si="34"/>
        <v>72685</v>
      </c>
      <c r="L58" s="707">
        <f t="shared" si="34"/>
        <v>109616</v>
      </c>
      <c r="M58" s="708">
        <f t="shared" si="34"/>
        <v>120449</v>
      </c>
      <c r="N58" s="707">
        <f t="shared" si="34"/>
        <v>114330</v>
      </c>
      <c r="O58" s="707">
        <f t="shared" si="34"/>
        <v>89552</v>
      </c>
      <c r="P58" s="707">
        <f t="shared" si="34"/>
        <v>75264</v>
      </c>
      <c r="Q58" s="708">
        <f t="shared" si="34"/>
        <v>85853</v>
      </c>
      <c r="R58" s="707">
        <f t="shared" si="34"/>
        <v>102020</v>
      </c>
      <c r="S58" s="707">
        <f t="shared" si="34"/>
        <v>114079</v>
      </c>
      <c r="T58" s="707">
        <v>35445</v>
      </c>
      <c r="U58" s="708">
        <v>35624</v>
      </c>
      <c r="V58" s="707">
        <v>71006</v>
      </c>
      <c r="W58" s="707">
        <v>56942</v>
      </c>
      <c r="X58" s="707">
        <v>42491</v>
      </c>
      <c r="Y58" s="707">
        <f>Y15</f>
        <v>61867</v>
      </c>
      <c r="Z58" s="707">
        <f>Z15</f>
        <v>88632</v>
      </c>
      <c r="AA58" s="709">
        <f>AA15</f>
        <v>109404</v>
      </c>
      <c r="AB58" s="707">
        <f>AB15</f>
        <v>49909</v>
      </c>
      <c r="AC58" s="708">
        <f>AC15</f>
        <v>53057</v>
      </c>
      <c r="AD58" s="707">
        <v>32806</v>
      </c>
      <c r="AE58" s="709">
        <v>58040</v>
      </c>
      <c r="AF58" s="707">
        <v>27314</v>
      </c>
      <c r="AG58" s="708">
        <v>30054</v>
      </c>
      <c r="AH58" s="709">
        <v>25033</v>
      </c>
      <c r="AI58" s="709">
        <v>12639</v>
      </c>
      <c r="AJ58" s="707">
        <v>23461</v>
      </c>
      <c r="AK58" s="708">
        <v>34352</v>
      </c>
      <c r="AL58" s="639">
        <v>31944</v>
      </c>
      <c r="AM58" s="639">
        <v>42952</v>
      </c>
      <c r="AN58" s="639">
        <v>39210</v>
      </c>
      <c r="AO58" s="639">
        <v>62549</v>
      </c>
      <c r="AP58" s="668">
        <v>57382</v>
      </c>
      <c r="AQ58" s="626">
        <v>48897</v>
      </c>
      <c r="AR58" s="626">
        <v>38533</v>
      </c>
      <c r="AS58" s="638">
        <v>42750</v>
      </c>
      <c r="AT58" s="615"/>
      <c r="AU58" s="628">
        <f>SUM(K58:M58)</f>
        <v>302750</v>
      </c>
      <c r="AV58" s="628">
        <f>SUM(O58:Q58)</f>
        <v>250669</v>
      </c>
      <c r="AW58" s="835">
        <f>AZ58-BA58</f>
        <v>42558</v>
      </c>
      <c r="AX58" s="710">
        <f>IF(OR((AW58/BA58)&gt;3,(AW58/BA58)&lt;-3),"n.m.",(AW58/BA58))</f>
        <v>0.11659757971939649</v>
      </c>
      <c r="AY58" s="619"/>
      <c r="AZ58" s="711">
        <f>+AZ15</f>
        <v>407557</v>
      </c>
      <c r="BA58" s="711">
        <f>+SUM(N58:Q58)</f>
        <v>364999</v>
      </c>
      <c r="BB58" s="711">
        <f>+'6 Capital Markets Canada'!BS52+'7 CG - US'!BS53</f>
        <v>357692</v>
      </c>
      <c r="BC58" s="711">
        <f>+'6 Capital Markets Canada'!BT52+'7 CG - US'!BT53</f>
        <v>311792</v>
      </c>
      <c r="BD58" s="711">
        <f>+'6 Capital Markets Canada'!BU52+'7 CG - US'!BU53</f>
        <v>444739</v>
      </c>
      <c r="BE58" s="711">
        <v>177581</v>
      </c>
      <c r="BF58" s="711">
        <v>122850</v>
      </c>
      <c r="BG58" s="668">
        <v>176655</v>
      </c>
      <c r="BH58" s="712">
        <v>187562</v>
      </c>
      <c r="BI58" s="671">
        <v>150470</v>
      </c>
      <c r="BJ58" s="671">
        <f>BJ15</f>
        <v>95559</v>
      </c>
      <c r="BK58" s="671">
        <v>211758</v>
      </c>
      <c r="BL58" s="594"/>
      <c r="BN58" s="575"/>
      <c r="BO58" s="575"/>
      <c r="BP58" s="575"/>
      <c r="BQ58" s="575"/>
    </row>
    <row r="59" spans="1:69" ht="12.75" customHeight="1" x14ac:dyDescent="0.2">
      <c r="A59" s="619"/>
      <c r="B59" s="618" t="s">
        <v>80</v>
      </c>
      <c r="C59" s="705">
        <f>I59-M59</f>
        <v>-18697</v>
      </c>
      <c r="D59" s="706">
        <f>IF(OR((C59/M59)&gt;3,(C59/M59)&lt;-3),"n.m.",(C59/M59))</f>
        <v>-0.19585803775324212</v>
      </c>
      <c r="E59" s="713"/>
      <c r="F59" s="707"/>
      <c r="G59" s="707"/>
      <c r="H59" s="707"/>
      <c r="I59" s="708">
        <f>+I34-666</f>
        <v>76765</v>
      </c>
      <c r="J59" s="707">
        <f>+J34-930-2-J29</f>
        <v>89970</v>
      </c>
      <c r="K59" s="707">
        <f>+K34-930-1</f>
        <v>75641</v>
      </c>
      <c r="L59" s="707">
        <f>+L34-930-1</f>
        <v>88276</v>
      </c>
      <c r="M59" s="708">
        <f>+M34-930-1</f>
        <v>95462</v>
      </c>
      <c r="N59" s="707">
        <f>+N34-931-1</f>
        <v>88421</v>
      </c>
      <c r="O59" s="707">
        <f>+O34-O29-931-1</f>
        <v>77220</v>
      </c>
      <c r="P59" s="707">
        <f>+P34-P29-930-1</f>
        <v>68145</v>
      </c>
      <c r="Q59" s="708">
        <f>+Q34-Q29-930-1</f>
        <v>71410</v>
      </c>
      <c r="R59" s="707">
        <f>+R34-R29-930-1</f>
        <v>80611</v>
      </c>
      <c r="S59" s="707">
        <f>+S34-S29-930-2</f>
        <v>84829</v>
      </c>
      <c r="T59" s="707">
        <v>33948</v>
      </c>
      <c r="U59" s="708">
        <v>30690</v>
      </c>
      <c r="V59" s="707">
        <v>51052</v>
      </c>
      <c r="W59" s="707">
        <v>39039</v>
      </c>
      <c r="X59" s="707">
        <v>34722</v>
      </c>
      <c r="Y59" s="708" t="e">
        <f>Y34-Y29-930</f>
        <v>#REF!</v>
      </c>
      <c r="Z59" s="707">
        <f>Z34-Z29-930</f>
        <v>49341</v>
      </c>
      <c r="AA59" s="707">
        <f>AA34-AA29-930</f>
        <v>61013</v>
      </c>
      <c r="AB59" s="707">
        <f>AB34-1827</f>
        <v>32590</v>
      </c>
      <c r="AC59" s="708">
        <f>AC34-AC33-AC32-AC31-AC30-AC29-1439</f>
        <v>31711</v>
      </c>
      <c r="AD59" s="707">
        <v>22693</v>
      </c>
      <c r="AE59" s="707">
        <v>37922</v>
      </c>
      <c r="AF59" s="707">
        <v>19480</v>
      </c>
      <c r="AG59" s="708">
        <v>22187</v>
      </c>
      <c r="AH59" s="707">
        <f>AH34-AH33-AH32-AH31-AH30</f>
        <v>15783</v>
      </c>
      <c r="AI59" s="707">
        <f>AI34-AI33-AI32-AI31-AI30</f>
        <v>21597</v>
      </c>
      <c r="AJ59" s="707">
        <f>AJ34-AJ33-AJ32-AJ31-AJ30</f>
        <v>20639</v>
      </c>
      <c r="AK59" s="708">
        <f>AK34-AK33-AK32-AK31-AK30</f>
        <v>27571</v>
      </c>
      <c r="AL59" s="639">
        <f>AL34-AL33-AL32-AL31-AL30</f>
        <v>24147</v>
      </c>
      <c r="AM59" s="639">
        <v>86348</v>
      </c>
      <c r="AN59" s="639">
        <v>72982</v>
      </c>
      <c r="AO59" s="639">
        <v>106349</v>
      </c>
      <c r="AP59" s="640">
        <v>100905</v>
      </c>
      <c r="AQ59" s="626">
        <v>75317</v>
      </c>
      <c r="AR59" s="626">
        <v>70703</v>
      </c>
      <c r="AS59" s="626">
        <v>91522</v>
      </c>
      <c r="AT59" s="615"/>
      <c r="AU59" s="658">
        <f>SUM(K59:M59)</f>
        <v>259379</v>
      </c>
      <c r="AV59" s="628">
        <f>SUM(O59:Q59)</f>
        <v>216775</v>
      </c>
      <c r="AW59" s="398">
        <f>AZ59-BA59</f>
        <v>44153</v>
      </c>
      <c r="AX59" s="714">
        <f>IF(OR((AW59/BA59)&gt;3,(AW59/BA59)&lt;-3),"n.m.",(AW59/BA59))</f>
        <v>0.14467096554345404</v>
      </c>
      <c r="AY59" s="619"/>
      <c r="AZ59" s="711">
        <f>+SUM(J59:M59)</f>
        <v>349349</v>
      </c>
      <c r="BA59" s="711">
        <f>+SUM(N59:Q59)</f>
        <v>305196</v>
      </c>
      <c r="BB59" s="711">
        <f>+'6 Capital Markets Canada'!BS53+'7 CG - US'!BS54</f>
        <v>309055</v>
      </c>
      <c r="BC59" s="711">
        <f>+'6 Capital Markets Canada'!BT53+'7 CG - US'!BT54</f>
        <v>250254</v>
      </c>
      <c r="BD59" s="711">
        <f>+'6 Capital Markets Canada'!BU53+'7 CG - US'!BU54</f>
        <v>293123</v>
      </c>
      <c r="BE59" s="711">
        <v>102282</v>
      </c>
      <c r="BF59" s="711">
        <v>102599</v>
      </c>
      <c r="BG59" s="640">
        <f>BG34</f>
        <v>120138</v>
      </c>
      <c r="BH59" s="715">
        <f>BH34</f>
        <v>125171</v>
      </c>
      <c r="BI59" s="642">
        <f>BI34</f>
        <v>105485</v>
      </c>
      <c r="BJ59" s="642">
        <f>BJ34</f>
        <v>67435</v>
      </c>
      <c r="BK59" s="642">
        <v>154490</v>
      </c>
      <c r="BL59" s="594"/>
      <c r="BN59" s="575"/>
      <c r="BO59" s="575"/>
      <c r="BP59" s="575"/>
      <c r="BQ59" s="575"/>
    </row>
    <row r="60" spans="1:69" ht="24.75" customHeight="1" x14ac:dyDescent="0.2">
      <c r="A60" s="619"/>
      <c r="B60" s="676" t="s">
        <v>183</v>
      </c>
      <c r="C60" s="705">
        <f>I60-M60</f>
        <v>-12641</v>
      </c>
      <c r="D60" s="774">
        <f>IF(OR((C60/M60)&gt;3,(C60/M60)&lt;-3),"n.m.",(C60/M60))</f>
        <v>-0.50590306959619002</v>
      </c>
      <c r="E60" s="713"/>
      <c r="F60" s="707"/>
      <c r="G60" s="280"/>
      <c r="H60" s="707"/>
      <c r="I60" s="708">
        <f>+I58-I59</f>
        <v>12346</v>
      </c>
      <c r="J60" s="707">
        <f>+J58-J59</f>
        <v>14837</v>
      </c>
      <c r="K60" s="280">
        <f t="shared" ref="K60:S60" si="35">+K58-K59</f>
        <v>-2956</v>
      </c>
      <c r="L60" s="707">
        <f t="shared" si="35"/>
        <v>21340</v>
      </c>
      <c r="M60" s="708">
        <f t="shared" si="35"/>
        <v>24987</v>
      </c>
      <c r="N60" s="707">
        <f t="shared" si="35"/>
        <v>25909</v>
      </c>
      <c r="O60" s="707">
        <f t="shared" si="35"/>
        <v>12332</v>
      </c>
      <c r="P60" s="707">
        <f t="shared" si="35"/>
        <v>7119</v>
      </c>
      <c r="Q60" s="708">
        <f t="shared" si="35"/>
        <v>14443</v>
      </c>
      <c r="R60" s="707">
        <f t="shared" si="35"/>
        <v>21409</v>
      </c>
      <c r="S60" s="707">
        <f t="shared" si="35"/>
        <v>29250</v>
      </c>
      <c r="T60" s="707">
        <v>1497</v>
      </c>
      <c r="U60" s="708">
        <v>4934</v>
      </c>
      <c r="V60" s="707">
        <v>19954</v>
      </c>
      <c r="W60" s="707">
        <v>17903</v>
      </c>
      <c r="X60" s="707">
        <v>7769</v>
      </c>
      <c r="Y60" s="708" t="e">
        <f t="shared" ref="Y60:AL60" si="36">Y58-Y59</f>
        <v>#REF!</v>
      </c>
      <c r="Z60" s="707">
        <f t="shared" si="36"/>
        <v>39291</v>
      </c>
      <c r="AA60" s="707">
        <f t="shared" si="36"/>
        <v>48391</v>
      </c>
      <c r="AB60" s="707">
        <f t="shared" si="36"/>
        <v>17319</v>
      </c>
      <c r="AC60" s="708">
        <f t="shared" si="36"/>
        <v>21346</v>
      </c>
      <c r="AD60" s="707">
        <f t="shared" si="36"/>
        <v>10113</v>
      </c>
      <c r="AE60" s="707">
        <f t="shared" si="36"/>
        <v>20118</v>
      </c>
      <c r="AF60" s="707">
        <f>AF58-AF59</f>
        <v>7834</v>
      </c>
      <c r="AG60" s="708">
        <f t="shared" si="36"/>
        <v>7867</v>
      </c>
      <c r="AH60" s="707">
        <f t="shared" si="36"/>
        <v>9250</v>
      </c>
      <c r="AI60" s="707">
        <f t="shared" si="36"/>
        <v>-8958</v>
      </c>
      <c r="AJ60" s="707">
        <f t="shared" si="36"/>
        <v>2822</v>
      </c>
      <c r="AK60" s="708">
        <f t="shared" si="36"/>
        <v>6781</v>
      </c>
      <c r="AL60" s="639">
        <f t="shared" si="36"/>
        <v>7797</v>
      </c>
      <c r="AM60" s="639">
        <v>23235</v>
      </c>
      <c r="AN60" s="639">
        <v>16089</v>
      </c>
      <c r="AO60" s="639">
        <v>48674</v>
      </c>
      <c r="AP60" s="640">
        <v>29246</v>
      </c>
      <c r="AQ60" s="626">
        <v>26110</v>
      </c>
      <c r="AR60" s="626">
        <v>22330</v>
      </c>
      <c r="AS60" s="626">
        <v>33584</v>
      </c>
      <c r="AT60" s="615"/>
      <c r="AU60" s="658">
        <f>AU58-AU59</f>
        <v>43371</v>
      </c>
      <c r="AV60" s="628">
        <f>+AV58-AV59</f>
        <v>33894</v>
      </c>
      <c r="AW60" s="398">
        <f>AZ60-BA60</f>
        <v>-1595</v>
      </c>
      <c r="AX60" s="714">
        <f>IF(OR((AW60/BA60)&gt;3,(AW60/BA60)&lt;-3),"n.m.",(AW60/BA60))</f>
        <v>-2.667090279751852E-2</v>
      </c>
      <c r="AY60" s="619"/>
      <c r="AZ60" s="711">
        <f>+AZ58-AZ59</f>
        <v>58208</v>
      </c>
      <c r="BA60" s="711">
        <f>+SUM(N60:Q60)</f>
        <v>59803</v>
      </c>
      <c r="BB60" s="711" t="e">
        <f>+'6 Capital Markets Canada'!#REF!+'7 CG - US'!#REF!</f>
        <v>#REF!</v>
      </c>
      <c r="BC60" s="711" t="e">
        <f>+'6 Capital Markets Canada'!#REF!+'7 CG - US'!#REF!</f>
        <v>#REF!</v>
      </c>
      <c r="BD60" s="711" t="e">
        <f>+'6 Capital Markets Canada'!#REF!+'7 CG - US'!#REF!</f>
        <v>#REF!</v>
      </c>
      <c r="BE60" s="711">
        <v>75299</v>
      </c>
      <c r="BF60" s="711">
        <v>20251</v>
      </c>
      <c r="BG60" s="716">
        <f>BG58-BG59</f>
        <v>56517</v>
      </c>
      <c r="BH60" s="717">
        <f>BH58-BH59</f>
        <v>62391</v>
      </c>
      <c r="BI60" s="718">
        <f>BI58-BI59</f>
        <v>44985</v>
      </c>
      <c r="BJ60" s="718">
        <f>BJ58-BJ59</f>
        <v>28124</v>
      </c>
      <c r="BK60" s="718">
        <v>57268</v>
      </c>
      <c r="BL60" s="594"/>
      <c r="BN60" s="575"/>
      <c r="BO60" s="575"/>
      <c r="BP60" s="575"/>
      <c r="BQ60" s="575"/>
    </row>
    <row r="61" spans="1:69" ht="24.75" customHeight="1" x14ac:dyDescent="0.2">
      <c r="A61" s="619"/>
      <c r="B61" s="676" t="s">
        <v>338</v>
      </c>
      <c r="C61" s="719" t="e">
        <f>I61-M61</f>
        <v>#REF!</v>
      </c>
      <c r="D61" s="720" t="e">
        <f>IF(OR((C61/M61)&gt;3,(C61/M61)&lt;-3),"n.m.",(C61/M61))</f>
        <v>#REF!</v>
      </c>
      <c r="E61" s="713"/>
      <c r="F61" s="627"/>
      <c r="G61" s="627"/>
      <c r="H61" s="627"/>
      <c r="I61" s="721" t="e">
        <f>+I60-I40</f>
        <v>#REF!</v>
      </c>
      <c r="J61" s="627">
        <f t="shared" ref="J61:S61" si="37">+J60-J40</f>
        <v>11571</v>
      </c>
      <c r="K61" s="832">
        <f t="shared" si="37"/>
        <v>-5691</v>
      </c>
      <c r="L61" s="627">
        <f t="shared" si="37"/>
        <v>17743</v>
      </c>
      <c r="M61" s="721">
        <f t="shared" si="37"/>
        <v>22073</v>
      </c>
      <c r="N61" s="627">
        <f t="shared" si="37"/>
        <v>22130</v>
      </c>
      <c r="O61" s="627">
        <f t="shared" si="37"/>
        <v>8900</v>
      </c>
      <c r="P61" s="627">
        <f t="shared" si="37"/>
        <v>4596</v>
      </c>
      <c r="Q61" s="721">
        <f t="shared" si="37"/>
        <v>11557</v>
      </c>
      <c r="R61" s="627">
        <f t="shared" si="37"/>
        <v>19130</v>
      </c>
      <c r="S61" s="627">
        <f t="shared" si="37"/>
        <v>26659</v>
      </c>
      <c r="T61" s="832">
        <v>-1021</v>
      </c>
      <c r="U61" s="721">
        <v>2020</v>
      </c>
      <c r="V61" s="627">
        <v>16847</v>
      </c>
      <c r="W61" s="627">
        <v>15288</v>
      </c>
      <c r="X61" s="627">
        <v>4665</v>
      </c>
      <c r="Y61" s="721" t="e">
        <f>+Y60-Y40</f>
        <v>#REF!</v>
      </c>
      <c r="Z61" s="627">
        <f>+Z60-Z40</f>
        <v>37731</v>
      </c>
      <c r="AA61" s="627">
        <f>+AA60-AA40</f>
        <v>46595</v>
      </c>
      <c r="AB61" s="627"/>
      <c r="AC61" s="721"/>
      <c r="AD61" s="627"/>
      <c r="AE61" s="627"/>
      <c r="AF61" s="627"/>
      <c r="AG61" s="721"/>
      <c r="AH61" s="627"/>
      <c r="AI61" s="627"/>
      <c r="AJ61" s="627"/>
      <c r="AK61" s="721"/>
      <c r="AL61" s="625"/>
      <c r="AM61" s="625"/>
      <c r="AN61" s="625"/>
      <c r="AO61" s="625"/>
      <c r="AP61" s="716"/>
      <c r="AQ61" s="649"/>
      <c r="AR61" s="649"/>
      <c r="AS61" s="649"/>
      <c r="AT61" s="615"/>
      <c r="AU61" s="627">
        <f>+AU60-AU40</f>
        <v>34125</v>
      </c>
      <c r="AV61" s="627">
        <f>+AV60-AV40</f>
        <v>25053</v>
      </c>
      <c r="AW61" s="836">
        <f>AZ61-BA61</f>
        <v>-1487</v>
      </c>
      <c r="AX61" s="720">
        <f>IF(OR((AW61/BA61)&gt;3,(AW61/BA61)&lt;-3),"n.m.",(AW61/BA61))</f>
        <v>-3.151558824152767E-2</v>
      </c>
      <c r="AY61" s="619"/>
      <c r="AZ61" s="722">
        <f>+AZ60-AZ40</f>
        <v>45696</v>
      </c>
      <c r="BA61" s="722">
        <f>+SUM(N61:Q61)</f>
        <v>47183</v>
      </c>
      <c r="BB61" s="722">
        <f>+'6 Capital Markets Canada'!BS55+'7 CG - US'!BS56</f>
        <v>38335</v>
      </c>
      <c r="BC61" s="722">
        <f>+'6 Capital Markets Canada'!BT55+'7 CG - US'!BT56</f>
        <v>49671</v>
      </c>
      <c r="BD61" s="722">
        <f>+'6 Capital Markets Canada'!BU55+'7 CG - US'!BU56</f>
        <v>140713</v>
      </c>
      <c r="BE61" s="722">
        <v>65726</v>
      </c>
      <c r="BF61" s="722">
        <v>20251</v>
      </c>
      <c r="BG61" s="639"/>
      <c r="BH61" s="639"/>
      <c r="BI61" s="653"/>
      <c r="BJ61" s="653"/>
      <c r="BK61" s="653"/>
      <c r="BL61" s="575"/>
      <c r="BN61" s="575"/>
      <c r="BO61" s="575"/>
      <c r="BP61" s="575"/>
      <c r="BQ61" s="575"/>
    </row>
    <row r="62" spans="1:69" ht="12.75" customHeight="1" x14ac:dyDescent="0.2">
      <c r="A62" s="619"/>
      <c r="B62" s="618"/>
      <c r="C62" s="723"/>
      <c r="D62" s="693"/>
      <c r="E62" s="693"/>
      <c r="F62" s="693"/>
      <c r="G62" s="584"/>
      <c r="H62" s="584"/>
      <c r="I62" s="618"/>
      <c r="J62" s="693"/>
      <c r="K62" s="584"/>
      <c r="L62" s="584"/>
      <c r="M62" s="618"/>
      <c r="N62" s="693"/>
      <c r="O62" s="584"/>
      <c r="P62" s="584"/>
      <c r="Q62" s="618"/>
      <c r="R62" s="693"/>
      <c r="S62" s="584"/>
      <c r="T62" s="584"/>
      <c r="U62" s="618"/>
      <c r="V62" s="693"/>
      <c r="W62" s="693"/>
      <c r="X62" s="584"/>
      <c r="Y62" s="618"/>
      <c r="Z62" s="693"/>
      <c r="AA62" s="693"/>
      <c r="AB62" s="693"/>
      <c r="AC62" s="618"/>
      <c r="AD62" s="693"/>
      <c r="AE62" s="693"/>
      <c r="AF62" s="693"/>
      <c r="AG62" s="618"/>
      <c r="AH62" s="693"/>
      <c r="AI62" s="693"/>
      <c r="AJ62" s="693"/>
      <c r="AK62" s="618"/>
      <c r="AL62" s="619"/>
      <c r="AM62" s="619"/>
      <c r="AN62" s="619"/>
      <c r="AO62" s="619"/>
      <c r="AP62" s="619"/>
      <c r="AQ62" s="619"/>
      <c r="AR62" s="619"/>
      <c r="AS62" s="619"/>
      <c r="AT62" s="618"/>
      <c r="AU62" s="693"/>
      <c r="AV62" s="693"/>
      <c r="AW62" s="724"/>
      <c r="AX62" s="725"/>
      <c r="AY62" s="618"/>
      <c r="AZ62" s="618"/>
      <c r="BA62" s="618"/>
      <c r="BB62" s="618"/>
      <c r="BC62" s="618"/>
      <c r="BD62" s="618"/>
      <c r="BE62" s="618"/>
      <c r="BF62" s="618"/>
      <c r="BG62" s="619"/>
      <c r="BH62" s="619"/>
      <c r="BI62" s="653"/>
      <c r="BJ62" s="653"/>
      <c r="BK62" s="653"/>
      <c r="BL62" s="575"/>
      <c r="BN62" s="575"/>
      <c r="BO62" s="575"/>
      <c r="BP62" s="575"/>
      <c r="BQ62" s="575"/>
    </row>
    <row r="63" spans="1:69" ht="12.75" customHeight="1" x14ac:dyDescent="0.2">
      <c r="A63" s="619"/>
      <c r="B63" s="688" t="s">
        <v>75</v>
      </c>
      <c r="C63" s="726">
        <f>(I63-M63)*100</f>
        <v>7.6015350615617034</v>
      </c>
      <c r="D63" s="693"/>
      <c r="E63" s="693"/>
      <c r="F63" s="693"/>
      <c r="G63" s="693"/>
      <c r="H63" s="693"/>
      <c r="I63" s="693">
        <f>(I59-I19-I20)/I58</f>
        <v>0.3424268608813727</v>
      </c>
      <c r="J63" s="693">
        <f t="shared" ref="J63:S63" si="38">(J59-J19-J20)/J58</f>
        <v>0.28832997795948745</v>
      </c>
      <c r="K63" s="693">
        <f t="shared" si="38"/>
        <v>0.47539382265942076</v>
      </c>
      <c r="L63" s="693">
        <f t="shared" si="38"/>
        <v>0.27479565027003355</v>
      </c>
      <c r="M63" s="693">
        <f t="shared" si="38"/>
        <v>0.26641151026575566</v>
      </c>
      <c r="N63" s="693">
        <f t="shared" si="38"/>
        <v>0.26571328610163564</v>
      </c>
      <c r="O63" s="693">
        <f t="shared" si="38"/>
        <v>0.31016616044309453</v>
      </c>
      <c r="P63" s="693">
        <f t="shared" si="38"/>
        <v>0.34151785714285715</v>
      </c>
      <c r="Q63" s="693">
        <f t="shared" si="38"/>
        <v>0.31798539363796258</v>
      </c>
      <c r="R63" s="693">
        <f t="shared" si="38"/>
        <v>0.22968045481278182</v>
      </c>
      <c r="S63" s="693">
        <f t="shared" si="38"/>
        <v>0.23003357322557175</v>
      </c>
      <c r="T63" s="693">
        <v>0.3457469318662717</v>
      </c>
      <c r="U63" s="693">
        <v>0.33334269032113184</v>
      </c>
      <c r="V63" s="693">
        <v>0.18522378390558544</v>
      </c>
      <c r="W63" s="693">
        <v>0.19358294404832987</v>
      </c>
      <c r="X63" s="693">
        <v>0.32216234026029039</v>
      </c>
      <c r="Y63" s="693" t="e">
        <f>(Y59-Y19-Y20)/Y58</f>
        <v>#REF!</v>
      </c>
      <c r="Z63" s="693">
        <f>(Z59-Z19-Z20)/Z58</f>
        <v>0.1049846556548425</v>
      </c>
      <c r="AA63" s="693">
        <f>(AA59-AA19-AA20)/AA15</f>
        <v>0.10878030053745749</v>
      </c>
      <c r="AB63" s="693">
        <f>(AB59-AB19-AB20)/AB15</f>
        <v>0.1807689995792342</v>
      </c>
      <c r="AC63" s="693">
        <f>(AC59-AC19-AC20)/AC15</f>
        <v>0.15194978984865334</v>
      </c>
      <c r="AD63" s="693">
        <v>0.1537803312755944</v>
      </c>
      <c r="AE63" s="693">
        <v>0.10480982581197477</v>
      </c>
      <c r="AF63" s="693">
        <v>0.15381132075471698</v>
      </c>
      <c r="AG63" s="693">
        <v>0.14983030545018966</v>
      </c>
      <c r="AH63" s="693">
        <f>(AH22+AH23+AH24+AH25+AH26+AH27+AH28)/AH15</f>
        <v>0.11488834738145648</v>
      </c>
      <c r="AI63" s="693">
        <f>(AI22+AI23+AI24+AI25+AI26+AI27+AI28)/AI15</f>
        <v>0.45581137748239575</v>
      </c>
      <c r="AJ63" s="693">
        <f>(AJ22+AJ23+AJ24+AJ25+AJ26+AJ27+AJ28)/AJ15</f>
        <v>0.28570819658156088</v>
      </c>
      <c r="AK63" s="693">
        <f>(AK22+AK23+AK24+AK25+AK26+AK27+AK28)/AK15</f>
        <v>0.21975430833721471</v>
      </c>
      <c r="AL63" s="693">
        <f>(AL22+AL23+AL24+AL25+AL26+AL27+AL28)/AL15</f>
        <v>0.22119959929877286</v>
      </c>
      <c r="AM63" s="690">
        <v>0.22941514650995137</v>
      </c>
      <c r="AN63" s="690">
        <v>0.30967430476810637</v>
      </c>
      <c r="AO63" s="690">
        <v>0.16900000000000004</v>
      </c>
      <c r="AP63" s="690">
        <v>0.21100000000000008</v>
      </c>
      <c r="AQ63" s="690">
        <v>0.20399999999999996</v>
      </c>
      <c r="AR63" s="690">
        <v>0.249</v>
      </c>
      <c r="AS63" s="690">
        <v>0.17899999999999994</v>
      </c>
      <c r="AT63" s="618"/>
      <c r="AU63" s="693">
        <f>(AU59-AU19-AU20)/AU58</f>
        <v>0.31962014863748966</v>
      </c>
      <c r="AV63" s="693">
        <f>(AV59-AV19-AV20)/AV58</f>
        <v>0.32225763855921552</v>
      </c>
      <c r="AW63" s="686">
        <f>(AZ63-BA63)*100</f>
        <v>0.70275559884178107</v>
      </c>
      <c r="AX63" s="725"/>
      <c r="AY63" s="618"/>
      <c r="AZ63" s="693">
        <f t="shared" ref="AZ63:BE63" si="39">(AZ59-AZ19-AZ20)/AZ58</f>
        <v>0.31157359584058181</v>
      </c>
      <c r="BA63" s="693">
        <f t="shared" si="39"/>
        <v>0.304546039852164</v>
      </c>
      <c r="BB63" s="693">
        <f t="shared" si="39"/>
        <v>0.30399337977925145</v>
      </c>
      <c r="BC63" s="693">
        <f t="shared" si="39"/>
        <v>0.27171640067737468</v>
      </c>
      <c r="BD63" s="693">
        <f t="shared" si="39"/>
        <v>0.17796505366068638</v>
      </c>
      <c r="BE63" s="693">
        <f t="shared" si="39"/>
        <v>2.628096474284974E-2</v>
      </c>
      <c r="BF63" s="690">
        <v>0.25467643467643469</v>
      </c>
      <c r="BG63" s="690">
        <f>(BG22+BG23+BG24+BG25+BG26+BG27+BG28)/BG15</f>
        <v>0.1641504627664091</v>
      </c>
      <c r="BH63" s="690">
        <f>(BH22+BH23+BH24+BH25+BH26+BH27+BH28)/BH15</f>
        <v>0.13159381964363784</v>
      </c>
      <c r="BI63" s="688">
        <f>(BI22+BI23+BI24+BI25+BI26+BI27+BI28)/BI15</f>
        <v>0.13831328504020735</v>
      </c>
      <c r="BJ63" s="688">
        <f>(BJ22+BJ23+BJ24+BJ25+BJ26+BJ27+BJ28)/BJ15</f>
        <v>0.13580091880408962</v>
      </c>
      <c r="BK63" s="688">
        <v>0.10299999999999998</v>
      </c>
      <c r="BL63" s="575"/>
      <c r="BN63" s="575"/>
      <c r="BO63" s="575"/>
      <c r="BP63" s="575"/>
      <c r="BQ63" s="575"/>
    </row>
    <row r="64" spans="1:69" ht="12.75" customHeight="1" x14ac:dyDescent="0.2">
      <c r="A64" s="619"/>
      <c r="B64" s="688" t="s">
        <v>76</v>
      </c>
      <c r="C64" s="726">
        <f>(I64-M64)*100</f>
        <v>6.8902488341531676</v>
      </c>
      <c r="D64" s="693"/>
      <c r="E64" s="693"/>
      <c r="F64" s="693"/>
      <c r="G64" s="693"/>
      <c r="H64" s="693"/>
      <c r="I64" s="693">
        <f>I59/I58</f>
        <v>0.86145369258565163</v>
      </c>
      <c r="J64" s="693">
        <f t="shared" ref="J64:S64" si="40">J59/J58</f>
        <v>0.85843502819468165</v>
      </c>
      <c r="K64" s="693">
        <f t="shared" si="40"/>
        <v>1.0406686386462132</v>
      </c>
      <c r="L64" s="693">
        <f t="shared" si="40"/>
        <v>0.80532039118376875</v>
      </c>
      <c r="M64" s="693">
        <f t="shared" si="40"/>
        <v>0.79255120424411996</v>
      </c>
      <c r="N64" s="693">
        <f t="shared" si="40"/>
        <v>0.77338406367532586</v>
      </c>
      <c r="O64" s="693">
        <f t="shared" si="40"/>
        <v>0.86229229944613184</v>
      </c>
      <c r="P64" s="693">
        <f t="shared" si="40"/>
        <v>0.9054129464285714</v>
      </c>
      <c r="Q64" s="693">
        <f t="shared" si="40"/>
        <v>0.83177058460391595</v>
      </c>
      <c r="R64" s="693">
        <f t="shared" si="40"/>
        <v>0.79014899039404041</v>
      </c>
      <c r="S64" s="693">
        <f t="shared" si="40"/>
        <v>0.74359873421050326</v>
      </c>
      <c r="T64" s="693">
        <v>0.95776555226407112</v>
      </c>
      <c r="U64" s="693">
        <v>0.86149786660678196</v>
      </c>
      <c r="V64" s="693">
        <v>0.71898149452158977</v>
      </c>
      <c r="W64" s="693">
        <v>0.68559235713533073</v>
      </c>
      <c r="X64" s="693">
        <v>0.8171612812124921</v>
      </c>
      <c r="Y64" s="693" t="e">
        <f>Y59/Y58</f>
        <v>#REF!</v>
      </c>
      <c r="Z64" s="693">
        <f>Z59/Z58</f>
        <v>0.55669509883563495</v>
      </c>
      <c r="AA64" s="693">
        <f>AA59/AA58</f>
        <v>0.55768527658952138</v>
      </c>
      <c r="AB64" s="693">
        <f>AB59/AB58</f>
        <v>0.65298843895890524</v>
      </c>
      <c r="AC64" s="693">
        <f>AC59/AC58</f>
        <v>0.59767796897676084</v>
      </c>
      <c r="AD64" s="693">
        <v>0.69350895422040215</v>
      </c>
      <c r="AE64" s="693">
        <v>0.66254345965022621</v>
      </c>
      <c r="AF64" s="693">
        <v>0.73509433962264148</v>
      </c>
      <c r="AG64" s="693">
        <v>0.73823783855726355</v>
      </c>
      <c r="AH64" s="693">
        <f>AH59/AH58</f>
        <v>0.63048775616186636</v>
      </c>
      <c r="AI64" s="693">
        <f>AI59/AI58</f>
        <v>1.7087586043199621</v>
      </c>
      <c r="AJ64" s="693">
        <f>AJ59/AJ58</f>
        <v>0.87971527215378709</v>
      </c>
      <c r="AK64" s="693">
        <f>AK59/AK58</f>
        <v>0.80260246856078243</v>
      </c>
      <c r="AL64" s="693">
        <f>AL59/AL58</f>
        <v>0.75591660405709993</v>
      </c>
      <c r="AM64" s="690">
        <v>0.78796893678764046</v>
      </c>
      <c r="AN64" s="690">
        <v>0.81936881813384832</v>
      </c>
      <c r="AO64" s="690">
        <v>0.68600000000000005</v>
      </c>
      <c r="AP64" s="690">
        <v>0.77500000000000002</v>
      </c>
      <c r="AQ64" s="690">
        <v>0.74299999999999999</v>
      </c>
      <c r="AR64" s="690">
        <v>0.76</v>
      </c>
      <c r="AS64" s="690">
        <v>0.73199999999999998</v>
      </c>
      <c r="AT64" s="618"/>
      <c r="AU64" s="693">
        <f>AU59/AU58</f>
        <v>0.85674318744838973</v>
      </c>
      <c r="AV64" s="693">
        <f>AV59/AV58</f>
        <v>0.86478583311059609</v>
      </c>
      <c r="AW64" s="686">
        <f>(AZ64-BA64)*100</f>
        <v>2.1022544232976226</v>
      </c>
      <c r="AX64" s="725"/>
      <c r="AY64" s="618"/>
      <c r="AZ64" s="693">
        <f t="shared" ref="AZ64:BE64" si="41">AZ59/AZ58</f>
        <v>0.85717825972808714</v>
      </c>
      <c r="BA64" s="693">
        <f t="shared" si="41"/>
        <v>0.83615571549511092</v>
      </c>
      <c r="BB64" s="693">
        <f t="shared" si="41"/>
        <v>0.86402547443051569</v>
      </c>
      <c r="BC64" s="693">
        <f t="shared" si="41"/>
        <v>0.80263124134038077</v>
      </c>
      <c r="BD64" s="693">
        <f t="shared" si="41"/>
        <v>0.65908993814349537</v>
      </c>
      <c r="BE64" s="693">
        <f t="shared" si="41"/>
        <v>0.5759737809788209</v>
      </c>
      <c r="BF64" s="690">
        <v>0.83515669515669511</v>
      </c>
      <c r="BG64" s="690">
        <f>BG59/BG58</f>
        <v>0.68007132546488924</v>
      </c>
      <c r="BH64" s="690">
        <f>BH59/BH58</f>
        <v>0.66735799362344184</v>
      </c>
      <c r="BI64" s="688">
        <f>BI59/BI58</f>
        <v>0.70103675151192923</v>
      </c>
      <c r="BJ64" s="688">
        <f>BJ59/BJ58</f>
        <v>0.70568967862786336</v>
      </c>
      <c r="BK64" s="688">
        <v>0.73</v>
      </c>
      <c r="BL64" s="575"/>
      <c r="BN64" s="575"/>
      <c r="BO64" s="575"/>
      <c r="BP64" s="575"/>
      <c r="BQ64" s="575"/>
    </row>
    <row r="65" spans="1:64" ht="12.75" customHeight="1" x14ac:dyDescent="0.2">
      <c r="A65" s="619"/>
      <c r="B65" s="688" t="s">
        <v>182</v>
      </c>
      <c r="C65" s="726">
        <f>(I65-M65)*100</f>
        <v>-6.8902488341531676</v>
      </c>
      <c r="D65" s="693"/>
      <c r="E65" s="693"/>
      <c r="F65" s="693"/>
      <c r="G65" s="693"/>
      <c r="H65" s="693"/>
      <c r="I65" s="693">
        <f>I60/I58</f>
        <v>0.1385463074143484</v>
      </c>
      <c r="J65" s="693">
        <f t="shared" ref="J65:S65" si="42">J60/J58</f>
        <v>0.14156497180531835</v>
      </c>
      <c r="K65" s="693">
        <f t="shared" si="42"/>
        <v>-4.0668638646213111E-2</v>
      </c>
      <c r="L65" s="693">
        <f t="shared" si="42"/>
        <v>0.1946796088162312</v>
      </c>
      <c r="M65" s="693">
        <f t="shared" si="42"/>
        <v>0.20744879575588007</v>
      </c>
      <c r="N65" s="693">
        <f t="shared" si="42"/>
        <v>0.22661593632467419</v>
      </c>
      <c r="O65" s="693">
        <f t="shared" si="42"/>
        <v>0.13770770055386813</v>
      </c>
      <c r="P65" s="693">
        <f t="shared" si="42"/>
        <v>9.4587053571428575E-2</v>
      </c>
      <c r="Q65" s="693">
        <f t="shared" si="42"/>
        <v>0.16822941539608399</v>
      </c>
      <c r="R65" s="693">
        <f t="shared" si="42"/>
        <v>0.20985100960595962</v>
      </c>
      <c r="S65" s="693">
        <f t="shared" si="42"/>
        <v>0.25640126578949674</v>
      </c>
      <c r="T65" s="693">
        <v>4.2234447735928903E-2</v>
      </c>
      <c r="U65" s="693">
        <v>0.13850213339321807</v>
      </c>
      <c r="V65" s="693">
        <v>0.28101850547841029</v>
      </c>
      <c r="W65" s="693">
        <v>0.31440764286466932</v>
      </c>
      <c r="X65" s="693">
        <v>0.18283871878750793</v>
      </c>
      <c r="Y65" s="693" t="e">
        <f>Y60/Y58</f>
        <v>#REF!</v>
      </c>
      <c r="Z65" s="693">
        <f>Z60/Z58</f>
        <v>0.443304901164365</v>
      </c>
      <c r="AA65" s="693">
        <f>AA60/AA58</f>
        <v>0.44231472341047862</v>
      </c>
      <c r="AB65" s="693">
        <f>AB60/AB58</f>
        <v>0.34701156104109482</v>
      </c>
      <c r="AC65" s="693">
        <f>AC60/AC58</f>
        <v>0.40232203102323916</v>
      </c>
      <c r="AD65" s="693">
        <v>0.30649104577959785</v>
      </c>
      <c r="AE65" s="693">
        <v>0.33745654034977374</v>
      </c>
      <c r="AF65" s="693">
        <v>0.26490566037735847</v>
      </c>
      <c r="AG65" s="693">
        <v>0.2617621614427364</v>
      </c>
      <c r="AH65" s="693">
        <f>AH60/AH58</f>
        <v>0.36951224383813364</v>
      </c>
      <c r="AI65" s="693">
        <f>AI60/AI58</f>
        <v>-0.70875860431996207</v>
      </c>
      <c r="AJ65" s="693">
        <f>AJ60/AJ58</f>
        <v>0.12028472784621286</v>
      </c>
      <c r="AK65" s="693">
        <f>AK60/AK58</f>
        <v>0.19739753143921751</v>
      </c>
      <c r="AL65" s="693">
        <f>AL60/AL58</f>
        <v>0.24408339594290007</v>
      </c>
      <c r="AM65" s="690">
        <v>0.21203106321235959</v>
      </c>
      <c r="AN65" s="690">
        <v>0.18063118186615174</v>
      </c>
      <c r="AO65" s="690">
        <v>0.31399999999999995</v>
      </c>
      <c r="AP65" s="690">
        <v>0.22500000000000001</v>
      </c>
      <c r="AQ65" s="690">
        <v>0.25700000000000001</v>
      </c>
      <c r="AR65" s="690">
        <v>0.24</v>
      </c>
      <c r="AS65" s="690">
        <v>0.26800000000000002</v>
      </c>
      <c r="AT65" s="618"/>
      <c r="AU65" s="693">
        <f>AU60/AU58</f>
        <v>0.14325681255161024</v>
      </c>
      <c r="AV65" s="693">
        <f>AV60/AV58</f>
        <v>0.13521416688940396</v>
      </c>
      <c r="AW65" s="686">
        <f>(AZ65-BA65)*100</f>
        <v>-2.1022544232976168</v>
      </c>
      <c r="AX65" s="725"/>
      <c r="AY65" s="618"/>
      <c r="AZ65" s="693">
        <f t="shared" ref="AZ65:BE65" si="43">AZ60/AZ58</f>
        <v>0.14282174027191288</v>
      </c>
      <c r="BA65" s="693">
        <f t="shared" si="43"/>
        <v>0.16384428450488905</v>
      </c>
      <c r="BB65" s="693" t="e">
        <f t="shared" si="43"/>
        <v>#REF!</v>
      </c>
      <c r="BC65" s="693" t="e">
        <f t="shared" si="43"/>
        <v>#REF!</v>
      </c>
      <c r="BD65" s="693" t="e">
        <f t="shared" si="43"/>
        <v>#REF!</v>
      </c>
      <c r="BE65" s="693">
        <f t="shared" si="43"/>
        <v>0.42402621902117904</v>
      </c>
      <c r="BF65" s="690">
        <v>0.16484330484330484</v>
      </c>
      <c r="BG65" s="690">
        <f>BG60/BG58</f>
        <v>0.31992867453511081</v>
      </c>
      <c r="BH65" s="690">
        <f>BH60/BH58</f>
        <v>0.33264200637655816</v>
      </c>
      <c r="BI65" s="688">
        <f>BI60/BI58</f>
        <v>0.29896324848807071</v>
      </c>
      <c r="BJ65" s="688">
        <f>BJ60/BJ58</f>
        <v>0.29431032137213659</v>
      </c>
      <c r="BK65" s="688">
        <v>0.27</v>
      </c>
    </row>
    <row r="66" spans="1:64" ht="12.75" customHeight="1" x14ac:dyDescent="0.2">
      <c r="A66" s="619"/>
      <c r="B66" s="688"/>
      <c r="C66" s="726"/>
      <c r="D66" s="693"/>
      <c r="E66" s="693"/>
      <c r="F66" s="693"/>
      <c r="G66" s="693"/>
      <c r="H66" s="693"/>
      <c r="I66" s="693"/>
      <c r="J66" s="693"/>
      <c r="K66" s="693"/>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c r="AJ66" s="693"/>
      <c r="AK66" s="693"/>
      <c r="AL66" s="693"/>
      <c r="AM66" s="690"/>
      <c r="AN66" s="690"/>
      <c r="AO66" s="690"/>
      <c r="AP66" s="690"/>
      <c r="AQ66" s="690"/>
      <c r="AR66" s="690"/>
      <c r="AS66" s="690"/>
      <c r="AT66" s="618"/>
      <c r="AU66" s="693"/>
      <c r="AV66" s="693"/>
      <c r="AW66" s="686"/>
      <c r="AX66" s="725"/>
      <c r="AY66" s="618"/>
      <c r="AZ66" s="690"/>
      <c r="BA66" s="690"/>
      <c r="BB66" s="690"/>
      <c r="BC66" s="690"/>
      <c r="BD66" s="690"/>
      <c r="BE66" s="690"/>
      <c r="BF66" s="690"/>
      <c r="BG66" s="690"/>
      <c r="BH66" s="690"/>
      <c r="BI66" s="688"/>
      <c r="BJ66" s="688"/>
      <c r="BK66" s="688"/>
    </row>
    <row r="67" spans="1:64" ht="12.75" customHeight="1" x14ac:dyDescent="0.2">
      <c r="A67" s="727" t="s">
        <v>194</v>
      </c>
      <c r="B67" s="688"/>
      <c r="C67" s="618"/>
      <c r="D67" s="618"/>
      <c r="E67" s="618"/>
      <c r="F67" s="618"/>
      <c r="G67" s="618"/>
      <c r="H67" s="618"/>
      <c r="I67" s="618"/>
      <c r="J67" s="618"/>
      <c r="K67" s="618"/>
      <c r="L67" s="618"/>
      <c r="M67" s="618"/>
      <c r="N67" s="618"/>
      <c r="O67" s="618"/>
      <c r="P67" s="618"/>
      <c r="Q67" s="618"/>
      <c r="R67" s="618"/>
      <c r="S67" s="618"/>
      <c r="T67" s="618"/>
      <c r="U67" s="618"/>
      <c r="V67" s="618"/>
      <c r="W67" s="618"/>
      <c r="X67" s="618"/>
      <c r="Y67" s="618"/>
      <c r="Z67" s="618"/>
      <c r="AA67" s="618"/>
      <c r="AB67" s="618"/>
      <c r="AC67" s="618"/>
      <c r="AD67" s="618"/>
      <c r="AE67" s="618"/>
      <c r="AF67" s="618"/>
      <c r="AG67" s="618"/>
      <c r="AH67" s="618"/>
      <c r="AI67" s="618"/>
      <c r="AJ67" s="618"/>
      <c r="AK67" s="618"/>
      <c r="AL67" s="618"/>
      <c r="AM67" s="618"/>
      <c r="AN67" s="618"/>
      <c r="AO67" s="584"/>
      <c r="AP67" s="618"/>
      <c r="AQ67" s="584"/>
      <c r="AR67" s="584"/>
      <c r="AS67" s="618"/>
      <c r="AT67" s="618"/>
      <c r="AU67" s="618"/>
      <c r="AV67" s="618"/>
      <c r="AW67" s="695"/>
      <c r="AX67" s="695"/>
      <c r="AY67" s="618"/>
      <c r="AZ67" s="618"/>
      <c r="BA67" s="618"/>
      <c r="BB67" s="618"/>
      <c r="BC67" s="618"/>
      <c r="BD67" s="618"/>
      <c r="BE67" s="618"/>
      <c r="BF67" s="618"/>
      <c r="BG67" s="618"/>
      <c r="BH67" s="618"/>
      <c r="BI67" s="653"/>
      <c r="BJ67" s="688"/>
      <c r="BK67" s="688"/>
    </row>
    <row r="68" spans="1:64" ht="12.75" customHeight="1" x14ac:dyDescent="0.2">
      <c r="C68" s="3165" t="s">
        <v>365</v>
      </c>
      <c r="D68" s="3166"/>
      <c r="E68" s="585"/>
      <c r="F68" s="588"/>
      <c r="G68" s="586"/>
      <c r="H68" s="586"/>
      <c r="I68" s="587"/>
      <c r="J68" s="588"/>
      <c r="K68" s="586"/>
      <c r="L68" s="586"/>
      <c r="M68" s="587"/>
      <c r="N68" s="588"/>
      <c r="O68" s="586"/>
      <c r="P68" s="586"/>
      <c r="Q68" s="587"/>
      <c r="R68" s="588"/>
      <c r="S68" s="586"/>
      <c r="T68" s="586"/>
      <c r="U68" s="587"/>
      <c r="V68" s="586"/>
      <c r="W68" s="586"/>
      <c r="X68" s="586"/>
      <c r="Y68" s="587"/>
      <c r="Z68" s="586"/>
      <c r="AA68" s="587"/>
      <c r="AC68" s="587"/>
      <c r="AD68" s="586"/>
      <c r="AE68" s="586"/>
      <c r="AG68" s="587"/>
      <c r="AI68" s="586"/>
      <c r="AJ68" s="586"/>
      <c r="AK68" s="587"/>
      <c r="AL68" s="586"/>
      <c r="AM68" s="586"/>
      <c r="AN68" s="586"/>
      <c r="AO68" s="586"/>
      <c r="AP68" s="588"/>
      <c r="AQ68" s="587"/>
      <c r="AR68" s="587"/>
      <c r="AS68" s="587"/>
      <c r="AT68" s="594"/>
      <c r="AU68" s="433" t="s">
        <v>299</v>
      </c>
      <c r="AV68" s="433"/>
      <c r="AW68" s="433" t="s">
        <v>355</v>
      </c>
      <c r="AX68" s="434"/>
      <c r="AY68" s="618"/>
      <c r="AZ68" s="591"/>
      <c r="BA68" s="591"/>
      <c r="BB68" s="591"/>
      <c r="BC68" s="591"/>
      <c r="BD68" s="591"/>
      <c r="BE68" s="591"/>
      <c r="BF68" s="591"/>
      <c r="BG68" s="701"/>
      <c r="BH68" s="702"/>
      <c r="BI68" s="591"/>
      <c r="BJ68" s="688"/>
      <c r="BK68" s="688"/>
      <c r="BL68" s="594"/>
    </row>
    <row r="69" spans="1:64" ht="12.75" customHeight="1" x14ac:dyDescent="0.2">
      <c r="C69" s="3161" t="s">
        <v>38</v>
      </c>
      <c r="D69" s="3162"/>
      <c r="E69" s="595"/>
      <c r="F69" s="19"/>
      <c r="G69" s="19"/>
      <c r="H69" s="19"/>
      <c r="I69" s="12" t="s">
        <v>364</v>
      </c>
      <c r="J69" s="19" t="s">
        <v>348</v>
      </c>
      <c r="K69" s="19" t="s">
        <v>349</v>
      </c>
      <c r="L69" s="19" t="s">
        <v>350</v>
      </c>
      <c r="M69" s="12" t="s">
        <v>351</v>
      </c>
      <c r="N69" s="598" t="s">
        <v>315</v>
      </c>
      <c r="O69" s="596" t="s">
        <v>314</v>
      </c>
      <c r="P69" s="596" t="s">
        <v>313</v>
      </c>
      <c r="Q69" s="597" t="s">
        <v>311</v>
      </c>
      <c r="R69" s="598" t="s">
        <v>270</v>
      </c>
      <c r="S69" s="596" t="s">
        <v>271</v>
      </c>
      <c r="T69" s="596" t="s">
        <v>272</v>
      </c>
      <c r="U69" s="597" t="s">
        <v>273</v>
      </c>
      <c r="V69" s="596" t="s">
        <v>223</v>
      </c>
      <c r="W69" s="596" t="s">
        <v>224</v>
      </c>
      <c r="X69" s="596" t="s">
        <v>225</v>
      </c>
      <c r="Y69" s="597" t="s">
        <v>222</v>
      </c>
      <c r="Z69" s="596" t="s">
        <v>189</v>
      </c>
      <c r="AA69" s="597" t="s">
        <v>190</v>
      </c>
      <c r="AB69" s="596" t="s">
        <v>191</v>
      </c>
      <c r="AC69" s="597" t="s">
        <v>192</v>
      </c>
      <c r="AD69" s="596" t="s">
        <v>121</v>
      </c>
      <c r="AE69" s="596" t="s">
        <v>120</v>
      </c>
      <c r="AF69" s="596" t="s">
        <v>119</v>
      </c>
      <c r="AG69" s="597" t="s">
        <v>118</v>
      </c>
      <c r="AH69" s="596" t="s">
        <v>81</v>
      </c>
      <c r="AI69" s="596" t="s">
        <v>82</v>
      </c>
      <c r="AJ69" s="596" t="s">
        <v>83</v>
      </c>
      <c r="AK69" s="597" t="s">
        <v>29</v>
      </c>
      <c r="AL69" s="596" t="s">
        <v>30</v>
      </c>
      <c r="AM69" s="596" t="s">
        <v>31</v>
      </c>
      <c r="AN69" s="596" t="s">
        <v>32</v>
      </c>
      <c r="AO69" s="596" t="s">
        <v>33</v>
      </c>
      <c r="AP69" s="598" t="s">
        <v>34</v>
      </c>
      <c r="AQ69" s="597" t="s">
        <v>35</v>
      </c>
      <c r="AR69" s="597" t="s">
        <v>36</v>
      </c>
      <c r="AS69" s="597" t="s">
        <v>37</v>
      </c>
      <c r="AT69" s="874"/>
      <c r="AU69" s="19" t="s">
        <v>349</v>
      </c>
      <c r="AV69" s="19" t="s">
        <v>314</v>
      </c>
      <c r="AW69" s="3163" t="s">
        <v>38</v>
      </c>
      <c r="AX69" s="3164"/>
      <c r="AY69" s="618"/>
      <c r="AZ69" s="18" t="s">
        <v>360</v>
      </c>
      <c r="BA69" s="18" t="s">
        <v>317</v>
      </c>
      <c r="BB69" s="598" t="s">
        <v>275</v>
      </c>
      <c r="BC69" s="598" t="s">
        <v>227</v>
      </c>
      <c r="BD69" s="598" t="s">
        <v>123</v>
      </c>
      <c r="BE69" s="598" t="s">
        <v>122</v>
      </c>
      <c r="BF69" s="598" t="s">
        <v>42</v>
      </c>
      <c r="BG69" s="598" t="s">
        <v>39</v>
      </c>
      <c r="BH69" s="600" t="s">
        <v>40</v>
      </c>
      <c r="BI69" s="600" t="s">
        <v>142</v>
      </c>
      <c r="BJ69" s="688"/>
      <c r="BK69" s="688"/>
      <c r="BL69" s="594"/>
    </row>
    <row r="70" spans="1:64" ht="12.75" customHeight="1" x14ac:dyDescent="0.2">
      <c r="A70" s="619"/>
      <c r="B70" s="6" t="s">
        <v>373</v>
      </c>
      <c r="C70" s="705">
        <f t="shared" ref="C70:C76" si="44">I70-M70</f>
        <v>-2614</v>
      </c>
      <c r="D70" s="706">
        <f t="shared" ref="D70:D76" si="45">IF(OR((C70/M70)&gt;3,(C70/M70)&lt;-3),"n.m.",(C70/M70))</f>
        <v>-8.5149353399133529E-2</v>
      </c>
      <c r="E70" s="617"/>
      <c r="F70" s="707"/>
      <c r="G70" s="707"/>
      <c r="H70" s="707"/>
      <c r="I70" s="728">
        <f>'6 Capital Markets Canada'!V65+'7 CG - US'!V66</f>
        <v>28085</v>
      </c>
      <c r="J70" s="707">
        <f>+'6 Capital Markets Canada'!W65+'7 CG - US'!W66</f>
        <v>31126</v>
      </c>
      <c r="K70" s="707">
        <f>+'6 Capital Markets Canada'!X65+'7 CG - US'!X66</f>
        <v>30234</v>
      </c>
      <c r="L70" s="707">
        <f>+'6 Capital Markets Canada'!Y65+'7 CG - US'!Y66</f>
        <v>23282</v>
      </c>
      <c r="M70" s="728">
        <f>+'6 Capital Markets Canada'!Z65+'7 CG - US'!Z66</f>
        <v>30699</v>
      </c>
      <c r="N70" s="707">
        <f>+'6 Capital Markets Canada'!AA65+'7 CG - US'!AA66</f>
        <v>32783</v>
      </c>
      <c r="O70" s="707">
        <f>+'6 Capital Markets Canada'!AB65+'7 CG - US'!AB66</f>
        <v>30280</v>
      </c>
      <c r="P70" s="707">
        <f>+'6 Capital Markets Canada'!AC65+'7 CG - US'!AC66</f>
        <v>28143</v>
      </c>
      <c r="Q70" s="728">
        <f>+'6 Capital Markets Canada'!AD65+'7 CG - US'!AD66</f>
        <v>32478</v>
      </c>
      <c r="R70" s="707">
        <f>+'6 Capital Markets Canada'!AE65+'7 CG - US'!AE66</f>
        <v>27327</v>
      </c>
      <c r="S70" s="707">
        <f>+'6 Capital Markets Canada'!AF65+'7 CG - US'!AF66</f>
        <v>30650</v>
      </c>
      <c r="T70" s="707">
        <v>14052</v>
      </c>
      <c r="U70" s="728">
        <v>13723</v>
      </c>
      <c r="V70" s="707">
        <v>19975</v>
      </c>
      <c r="W70" s="707">
        <v>11861</v>
      </c>
      <c r="X70" s="707">
        <v>11610</v>
      </c>
      <c r="Y70" s="707" t="e">
        <f>+'5 Canaccord Genuity '!AL94-'8 UK &amp; Dubai'!AL65-'7 CG - US'!AL66-#REF!</f>
        <v>#REF!</v>
      </c>
      <c r="Z70" s="729">
        <v>9533</v>
      </c>
      <c r="AA70" s="707">
        <v>17508</v>
      </c>
      <c r="AB70" s="707">
        <v>8721</v>
      </c>
      <c r="AC70" s="707">
        <v>6975</v>
      </c>
      <c r="AD70" s="729">
        <v>8215</v>
      </c>
      <c r="AE70" s="707">
        <v>9418</v>
      </c>
      <c r="AF70" s="707">
        <v>9547</v>
      </c>
      <c r="AG70" s="707">
        <v>8802</v>
      </c>
      <c r="AH70" s="730">
        <v>7648</v>
      </c>
      <c r="AI70" s="709">
        <v>7035</v>
      </c>
      <c r="AJ70" s="731">
        <v>8214</v>
      </c>
      <c r="AK70" s="728">
        <v>8390</v>
      </c>
      <c r="AL70" s="708">
        <v>29584</v>
      </c>
      <c r="AM70" s="618"/>
      <c r="AN70" s="618"/>
      <c r="AO70" s="584"/>
      <c r="AP70" s="618"/>
      <c r="AQ70" s="584"/>
      <c r="AR70" s="584"/>
      <c r="AS70" s="618"/>
      <c r="AT70" s="615"/>
      <c r="AU70" s="658">
        <f t="shared" ref="AU70:AU75" si="46">SUM(K70:M70)</f>
        <v>84215</v>
      </c>
      <c r="AV70" s="628">
        <f t="shared" ref="AV70:AV75" si="47">SUM(O70:Q70)</f>
        <v>90901</v>
      </c>
      <c r="AW70" s="732">
        <f t="shared" ref="AW70:AW76" si="48">AZ70-BA70</f>
        <v>-8343</v>
      </c>
      <c r="AX70" s="667">
        <f t="shared" ref="AX70:AX76" si="49">IF(OR((AW70/BA70)&gt;3,(AW70/BA70)&lt;-3),"n.m.",(AW70/BA70))</f>
        <v>-6.7454157368778495E-2</v>
      </c>
      <c r="AY70" s="618"/>
      <c r="AZ70" s="711">
        <f t="shared" ref="AZ70:AZ75" si="50">+SUM(J70:M70)</f>
        <v>115341</v>
      </c>
      <c r="BA70" s="711">
        <f t="shared" ref="BA70:BA75" si="51">+SUM(N70:Q70)</f>
        <v>123684</v>
      </c>
      <c r="BB70" s="711">
        <f>+'6 Capital Markets Canada'!BS65+'7 CG - US'!BS66</f>
        <v>120007</v>
      </c>
      <c r="BC70" s="711">
        <f>+'6 Capital Markets Canada'!BT65+'7 CG - US'!BT66</f>
        <v>96522</v>
      </c>
      <c r="BD70" s="781">
        <f>+'6 Capital Markets Canada'!BU65+'7 CG - US'!BU66</f>
        <v>116233</v>
      </c>
      <c r="BE70" s="781">
        <v>51815</v>
      </c>
      <c r="BF70" s="781">
        <v>48193</v>
      </c>
      <c r="BG70" s="668">
        <v>44852</v>
      </c>
      <c r="BH70" s="712">
        <v>45773</v>
      </c>
      <c r="BI70" s="671">
        <v>41570</v>
      </c>
      <c r="BJ70" s="688"/>
      <c r="BK70" s="688"/>
      <c r="BL70" s="594"/>
    </row>
    <row r="71" spans="1:64" ht="12.75" customHeight="1" x14ac:dyDescent="0.2">
      <c r="A71" s="619"/>
      <c r="B71" s="6" t="s">
        <v>60</v>
      </c>
      <c r="C71" s="705">
        <f t="shared" si="44"/>
        <v>-17333</v>
      </c>
      <c r="D71" s="774">
        <f t="shared" si="45"/>
        <v>-0.33587179785296284</v>
      </c>
      <c r="E71" s="617"/>
      <c r="F71" s="707"/>
      <c r="G71" s="707"/>
      <c r="H71" s="707"/>
      <c r="I71" s="728">
        <f>'6 Capital Markets Canada'!V66+'7 CG - US'!V67</f>
        <v>34273</v>
      </c>
      <c r="J71" s="707">
        <f>+'6 Capital Markets Canada'!W66+'7 CG - US'!W67</f>
        <v>31380</v>
      </c>
      <c r="K71" s="707">
        <f>+'6 Capital Markets Canada'!X66+'7 CG - US'!X67</f>
        <v>13605</v>
      </c>
      <c r="L71" s="707">
        <f>+'6 Capital Markets Canada'!Y66+'7 CG - US'!Y67</f>
        <v>45212</v>
      </c>
      <c r="M71" s="728">
        <f>+'6 Capital Markets Canada'!Z66+'7 CG - US'!Z67</f>
        <v>51606</v>
      </c>
      <c r="N71" s="707">
        <f>+'6 Capital Markets Canada'!AA66+'7 CG - US'!AA67</f>
        <v>45401</v>
      </c>
      <c r="O71" s="707">
        <f>+'6 Capital Markets Canada'!AB66+'7 CG - US'!AB67</f>
        <v>33080</v>
      </c>
      <c r="P71" s="707">
        <f>+'6 Capital Markets Canada'!AC66+'7 CG - US'!AC67</f>
        <v>21277</v>
      </c>
      <c r="Q71" s="728">
        <f>+'6 Capital Markets Canada'!AD66+'7 CG - US'!AD67</f>
        <v>22047</v>
      </c>
      <c r="R71" s="707">
        <f>+'6 Capital Markets Canada'!AE66+'7 CG - US'!AE67</f>
        <v>22527</v>
      </c>
      <c r="S71" s="707">
        <f>+'6 Capital Markets Canada'!AF66+'7 CG - US'!AF67</f>
        <v>17601</v>
      </c>
      <c r="T71" s="707">
        <v>10698</v>
      </c>
      <c r="U71" s="728">
        <v>13191</v>
      </c>
      <c r="V71" s="707">
        <v>30213</v>
      </c>
      <c r="W71" s="707">
        <v>14404</v>
      </c>
      <c r="X71" s="707">
        <v>15551</v>
      </c>
      <c r="Y71" s="707" t="e">
        <f>+'5 Canaccord Genuity '!AL95-'8 UK &amp; Dubai'!AL66-'7 CG - US'!AL67-#REF!</f>
        <v>#REF!</v>
      </c>
      <c r="Z71" s="729">
        <v>56010</v>
      </c>
      <c r="AA71" s="707">
        <v>72232</v>
      </c>
      <c r="AB71" s="707">
        <v>33469</v>
      </c>
      <c r="AC71" s="707">
        <f>31750-1</f>
        <v>31749</v>
      </c>
      <c r="AD71" s="729">
        <v>23306</v>
      </c>
      <c r="AE71" s="707">
        <v>46294</v>
      </c>
      <c r="AF71" s="707">
        <v>16811</v>
      </c>
      <c r="AG71" s="707">
        <v>19402</v>
      </c>
      <c r="AH71" s="730">
        <f>17723-2473</f>
        <v>15250</v>
      </c>
      <c r="AI71" s="707">
        <f>5784-1215</f>
        <v>4569</v>
      </c>
      <c r="AJ71" s="728">
        <v>12638</v>
      </c>
      <c r="AK71" s="728">
        <v>17564</v>
      </c>
      <c r="AL71" s="708">
        <v>0</v>
      </c>
      <c r="AM71" s="618">
        <v>0</v>
      </c>
      <c r="AN71" s="618">
        <v>0</v>
      </c>
      <c r="AO71" s="584">
        <v>0</v>
      </c>
      <c r="AP71" s="618">
        <v>0</v>
      </c>
      <c r="AQ71" s="584">
        <v>0</v>
      </c>
      <c r="AR71" s="584">
        <v>0</v>
      </c>
      <c r="AS71" s="618">
        <v>0</v>
      </c>
      <c r="AT71" s="615"/>
      <c r="AU71" s="658">
        <f t="shared" si="46"/>
        <v>110423</v>
      </c>
      <c r="AV71" s="628">
        <f t="shared" si="47"/>
        <v>76404</v>
      </c>
      <c r="AW71" s="659">
        <f t="shared" si="48"/>
        <v>19998</v>
      </c>
      <c r="AX71" s="623">
        <f t="shared" si="49"/>
        <v>0.16418045236238249</v>
      </c>
      <c r="AY71" s="618"/>
      <c r="AZ71" s="711">
        <f t="shared" si="50"/>
        <v>141803</v>
      </c>
      <c r="BA71" s="711">
        <f t="shared" si="51"/>
        <v>121805</v>
      </c>
      <c r="BB71" s="711">
        <f>+'6 Capital Markets Canada'!BS66+'7 CG - US'!BS67</f>
        <v>74713</v>
      </c>
      <c r="BC71" s="711">
        <f>+'6 Capital Markets Canada'!BT66+'7 CG - US'!BT67</f>
        <v>120124</v>
      </c>
      <c r="BD71" s="775">
        <f>+'6 Capital Markets Canada'!BU66+'7 CG - US'!BU67</f>
        <v>237268</v>
      </c>
      <c r="BE71" s="775">
        <v>104241</v>
      </c>
      <c r="BF71" s="775">
        <v>50046</v>
      </c>
      <c r="BG71" s="640">
        <v>121044</v>
      </c>
      <c r="BH71" s="715">
        <f>143025-1549-12713</f>
        <v>128763</v>
      </c>
      <c r="BI71" s="642">
        <f>109202-5303-4636</f>
        <v>99263</v>
      </c>
      <c r="BJ71" s="688"/>
      <c r="BK71" s="688"/>
      <c r="BL71" s="594"/>
    </row>
    <row r="72" spans="1:64" ht="12.75" customHeight="1" x14ac:dyDescent="0.2">
      <c r="A72" s="619"/>
      <c r="B72" s="6" t="s">
        <v>208</v>
      </c>
      <c r="C72" s="705">
        <f t="shared" si="44"/>
        <v>-14226</v>
      </c>
      <c r="D72" s="706">
        <f t="shared" si="45"/>
        <v>-0.67281498297389331</v>
      </c>
      <c r="E72" s="617"/>
      <c r="F72" s="707"/>
      <c r="G72" s="707"/>
      <c r="H72" s="707"/>
      <c r="I72" s="728">
        <f>'6 Capital Markets Canada'!V67+'7 CG - US'!V68</f>
        <v>6918</v>
      </c>
      <c r="J72" s="707">
        <f>+'6 Capital Markets Canada'!W67+'7 CG - US'!W68</f>
        <v>22172</v>
      </c>
      <c r="K72" s="707">
        <f>+'6 Capital Markets Canada'!X67+'7 CG - US'!X68</f>
        <v>12546</v>
      </c>
      <c r="L72" s="707">
        <f>+'6 Capital Markets Canada'!Y67+'7 CG - US'!Y68</f>
        <v>28044</v>
      </c>
      <c r="M72" s="728">
        <f>+'6 Capital Markets Canada'!Z67+'7 CG - US'!Z68</f>
        <v>21144</v>
      </c>
      <c r="N72" s="707">
        <f>+'6 Capital Markets Canada'!AA67+'7 CG - US'!AA68</f>
        <v>11197</v>
      </c>
      <c r="O72" s="707">
        <f>+'6 Capital Markets Canada'!AB67+'7 CG - US'!AB68</f>
        <v>9681</v>
      </c>
      <c r="P72" s="707">
        <f>+'6 Capital Markets Canada'!AC67+'7 CG - US'!AC68</f>
        <v>12281</v>
      </c>
      <c r="Q72" s="728">
        <f>+'6 Capital Markets Canada'!AD67+'7 CG - US'!AD68</f>
        <v>13614</v>
      </c>
      <c r="R72" s="707">
        <f>+'6 Capital Markets Canada'!AE67+'7 CG - US'!AE68</f>
        <v>35769</v>
      </c>
      <c r="S72" s="707">
        <f>+'6 Capital Markets Canada'!AF67+'7 CG - US'!AF68</f>
        <v>51213</v>
      </c>
      <c r="T72" s="707">
        <v>8678</v>
      </c>
      <c r="U72" s="728">
        <v>5921</v>
      </c>
      <c r="V72" s="707">
        <v>16725</v>
      </c>
      <c r="W72" s="707">
        <v>27820</v>
      </c>
      <c r="X72" s="707">
        <v>16442</v>
      </c>
      <c r="Y72" s="707" t="e">
        <f>+'5 Canaccord Genuity '!AL96-'8 UK &amp; Dubai'!AL67-'7 CG - US'!AL68-#REF!</f>
        <v>#REF!</v>
      </c>
      <c r="Z72" s="729">
        <v>19979</v>
      </c>
      <c r="AA72" s="707">
        <v>19864</v>
      </c>
      <c r="AB72" s="707">
        <v>8169</v>
      </c>
      <c r="AC72" s="707">
        <v>14504</v>
      </c>
      <c r="AD72" s="729">
        <v>1297</v>
      </c>
      <c r="AE72" s="707">
        <v>1601</v>
      </c>
      <c r="AF72" s="707">
        <v>1211</v>
      </c>
      <c r="AG72" s="707">
        <v>1444</v>
      </c>
      <c r="AH72" s="730">
        <v>2473</v>
      </c>
      <c r="AI72" s="707">
        <v>1215</v>
      </c>
      <c r="AJ72" s="728">
        <v>2659</v>
      </c>
      <c r="AK72" s="728">
        <v>8562</v>
      </c>
      <c r="AL72" s="708"/>
      <c r="AM72" s="618"/>
      <c r="AN72" s="618"/>
      <c r="AO72" s="584"/>
      <c r="AP72" s="618"/>
      <c r="AQ72" s="584"/>
      <c r="AR72" s="584"/>
      <c r="AS72" s="618"/>
      <c r="AT72" s="615"/>
      <c r="AU72" s="658">
        <f t="shared" si="46"/>
        <v>61734</v>
      </c>
      <c r="AV72" s="628">
        <f t="shared" si="47"/>
        <v>35576</v>
      </c>
      <c r="AW72" s="733">
        <f t="shared" si="48"/>
        <v>37133</v>
      </c>
      <c r="AX72" s="623">
        <f t="shared" si="49"/>
        <v>0.79389818912620524</v>
      </c>
      <c r="AY72" s="618"/>
      <c r="AZ72" s="711">
        <f t="shared" si="50"/>
        <v>83906</v>
      </c>
      <c r="BA72" s="711">
        <f t="shared" si="51"/>
        <v>46773</v>
      </c>
      <c r="BB72" s="711">
        <f>+'6 Capital Markets Canada'!BS67+'7 CG - US'!BS68</f>
        <v>110803</v>
      </c>
      <c r="BC72" s="711">
        <f>+'6 Capital Markets Canada'!BT67+'7 CG - US'!BT68</f>
        <v>85830</v>
      </c>
      <c r="BD72" s="775">
        <f>+'6 Capital Markets Canada'!BU67+'7 CG - US'!BU68</f>
        <v>72105</v>
      </c>
      <c r="BE72" s="775">
        <v>6277</v>
      </c>
      <c r="BF72" s="775">
        <v>14909</v>
      </c>
      <c r="BG72" s="640">
        <v>17584</v>
      </c>
      <c r="BH72" s="734">
        <f>7195+5518</f>
        <v>12713</v>
      </c>
      <c r="BI72" s="642">
        <v>4636</v>
      </c>
      <c r="BJ72" s="688"/>
      <c r="BK72" s="688"/>
      <c r="BL72" s="594"/>
    </row>
    <row r="73" spans="1:64" ht="12.75" customHeight="1" x14ac:dyDescent="0.2">
      <c r="A73" s="619"/>
      <c r="B73" s="6" t="s">
        <v>61</v>
      </c>
      <c r="C73" s="705">
        <f t="shared" si="44"/>
        <v>3574</v>
      </c>
      <c r="D73" s="774">
        <f t="shared" si="45"/>
        <v>0.25144224004502602</v>
      </c>
      <c r="E73" s="617"/>
      <c r="F73" s="707"/>
      <c r="G73" s="707"/>
      <c r="H73" s="707"/>
      <c r="I73" s="728">
        <f>'6 Capital Markets Canada'!V68+'7 CG - US'!V69</f>
        <v>17788</v>
      </c>
      <c r="J73" s="707">
        <f>+'6 Capital Markets Canada'!W68+'7 CG - US'!W69</f>
        <v>18035</v>
      </c>
      <c r="K73" s="707">
        <f>+'6 Capital Markets Canada'!X68+'7 CG - US'!X69</f>
        <v>14072</v>
      </c>
      <c r="L73" s="707">
        <f>+'6 Capital Markets Canada'!Y68+'7 CG - US'!Y69</f>
        <v>11122</v>
      </c>
      <c r="M73" s="728">
        <f>+'6 Capital Markets Canada'!Z68+'7 CG - US'!Z69</f>
        <v>14214</v>
      </c>
      <c r="N73" s="707">
        <f>+'6 Capital Markets Canada'!AA68+'7 CG - US'!AA69</f>
        <v>22992</v>
      </c>
      <c r="O73" s="707">
        <f>+'6 Capital Markets Canada'!AB68+'7 CG - US'!AB69</f>
        <v>14177</v>
      </c>
      <c r="P73" s="707">
        <f>+'6 Capital Markets Canada'!AC68+'7 CG - US'!AC69</f>
        <v>11006</v>
      </c>
      <c r="Q73" s="728">
        <f>+'6 Capital Markets Canada'!AD68+'7 CG - US'!AD69</f>
        <v>14550</v>
      </c>
      <c r="R73" s="707">
        <f>+'6 Capital Markets Canada'!AE68+'7 CG - US'!AE69</f>
        <v>13925</v>
      </c>
      <c r="S73" s="707">
        <f>+'6 Capital Markets Canada'!AF68+'7 CG - US'!AF69</f>
        <v>11948</v>
      </c>
      <c r="T73" s="707">
        <v>699</v>
      </c>
      <c r="U73" s="728">
        <v>397</v>
      </c>
      <c r="V73" s="707">
        <v>1761</v>
      </c>
      <c r="W73" s="707">
        <v>807</v>
      </c>
      <c r="X73" s="280">
        <v>-2981</v>
      </c>
      <c r="Y73" s="707" t="e">
        <f>+'5 Canaccord Genuity '!AL97-'8 UK &amp; Dubai'!AL68-'7 CG - US'!AL69-#REF!</f>
        <v>#REF!</v>
      </c>
      <c r="Z73" s="729">
        <v>2915</v>
      </c>
      <c r="AA73" s="707">
        <v>-373</v>
      </c>
      <c r="AB73" s="707">
        <v>-659</v>
      </c>
      <c r="AC73" s="707">
        <v>-262</v>
      </c>
      <c r="AD73" s="729">
        <v>-115</v>
      </c>
      <c r="AE73" s="707">
        <v>-132</v>
      </c>
      <c r="AF73" s="707">
        <v>-255</v>
      </c>
      <c r="AG73" s="707">
        <v>-45</v>
      </c>
      <c r="AH73" s="730">
        <v>-388</v>
      </c>
      <c r="AI73" s="707">
        <v>-274</v>
      </c>
      <c r="AJ73" s="728">
        <v>-218</v>
      </c>
      <c r="AK73" s="728">
        <v>-343</v>
      </c>
      <c r="AL73" s="708">
        <v>5363</v>
      </c>
      <c r="AM73" s="618"/>
      <c r="AN73" s="618"/>
      <c r="AO73" s="584"/>
      <c r="AP73" s="618"/>
      <c r="AQ73" s="584"/>
      <c r="AR73" s="584"/>
      <c r="AS73" s="618"/>
      <c r="AT73" s="615"/>
      <c r="AU73" s="658">
        <f t="shared" si="46"/>
        <v>39408</v>
      </c>
      <c r="AV73" s="628">
        <f t="shared" si="47"/>
        <v>39733</v>
      </c>
      <c r="AW73" s="733">
        <f t="shared" si="48"/>
        <v>-5282</v>
      </c>
      <c r="AX73" s="623">
        <f t="shared" si="49"/>
        <v>-8.4208848146671983E-2</v>
      </c>
      <c r="AY73" s="618"/>
      <c r="AZ73" s="711">
        <f t="shared" si="50"/>
        <v>57443</v>
      </c>
      <c r="BA73" s="711">
        <f t="shared" si="51"/>
        <v>62725</v>
      </c>
      <c r="BB73" s="505">
        <f>+'6 Capital Markets Canada'!BS68+'7 CG - US'!BS69</f>
        <v>42258</v>
      </c>
      <c r="BC73" s="505">
        <f>+'6 Capital Markets Canada'!BT68+'7 CG - US'!BT69</f>
        <v>860</v>
      </c>
      <c r="BD73" s="775">
        <f>+'6 Capital Markets Canada'!BU68+'7 CG - US'!BU69</f>
        <v>12833</v>
      </c>
      <c r="BE73" s="775">
        <v>12778</v>
      </c>
      <c r="BF73" s="775">
        <v>8388</v>
      </c>
      <c r="BG73" s="640">
        <v>-8100</v>
      </c>
      <c r="BH73" s="715">
        <v>-524</v>
      </c>
      <c r="BI73" s="642">
        <v>4647</v>
      </c>
      <c r="BJ73" s="688"/>
      <c r="BK73" s="688"/>
      <c r="BL73" s="594"/>
    </row>
    <row r="74" spans="1:64" ht="12.75" customHeight="1" x14ac:dyDescent="0.2">
      <c r="A74" s="619"/>
      <c r="B74" s="6" t="s">
        <v>62</v>
      </c>
      <c r="C74" s="705">
        <f t="shared" si="44"/>
        <v>-583</v>
      </c>
      <c r="D74" s="774">
        <f t="shared" si="45"/>
        <v>-0.32479108635097492</v>
      </c>
      <c r="E74" s="617"/>
      <c r="F74" s="707"/>
      <c r="G74" s="707"/>
      <c r="H74" s="639"/>
      <c r="I74" s="728">
        <f>'6 Capital Markets Canada'!V69+'7 CG - US'!V70</f>
        <v>1212</v>
      </c>
      <c r="J74" s="707">
        <f>+'6 Capital Markets Canada'!W69+'7 CG - US'!W70</f>
        <v>1381</v>
      </c>
      <c r="K74" s="707">
        <f>+'6 Capital Markets Canada'!X69+'7 CG - US'!X70</f>
        <v>1823</v>
      </c>
      <c r="L74" s="639">
        <f>+'6 Capital Markets Canada'!Y69+'7 CG - US'!Y70</f>
        <v>1387</v>
      </c>
      <c r="M74" s="728">
        <f>+'6 Capital Markets Canada'!Z69+'7 CG - US'!Z70</f>
        <v>1795</v>
      </c>
      <c r="N74" s="707">
        <f>+'6 Capital Markets Canada'!AA69+'7 CG - US'!AA70</f>
        <v>1723</v>
      </c>
      <c r="O74" s="735">
        <f>+'6 Capital Markets Canada'!AB69+'7 CG - US'!AB70</f>
        <v>1837</v>
      </c>
      <c r="P74" s="639">
        <f>+'6 Capital Markets Canada'!AC69+'7 CG - US'!AC70</f>
        <v>2187</v>
      </c>
      <c r="Q74" s="728">
        <f>+'6 Capital Markets Canada'!AD69+'7 CG - US'!AD70</f>
        <v>2309</v>
      </c>
      <c r="R74" s="707">
        <f>+'6 Capital Markets Canada'!AE69+'7 CG - US'!AE70</f>
        <v>1945</v>
      </c>
      <c r="S74" s="707">
        <f>+'6 Capital Markets Canada'!AF69+'7 CG - US'!AF70</f>
        <v>2545</v>
      </c>
      <c r="T74" s="707">
        <v>1284</v>
      </c>
      <c r="U74" s="728">
        <v>2356</v>
      </c>
      <c r="V74" s="707">
        <v>2272</v>
      </c>
      <c r="W74" s="707">
        <v>2019</v>
      </c>
      <c r="X74" s="707">
        <v>1807</v>
      </c>
      <c r="Y74" s="707" t="e">
        <f>+'5 Canaccord Genuity '!AL98-'8 UK &amp; Dubai'!AL69-'7 CG - US'!AL70-#REF!</f>
        <v>#REF!</v>
      </c>
      <c r="Z74" s="729">
        <v>143</v>
      </c>
      <c r="AA74" s="735">
        <v>99</v>
      </c>
      <c r="AB74" s="735">
        <v>137</v>
      </c>
      <c r="AC74" s="707">
        <v>46</v>
      </c>
      <c r="AD74" s="729">
        <v>102</v>
      </c>
      <c r="AE74" s="736">
        <v>0</v>
      </c>
      <c r="AF74" s="736">
        <v>0</v>
      </c>
      <c r="AG74" s="707">
        <v>37</v>
      </c>
      <c r="AH74" s="730">
        <v>50</v>
      </c>
      <c r="AI74" s="707">
        <v>93</v>
      </c>
      <c r="AJ74" s="728">
        <v>168</v>
      </c>
      <c r="AK74" s="728">
        <v>178</v>
      </c>
      <c r="AL74" s="708">
        <v>-3063</v>
      </c>
      <c r="AM74" s="618">
        <v>42952</v>
      </c>
      <c r="AN74" s="618">
        <v>39210</v>
      </c>
      <c r="AO74" s="584">
        <v>62549</v>
      </c>
      <c r="AP74" s="618">
        <v>57382</v>
      </c>
      <c r="AQ74" s="584">
        <v>48897</v>
      </c>
      <c r="AR74" s="584">
        <v>38533</v>
      </c>
      <c r="AS74" s="618">
        <v>42750</v>
      </c>
      <c r="AT74" s="615"/>
      <c r="AU74" s="658">
        <f t="shared" si="46"/>
        <v>5005</v>
      </c>
      <c r="AV74" s="628">
        <f t="shared" si="47"/>
        <v>6333</v>
      </c>
      <c r="AW74" s="733">
        <f t="shared" si="48"/>
        <v>-1670</v>
      </c>
      <c r="AX74" s="623">
        <f t="shared" si="49"/>
        <v>-0.20729890764647468</v>
      </c>
      <c r="AY74" s="618"/>
      <c r="AZ74" s="711">
        <f t="shared" si="50"/>
        <v>6386</v>
      </c>
      <c r="BA74" s="711">
        <f t="shared" si="51"/>
        <v>8056</v>
      </c>
      <c r="BB74" s="711">
        <f>+'6 Capital Markets Canada'!BS69+'7 CG - US'!BS70</f>
        <v>8868</v>
      </c>
      <c r="BC74" s="711">
        <f>+'6 Capital Markets Canada'!BT69+'7 CG - US'!BT70</f>
        <v>7898</v>
      </c>
      <c r="BD74" s="775">
        <f>+'6 Capital Markets Canada'!BU69+'7 CG - US'!BU70</f>
        <v>5836</v>
      </c>
      <c r="BE74" s="775">
        <v>2053</v>
      </c>
      <c r="BF74" s="775">
        <v>1310</v>
      </c>
      <c r="BG74" s="640">
        <v>942</v>
      </c>
      <c r="BH74" s="715">
        <v>543</v>
      </c>
      <c r="BI74" s="642">
        <v>236</v>
      </c>
      <c r="BJ74" s="688"/>
      <c r="BK74" s="688"/>
      <c r="BL74" s="594"/>
    </row>
    <row r="75" spans="1:64" ht="12.75" customHeight="1" x14ac:dyDescent="0.2">
      <c r="A75" s="699"/>
      <c r="B75" s="6" t="s">
        <v>63</v>
      </c>
      <c r="C75" s="705">
        <f t="shared" si="44"/>
        <v>-156</v>
      </c>
      <c r="D75" s="706">
        <f t="shared" si="45"/>
        <v>-0.1574167507568113</v>
      </c>
      <c r="E75" s="737"/>
      <c r="F75" s="707"/>
      <c r="G75" s="707"/>
      <c r="H75" s="625"/>
      <c r="I75" s="728">
        <f>'6 Capital Markets Canada'!V70+'7 CG - US'!V71</f>
        <v>835</v>
      </c>
      <c r="J75" s="707">
        <f>+'6 Capital Markets Canada'!W70+'7 CG - US'!W71</f>
        <v>713</v>
      </c>
      <c r="K75" s="707">
        <f>+'6 Capital Markets Canada'!X70+'7 CG - US'!X71</f>
        <v>405</v>
      </c>
      <c r="L75" s="625">
        <f>+'6 Capital Markets Canada'!Y70+'7 CG - US'!Y71</f>
        <v>569</v>
      </c>
      <c r="M75" s="728">
        <f>+'6 Capital Markets Canada'!Z70+'7 CG - US'!Z71</f>
        <v>991</v>
      </c>
      <c r="N75" s="707">
        <f>+'6 Capital Markets Canada'!AA70+'7 CG - US'!AA71</f>
        <v>234</v>
      </c>
      <c r="O75" s="735">
        <f>+'6 Capital Markets Canada'!AB70+'7 CG - US'!AB71</f>
        <v>497</v>
      </c>
      <c r="P75" s="625">
        <f>+'6 Capital Markets Canada'!AC70+'7 CG - US'!AC71</f>
        <v>370</v>
      </c>
      <c r="Q75" s="728">
        <f>+'6 Capital Markets Canada'!AD70+'7 CG - US'!AD71</f>
        <v>855</v>
      </c>
      <c r="R75" s="707">
        <f>+'6 Capital Markets Canada'!AE70+'7 CG - US'!AE71</f>
        <v>527</v>
      </c>
      <c r="S75" s="707">
        <f>+'6 Capital Markets Canada'!AF70+'7 CG - US'!AF71</f>
        <v>122</v>
      </c>
      <c r="T75" s="707">
        <v>34</v>
      </c>
      <c r="U75" s="728">
        <v>36</v>
      </c>
      <c r="V75" s="707">
        <v>60</v>
      </c>
      <c r="W75" s="707">
        <v>31</v>
      </c>
      <c r="X75" s="707">
        <v>62</v>
      </c>
      <c r="Y75" s="707" t="e">
        <f>+'5 Canaccord Genuity '!AL99-'8 UK &amp; Dubai'!AL70-'7 CG - US'!AL71-#REF!</f>
        <v>#REF!</v>
      </c>
      <c r="Z75" s="729">
        <v>52</v>
      </c>
      <c r="AA75" s="735">
        <v>74</v>
      </c>
      <c r="AB75" s="739">
        <v>72</v>
      </c>
      <c r="AC75" s="627">
        <v>45</v>
      </c>
      <c r="AD75" s="729">
        <v>1</v>
      </c>
      <c r="AE75" s="736">
        <v>0</v>
      </c>
      <c r="AF75" s="740">
        <v>0</v>
      </c>
      <c r="AG75" s="627">
        <v>414</v>
      </c>
      <c r="AH75" s="657">
        <v>0</v>
      </c>
      <c r="AI75" s="627">
        <v>1</v>
      </c>
      <c r="AJ75" s="741">
        <v>0</v>
      </c>
      <c r="AK75" s="738">
        <v>1</v>
      </c>
      <c r="AL75" s="721">
        <v>60</v>
      </c>
      <c r="AM75" s="590"/>
      <c r="AN75" s="590"/>
      <c r="AO75" s="590"/>
      <c r="AP75" s="590"/>
      <c r="AQ75" s="590"/>
      <c r="AR75" s="590"/>
      <c r="AS75" s="590"/>
      <c r="AT75" s="615"/>
      <c r="AU75" s="658">
        <f t="shared" si="46"/>
        <v>1965</v>
      </c>
      <c r="AV75" s="628">
        <f t="shared" si="47"/>
        <v>1722</v>
      </c>
      <c r="AW75" s="733">
        <f t="shared" si="48"/>
        <v>722</v>
      </c>
      <c r="AX75" s="714">
        <f t="shared" si="49"/>
        <v>0.36912065439672803</v>
      </c>
      <c r="AY75" s="619"/>
      <c r="AZ75" s="711">
        <f t="shared" si="50"/>
        <v>2678</v>
      </c>
      <c r="BA75" s="711">
        <f t="shared" si="51"/>
        <v>1956</v>
      </c>
      <c r="BB75" s="711">
        <f>+'6 Capital Markets Canada'!BS70+'7 CG - US'!BS71</f>
        <v>1043</v>
      </c>
      <c r="BC75" s="711">
        <f>+'6 Capital Markets Canada'!BT70+'7 CG - US'!BT71</f>
        <v>558</v>
      </c>
      <c r="BD75" s="776">
        <f>+'6 Capital Markets Canada'!BU70+'7 CG - US'!BU71</f>
        <v>464</v>
      </c>
      <c r="BE75" s="776">
        <v>417</v>
      </c>
      <c r="BF75" s="776">
        <v>4</v>
      </c>
      <c r="BG75" s="716">
        <v>333</v>
      </c>
      <c r="BH75" s="717">
        <v>294</v>
      </c>
      <c r="BI75" s="718">
        <v>118</v>
      </c>
      <c r="BJ75" s="688"/>
      <c r="BK75" s="688"/>
      <c r="BL75" s="594"/>
    </row>
    <row r="76" spans="1:64" ht="12.75" customHeight="1" x14ac:dyDescent="0.2">
      <c r="A76" s="699"/>
      <c r="B76" s="6"/>
      <c r="C76" s="742">
        <f t="shared" si="44"/>
        <v>-31338</v>
      </c>
      <c r="D76" s="743">
        <f t="shared" si="45"/>
        <v>-0.26017650623915517</v>
      </c>
      <c r="E76" s="589"/>
      <c r="F76" s="744"/>
      <c r="G76" s="744"/>
      <c r="H76" s="744"/>
      <c r="I76" s="745">
        <f>SUM(I70:I75)</f>
        <v>89111</v>
      </c>
      <c r="J76" s="744">
        <f t="shared" ref="J76:S76" si="52">SUM(J70:J75)</f>
        <v>104807</v>
      </c>
      <c r="K76" s="744">
        <f t="shared" si="52"/>
        <v>72685</v>
      </c>
      <c r="L76" s="744">
        <f t="shared" si="52"/>
        <v>109616</v>
      </c>
      <c r="M76" s="745">
        <f t="shared" si="52"/>
        <v>120449</v>
      </c>
      <c r="N76" s="744">
        <f t="shared" si="52"/>
        <v>114330</v>
      </c>
      <c r="O76" s="744">
        <f t="shared" si="52"/>
        <v>89552</v>
      </c>
      <c r="P76" s="744">
        <f t="shared" si="52"/>
        <v>75264</v>
      </c>
      <c r="Q76" s="745">
        <f t="shared" si="52"/>
        <v>85853</v>
      </c>
      <c r="R76" s="744">
        <f t="shared" si="52"/>
        <v>102020</v>
      </c>
      <c r="S76" s="744">
        <f t="shared" si="52"/>
        <v>114079</v>
      </c>
      <c r="T76" s="744">
        <v>35445</v>
      </c>
      <c r="U76" s="745">
        <v>35624</v>
      </c>
      <c r="V76" s="744">
        <v>71006</v>
      </c>
      <c r="W76" s="744">
        <v>56942</v>
      </c>
      <c r="X76" s="744">
        <v>42491</v>
      </c>
      <c r="Y76" s="744" t="e">
        <f>SUM(Y70:Y75)</f>
        <v>#REF!</v>
      </c>
      <c r="Z76" s="746">
        <f t="shared" ref="Z76:AL76" si="53">SUM(Z70:Z75)</f>
        <v>88632</v>
      </c>
      <c r="AA76" s="744">
        <f t="shared" si="53"/>
        <v>109404</v>
      </c>
      <c r="AB76" s="744">
        <f t="shared" si="53"/>
        <v>49909</v>
      </c>
      <c r="AC76" s="744">
        <f t="shared" si="53"/>
        <v>53057</v>
      </c>
      <c r="AD76" s="746">
        <f t="shared" si="53"/>
        <v>32806</v>
      </c>
      <c r="AE76" s="744">
        <f t="shared" si="53"/>
        <v>57181</v>
      </c>
      <c r="AF76" s="744">
        <f t="shared" si="53"/>
        <v>27314</v>
      </c>
      <c r="AG76" s="744">
        <f t="shared" si="53"/>
        <v>30054</v>
      </c>
      <c r="AH76" s="746">
        <f t="shared" si="53"/>
        <v>25033</v>
      </c>
      <c r="AI76" s="744">
        <f t="shared" si="53"/>
        <v>12639</v>
      </c>
      <c r="AJ76" s="745">
        <f t="shared" si="53"/>
        <v>23461</v>
      </c>
      <c r="AK76" s="745">
        <f t="shared" si="53"/>
        <v>34352</v>
      </c>
      <c r="AL76" s="745">
        <f t="shared" si="53"/>
        <v>31944</v>
      </c>
      <c r="AM76" s="580"/>
      <c r="AN76" s="580"/>
      <c r="AO76" s="580"/>
      <c r="AP76" s="580"/>
      <c r="AQ76" s="580"/>
      <c r="AR76" s="580"/>
      <c r="AS76" s="580"/>
      <c r="AT76" s="594"/>
      <c r="AU76" s="744">
        <f>SUM(AU70:AU75)</f>
        <v>302750</v>
      </c>
      <c r="AV76" s="744">
        <f>SUM(AV70:AV75)</f>
        <v>250669</v>
      </c>
      <c r="AW76" s="747">
        <f t="shared" si="48"/>
        <v>42558</v>
      </c>
      <c r="AX76" s="748">
        <f t="shared" si="49"/>
        <v>0.11659757971939649</v>
      </c>
      <c r="AZ76" s="749">
        <f>SUM(AZ70:AZ75)</f>
        <v>407557</v>
      </c>
      <c r="BA76" s="749">
        <f>SUM(BA70:BA75)</f>
        <v>364999</v>
      </c>
      <c r="BB76" s="749">
        <f>SUM(BB70:BB75)</f>
        <v>357692</v>
      </c>
      <c r="BC76" s="749">
        <f>SUM(BC70:BC75)</f>
        <v>311792</v>
      </c>
      <c r="BD76" s="749">
        <f>SUM(BD70:BD75)</f>
        <v>444739</v>
      </c>
      <c r="BE76" s="749">
        <v>177581</v>
      </c>
      <c r="BF76" s="750">
        <v>122850</v>
      </c>
      <c r="BG76" s="750">
        <f>SUM(BG70:BG75)</f>
        <v>176655</v>
      </c>
      <c r="BH76" s="750">
        <f>SUM(BH70:BH75)</f>
        <v>187562</v>
      </c>
      <c r="BI76" s="750">
        <f>SUM(BI70:BI75)</f>
        <v>150470</v>
      </c>
      <c r="BJ76" s="688"/>
      <c r="BK76" s="688"/>
    </row>
    <row r="77" spans="1:64" ht="12.75" customHeight="1" x14ac:dyDescent="0.2">
      <c r="A77" s="699"/>
      <c r="B77" s="6"/>
      <c r="C77" s="719"/>
      <c r="D77" s="751"/>
      <c r="E77" s="589"/>
      <c r="F77" s="752"/>
      <c r="G77" s="753"/>
      <c r="H77" s="753"/>
      <c r="I77" s="721"/>
      <c r="J77" s="752"/>
      <c r="K77" s="753"/>
      <c r="L77" s="753"/>
      <c r="M77" s="721"/>
      <c r="N77" s="752"/>
      <c r="O77" s="753"/>
      <c r="P77" s="753"/>
      <c r="Q77" s="721"/>
      <c r="R77" s="752"/>
      <c r="S77" s="753"/>
      <c r="T77" s="753"/>
      <c r="U77" s="721"/>
      <c r="V77" s="752"/>
      <c r="W77" s="744"/>
      <c r="X77" s="753"/>
      <c r="Y77" s="753"/>
      <c r="Z77" s="754"/>
      <c r="AA77" s="753"/>
      <c r="AB77" s="753"/>
      <c r="AC77" s="753"/>
      <c r="AD77" s="754"/>
      <c r="AE77" s="753"/>
      <c r="AF77" s="753"/>
      <c r="AG77" s="753"/>
      <c r="AH77" s="752"/>
      <c r="AI77" s="752"/>
      <c r="AJ77" s="752"/>
      <c r="AK77" s="752"/>
      <c r="AL77" s="752"/>
      <c r="AM77" s="580"/>
      <c r="AN77" s="580"/>
      <c r="AO77" s="580"/>
      <c r="AP77" s="580"/>
      <c r="AQ77" s="580"/>
      <c r="AR77" s="580"/>
      <c r="AS77" s="580"/>
      <c r="AT77" s="594"/>
      <c r="AU77" s="753"/>
      <c r="AV77" s="753"/>
      <c r="AW77" s="755"/>
      <c r="AX77" s="756"/>
      <c r="AZ77" s="757"/>
      <c r="BA77" s="757"/>
      <c r="BB77" s="757"/>
      <c r="BC77" s="757"/>
      <c r="BD77" s="757"/>
      <c r="BE77" s="757"/>
      <c r="BF77" s="758"/>
      <c r="BG77" s="758"/>
      <c r="BH77" s="758"/>
      <c r="BI77" s="629"/>
      <c r="BJ77" s="688"/>
      <c r="BK77" s="688"/>
    </row>
    <row r="78" spans="1:64" ht="12.75" customHeight="1" x14ac:dyDescent="0.2">
      <c r="A78" s="584"/>
      <c r="B78" s="6" t="s">
        <v>372</v>
      </c>
      <c r="C78" s="855">
        <f>I78-M78</f>
        <v>-231</v>
      </c>
      <c r="D78" s="856">
        <f>-IF(OR((C78/M78)&gt;3,(C78/M78)&lt;-3),"n.m.",(C78/M78))</f>
        <v>-0.11625566180171112</v>
      </c>
      <c r="E78" s="857"/>
      <c r="F78" s="858"/>
      <c r="G78" s="858"/>
      <c r="H78" s="858"/>
      <c r="I78" s="266">
        <f>'6 Capital Markets Canada'!V73+'7 CG - US'!V74</f>
        <v>-2218</v>
      </c>
      <c r="J78" s="858">
        <f>+'6 Capital Markets Canada'!W73+'7 CG - US'!W74</f>
        <v>-2329</v>
      </c>
      <c r="K78" s="858">
        <f>+'6 Capital Markets Canada'!X73+'7 CG - US'!X74</f>
        <v>-3719</v>
      </c>
      <c r="L78" s="858">
        <f>+'6 Capital Markets Canada'!Y73+'7 CG - US'!Y74</f>
        <v>-3496</v>
      </c>
      <c r="M78" s="266">
        <f>+'6 Capital Markets Canada'!Z73+'7 CG - US'!Z74</f>
        <v>-1987</v>
      </c>
      <c r="N78" s="858">
        <f>+'6 Capital Markets Canada'!AA73+'7 CG - US'!AA74</f>
        <v>-3504</v>
      </c>
      <c r="O78" s="858">
        <f>+'6 Capital Markets Canada'!AB73+'7 CG - US'!AB74</f>
        <v>-2256</v>
      </c>
      <c r="P78" s="858">
        <f>+'6 Capital Markets Canada'!AC73+'7 CG - US'!AC74</f>
        <v>-4564</v>
      </c>
      <c r="Q78" s="266">
        <f>+'6 Capital Markets Canada'!AD73+'7 CG - US'!AD74</f>
        <v>-2711</v>
      </c>
      <c r="R78" s="858">
        <f>+'6 Capital Markets Canada'!AE73+'7 CG - US'!AE74</f>
        <v>-4660</v>
      </c>
      <c r="S78" s="858">
        <f>+'6 Capital Markets Canada'!AF73+'7 CG - US'!AF74</f>
        <v>-3553</v>
      </c>
      <c r="T78" s="858">
        <v>-1301</v>
      </c>
      <c r="U78" s="859">
        <v>-3367</v>
      </c>
      <c r="V78" s="858">
        <v>-218</v>
      </c>
      <c r="W78" s="858">
        <v>-4844</v>
      </c>
      <c r="X78" s="858">
        <v>-6322</v>
      </c>
      <c r="Y78" s="859">
        <v>-10795</v>
      </c>
      <c r="Z78" s="860">
        <v>-9261</v>
      </c>
      <c r="AA78" s="861">
        <v>-1134</v>
      </c>
      <c r="AB78" s="861">
        <v>-5070</v>
      </c>
      <c r="AC78" s="862">
        <v>-6918</v>
      </c>
      <c r="AD78" s="863" t="s">
        <v>181</v>
      </c>
      <c r="AE78" s="864" t="s">
        <v>181</v>
      </c>
      <c r="AF78" s="865" t="s">
        <v>181</v>
      </c>
      <c r="AG78" s="865" t="s">
        <v>181</v>
      </c>
      <c r="AH78" s="866"/>
      <c r="AI78" s="866"/>
      <c r="AJ78" s="866"/>
      <c r="AK78" s="866"/>
      <c r="AL78" s="866"/>
      <c r="AM78" s="867"/>
      <c r="AN78" s="867"/>
      <c r="AO78" s="867"/>
      <c r="AP78" s="867"/>
      <c r="AQ78" s="867"/>
      <c r="AR78" s="867"/>
      <c r="AS78" s="867"/>
      <c r="AT78" s="876"/>
      <c r="AU78" s="360">
        <f>SUM(K78:M78)</f>
        <v>-9202</v>
      </c>
      <c r="AV78" s="360">
        <f>SUM(O78:Q78)</f>
        <v>-9531</v>
      </c>
      <c r="AW78" s="360">
        <f>AZ78-BA78</f>
        <v>1504</v>
      </c>
      <c r="AX78" s="868">
        <f>-IF(OR((AW78/BA78)&gt;3,(AW78/BA78)&lt;-3),"n.m.",(AW78/BA78))</f>
        <v>0.11538166474875336</v>
      </c>
      <c r="AY78" s="869"/>
      <c r="AZ78" s="430">
        <f>+SUM(J78:M78)</f>
        <v>-11531</v>
      </c>
      <c r="BA78" s="430">
        <f>+SUM(N78:Q78)</f>
        <v>-13035</v>
      </c>
      <c r="BB78" s="430">
        <f>+'6 Capital Markets Canada'!BS73+'7 CG - US'!BS74</f>
        <v>-14446</v>
      </c>
      <c r="BC78" s="430">
        <f>+'6 Capital Markets Canada'!BT73+'7 CG - US'!BT74</f>
        <v>-28124</v>
      </c>
      <c r="BD78" s="430">
        <f>+'6 Capital Markets Canada'!BU73+'7 CG - US'!BU74</f>
        <v>-28296</v>
      </c>
      <c r="BE78" s="430" t="s">
        <v>181</v>
      </c>
      <c r="BF78" s="870" t="s">
        <v>181</v>
      </c>
      <c r="BG78" s="430" t="s">
        <v>181</v>
      </c>
      <c r="BH78" s="430" t="s">
        <v>181</v>
      </c>
      <c r="BI78" s="871"/>
      <c r="BJ78" s="872"/>
      <c r="BK78" s="872"/>
      <c r="BL78" s="873"/>
    </row>
    <row r="79" spans="1:64" x14ac:dyDescent="0.2">
      <c r="G79" s="759"/>
      <c r="H79" s="759"/>
      <c r="I79" s="653"/>
      <c r="K79" s="759"/>
      <c r="L79" s="759"/>
      <c r="M79" s="653"/>
      <c r="O79" s="759"/>
      <c r="P79" s="759"/>
      <c r="Q79" s="653"/>
      <c r="S79" s="759"/>
      <c r="T79" s="759"/>
      <c r="U79" s="653"/>
      <c r="X79" s="759"/>
      <c r="Y79" s="653"/>
      <c r="AC79" s="653"/>
      <c r="AG79" s="653"/>
      <c r="AK79" s="653"/>
      <c r="AS79" s="653"/>
      <c r="AU79" s="575"/>
      <c r="AV79" s="575"/>
      <c r="BG79" s="653"/>
      <c r="BH79" s="653"/>
    </row>
    <row r="80" spans="1:64" x14ac:dyDescent="0.2">
      <c r="A80" s="6" t="s">
        <v>357</v>
      </c>
      <c r="F80" s="653"/>
      <c r="G80" s="653"/>
      <c r="H80" s="653"/>
      <c r="I80" s="653"/>
      <c r="J80" s="653"/>
      <c r="K80" s="653"/>
      <c r="L80" s="653"/>
      <c r="M80" s="653"/>
      <c r="N80" s="653"/>
      <c r="O80" s="653"/>
      <c r="P80" s="653"/>
      <c r="Q80" s="653"/>
      <c r="R80" s="653"/>
      <c r="S80" s="653"/>
      <c r="T80" s="653"/>
      <c r="U80" s="653"/>
      <c r="V80" s="653"/>
      <c r="W80" s="653"/>
      <c r="X80" s="653"/>
      <c r="Y80" s="653"/>
      <c r="Z80" s="653"/>
      <c r="AA80" s="653"/>
      <c r="AB80" s="653"/>
      <c r="AC80" s="653"/>
      <c r="AD80" s="653"/>
      <c r="AE80" s="653"/>
      <c r="AF80" s="653"/>
      <c r="AG80" s="653"/>
      <c r="AH80" s="653"/>
      <c r="AI80" s="653"/>
      <c r="AJ80" s="653"/>
      <c r="AK80" s="653"/>
      <c r="AL80" s="653"/>
      <c r="AM80" s="653"/>
      <c r="AN80" s="653"/>
      <c r="AO80" s="653"/>
      <c r="AP80" s="653"/>
      <c r="AQ80" s="653"/>
      <c r="AR80" s="653"/>
      <c r="AS80" s="653"/>
      <c r="AT80" s="653"/>
      <c r="AU80" s="653"/>
      <c r="AV80" s="653"/>
      <c r="AW80" s="631"/>
      <c r="AX80" s="631"/>
      <c r="AY80" s="653"/>
      <c r="AZ80" s="653"/>
      <c r="BA80" s="653"/>
      <c r="BB80" s="653"/>
      <c r="BC80" s="653"/>
      <c r="BD80" s="653"/>
      <c r="BE80" s="653"/>
      <c r="BF80" s="653"/>
      <c r="BG80" s="653"/>
      <c r="BH80" s="653"/>
      <c r="BI80" s="653"/>
    </row>
    <row r="81" spans="1:64" x14ac:dyDescent="0.2">
      <c r="A81" s="6" t="s">
        <v>28</v>
      </c>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f>BL80-BL76</f>
        <v>0</v>
      </c>
    </row>
    <row r="82" spans="1:64" x14ac:dyDescent="0.2">
      <c r="A82" s="2"/>
      <c r="G82" s="576"/>
      <c r="H82" s="576"/>
      <c r="I82" s="576"/>
      <c r="K82" s="576"/>
      <c r="L82" s="576"/>
      <c r="M82" s="576"/>
      <c r="O82" s="576"/>
      <c r="P82" s="576"/>
      <c r="Q82" s="576"/>
      <c r="S82" s="576"/>
      <c r="T82" s="576"/>
      <c r="U82" s="576"/>
      <c r="X82" s="576"/>
      <c r="Y82" s="576"/>
      <c r="AC82" s="576"/>
      <c r="AG82" s="576"/>
      <c r="AH82" s="576"/>
      <c r="AI82" s="576"/>
      <c r="AJ82" s="576"/>
      <c r="AK82" s="576"/>
      <c r="AL82" s="576"/>
      <c r="AM82" s="576"/>
      <c r="AN82" s="576"/>
      <c r="AO82" s="576"/>
      <c r="AP82" s="576"/>
      <c r="AQ82" s="576"/>
      <c r="AR82" s="576"/>
      <c r="AS82" s="576"/>
      <c r="AT82" s="576"/>
      <c r="AU82" s="576"/>
      <c r="AV82" s="576"/>
      <c r="AW82" s="760"/>
      <c r="AX82" s="760"/>
      <c r="AY82" s="576"/>
      <c r="AZ82" s="576"/>
      <c r="BA82" s="576"/>
      <c r="BB82" s="576"/>
      <c r="BC82" s="576"/>
      <c r="BD82" s="576"/>
      <c r="BE82" s="576"/>
      <c r="BF82" s="576"/>
      <c r="BG82" s="576"/>
      <c r="BH82" s="761"/>
      <c r="BI82" s="761"/>
    </row>
    <row r="83" spans="1:64" x14ac:dyDescent="0.2">
      <c r="A83" s="6" t="s">
        <v>298</v>
      </c>
      <c r="F83" s="576"/>
      <c r="G83" s="576"/>
      <c r="H83" s="576"/>
      <c r="I83" s="576"/>
      <c r="J83" s="576"/>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c r="AO83" s="576"/>
      <c r="AP83" s="576"/>
      <c r="AQ83" s="576"/>
      <c r="AR83" s="576"/>
      <c r="AS83" s="576"/>
      <c r="AT83" s="576"/>
      <c r="AU83" s="576"/>
      <c r="AV83" s="576"/>
      <c r="AW83" s="760"/>
      <c r="AX83" s="760"/>
      <c r="AY83" s="576"/>
      <c r="AZ83" s="576"/>
      <c r="BA83" s="576"/>
      <c r="BB83" s="576"/>
      <c r="BC83" s="576"/>
      <c r="BD83" s="576"/>
      <c r="BE83" s="576"/>
      <c r="BF83" s="576"/>
      <c r="BG83" s="576"/>
      <c r="BH83" s="576"/>
      <c r="BI83" s="576"/>
    </row>
    <row r="84" spans="1:64" x14ac:dyDescent="0.2">
      <c r="F84" s="576"/>
      <c r="G84" s="576"/>
      <c r="H84" s="576"/>
      <c r="I84" s="576"/>
      <c r="J84" s="576"/>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c r="AO84" s="576"/>
      <c r="AP84" s="576"/>
      <c r="AQ84" s="576"/>
      <c r="AR84" s="576"/>
      <c r="AS84" s="576"/>
      <c r="AT84" s="576"/>
      <c r="AU84" s="576"/>
      <c r="AV84" s="576"/>
      <c r="AW84" s="760"/>
      <c r="AX84" s="760"/>
      <c r="AY84" s="576"/>
      <c r="AZ84" s="576"/>
      <c r="BA84" s="576"/>
      <c r="BB84" s="576"/>
      <c r="BC84" s="576"/>
      <c r="BD84" s="576"/>
      <c r="BE84" s="576"/>
      <c r="BF84" s="576"/>
      <c r="BG84" s="576"/>
      <c r="BH84" s="576"/>
      <c r="BI84" s="576"/>
    </row>
    <row r="85" spans="1:64" x14ac:dyDescent="0.2">
      <c r="A85" s="575"/>
      <c r="B85" s="575"/>
      <c r="C85" s="575"/>
      <c r="D85" s="575"/>
      <c r="F85" s="630"/>
      <c r="G85" s="630"/>
      <c r="H85" s="630"/>
      <c r="I85" s="630"/>
      <c r="J85" s="630"/>
      <c r="K85" s="630"/>
      <c r="L85" s="630"/>
      <c r="M85" s="630"/>
      <c r="N85" s="630"/>
      <c r="O85" s="630"/>
      <c r="P85" s="630"/>
      <c r="Q85" s="630"/>
      <c r="R85" s="630"/>
      <c r="S85" s="630"/>
      <c r="T85" s="630"/>
      <c r="U85" s="630"/>
      <c r="V85" s="630"/>
      <c r="W85" s="630"/>
      <c r="X85" s="630"/>
      <c r="Y85" s="630"/>
      <c r="Z85" s="630"/>
      <c r="AA85" s="630"/>
      <c r="AB85" s="630"/>
      <c r="AC85" s="630"/>
      <c r="AD85" s="630"/>
      <c r="AE85" s="630"/>
      <c r="AF85" s="630"/>
      <c r="AG85" s="630"/>
      <c r="AH85" s="630"/>
      <c r="AI85" s="630"/>
      <c r="AJ85" s="630"/>
      <c r="AK85" s="630"/>
      <c r="AL85" s="630"/>
      <c r="AM85" s="630"/>
      <c r="AN85" s="630"/>
      <c r="AO85" s="630"/>
      <c r="AP85" s="630"/>
      <c r="AQ85" s="630"/>
      <c r="AR85" s="630"/>
      <c r="AS85" s="630"/>
      <c r="AT85" s="629"/>
      <c r="AU85" s="630"/>
      <c r="AV85" s="630"/>
      <c r="AW85" s="762"/>
      <c r="AX85" s="762"/>
      <c r="AY85" s="630"/>
      <c r="AZ85" s="630"/>
      <c r="BA85" s="630"/>
      <c r="BB85" s="630"/>
      <c r="BC85" s="630"/>
      <c r="BD85" s="630"/>
      <c r="BE85" s="630"/>
      <c r="BF85" s="630"/>
      <c r="BG85" s="630"/>
      <c r="BH85" s="630"/>
      <c r="BI85" s="630"/>
    </row>
    <row r="86" spans="1:64" x14ac:dyDescent="0.2">
      <c r="AK86" s="575"/>
      <c r="AL86" s="575"/>
      <c r="AM86" s="575"/>
      <c r="AN86" s="575"/>
      <c r="AO86" s="575"/>
      <c r="AP86" s="575"/>
      <c r="AQ86" s="575"/>
      <c r="AR86" s="575"/>
      <c r="AS86" s="575"/>
      <c r="AU86" s="575"/>
      <c r="AV86" s="575"/>
      <c r="AW86" s="582"/>
      <c r="AX86" s="582"/>
      <c r="AY86" s="575"/>
      <c r="AZ86" s="575"/>
      <c r="BA86" s="575"/>
      <c r="BB86" s="575"/>
      <c r="BC86" s="575"/>
      <c r="BD86" s="575"/>
      <c r="BE86" s="575"/>
      <c r="BF86" s="575"/>
      <c r="BG86" s="575"/>
      <c r="BH86" s="575"/>
      <c r="BI86" s="575"/>
    </row>
    <row r="87" spans="1:64" x14ac:dyDescent="0.2">
      <c r="F87" s="576"/>
      <c r="G87" s="576"/>
      <c r="H87" s="576"/>
      <c r="I87" s="576"/>
      <c r="J87" s="576"/>
      <c r="K87" s="576"/>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c r="AO87" s="576"/>
      <c r="AP87" s="576"/>
      <c r="AQ87" s="576"/>
      <c r="AR87" s="576"/>
      <c r="AS87" s="576"/>
      <c r="AT87" s="576"/>
      <c r="AU87" s="576"/>
      <c r="AV87" s="576"/>
      <c r="AW87" s="760"/>
      <c r="AX87" s="760"/>
      <c r="AY87" s="576"/>
      <c r="AZ87" s="576"/>
      <c r="BA87" s="576"/>
      <c r="BB87" s="576"/>
      <c r="BC87" s="576"/>
      <c r="BD87" s="576"/>
      <c r="BE87" s="576"/>
      <c r="BF87" s="576"/>
      <c r="BG87" s="576"/>
      <c r="BH87" s="576"/>
      <c r="BI87" s="576"/>
    </row>
    <row r="88" spans="1:64" x14ac:dyDescent="0.2">
      <c r="AK88" s="763"/>
      <c r="AS88" s="763"/>
      <c r="AU88" s="575"/>
      <c r="AV88" s="575"/>
      <c r="BG88" s="580"/>
      <c r="BH88" s="580"/>
    </row>
    <row r="89" spans="1:64" x14ac:dyDescent="0.2">
      <c r="AK89" s="580"/>
      <c r="AS89" s="764"/>
      <c r="AU89" s="575"/>
      <c r="AV89" s="575"/>
      <c r="BG89" s="580"/>
      <c r="BH89" s="580"/>
    </row>
    <row r="90" spans="1:64" x14ac:dyDescent="0.2">
      <c r="F90" s="576"/>
      <c r="G90" s="576"/>
      <c r="H90" s="576"/>
      <c r="I90" s="576"/>
      <c r="J90" s="576"/>
      <c r="K90" s="576"/>
      <c r="L90" s="576"/>
      <c r="M90" s="576"/>
      <c r="N90" s="576"/>
      <c r="O90" s="576"/>
      <c r="P90" s="576"/>
      <c r="Q90" s="576"/>
      <c r="S90" s="765"/>
      <c r="AK90" s="580"/>
      <c r="AL90" s="580"/>
      <c r="AO90" s="580"/>
      <c r="AQ90" s="580"/>
      <c r="AR90" s="580"/>
      <c r="AS90" s="580"/>
      <c r="AU90" s="575"/>
      <c r="AV90" s="575"/>
      <c r="AZ90" s="843"/>
      <c r="BA90" s="843"/>
      <c r="BG90" s="766"/>
      <c r="BH90" s="766"/>
    </row>
    <row r="91" spans="1:64" x14ac:dyDescent="0.2">
      <c r="G91" s="765"/>
      <c r="K91" s="765"/>
      <c r="O91" s="765"/>
      <c r="S91" s="765"/>
      <c r="AK91" s="766"/>
      <c r="AL91" s="767"/>
      <c r="AM91" s="766"/>
      <c r="AN91" s="766"/>
      <c r="AO91" s="766"/>
      <c r="AP91" s="768"/>
      <c r="AQ91" s="768"/>
      <c r="AR91" s="769"/>
      <c r="AS91" s="584"/>
      <c r="AU91" s="575"/>
      <c r="AV91" s="575"/>
      <c r="BG91" s="766"/>
      <c r="BH91" s="766"/>
    </row>
    <row r="92" spans="1:64" x14ac:dyDescent="0.2">
      <c r="AK92" s="766"/>
      <c r="AL92" s="766"/>
      <c r="AM92" s="766"/>
      <c r="AN92" s="766"/>
      <c r="AO92" s="766"/>
      <c r="AP92" s="770"/>
      <c r="AQ92" s="766"/>
      <c r="AR92" s="766"/>
      <c r="AS92" s="766"/>
      <c r="AU92" s="575"/>
      <c r="AV92" s="575"/>
      <c r="BG92" s="693"/>
      <c r="BH92" s="693"/>
    </row>
    <row r="93" spans="1:64" x14ac:dyDescent="0.2">
      <c r="AK93" s="693"/>
      <c r="AL93" s="771"/>
      <c r="AM93" s="690"/>
      <c r="AN93" s="690"/>
      <c r="AO93" s="690"/>
      <c r="AP93" s="771"/>
      <c r="AQ93" s="690"/>
      <c r="AR93" s="690"/>
      <c r="AS93" s="683"/>
      <c r="AU93" s="575"/>
      <c r="AV93" s="575"/>
      <c r="BG93" s="690"/>
      <c r="BH93" s="690"/>
    </row>
    <row r="94" spans="1:64" x14ac:dyDescent="0.2">
      <c r="AK94" s="693"/>
      <c r="AL94" s="690"/>
      <c r="AM94" s="690"/>
      <c r="AN94" s="690"/>
      <c r="AO94" s="690"/>
      <c r="AP94" s="690"/>
      <c r="AQ94" s="690"/>
      <c r="AR94" s="690"/>
      <c r="AS94" s="683"/>
      <c r="AU94" s="575"/>
      <c r="AV94" s="575"/>
      <c r="BG94" s="690"/>
      <c r="BH94" s="690"/>
    </row>
    <row r="95" spans="1:64" x14ac:dyDescent="0.2">
      <c r="AK95" s="693"/>
      <c r="AL95" s="690"/>
      <c r="AM95" s="690"/>
      <c r="AN95" s="690"/>
      <c r="AO95" s="690"/>
      <c r="AP95" s="690"/>
      <c r="AQ95" s="690"/>
      <c r="AR95" s="690"/>
      <c r="AS95" s="683"/>
      <c r="AU95" s="575"/>
      <c r="AV95" s="575"/>
      <c r="BG95" s="690"/>
      <c r="BH95" s="690"/>
    </row>
    <row r="96" spans="1:64" x14ac:dyDescent="0.2">
      <c r="AK96" s="690"/>
      <c r="AL96" s="690"/>
      <c r="AM96" s="690"/>
      <c r="AN96" s="690"/>
      <c r="AO96" s="690"/>
      <c r="AP96" s="690"/>
      <c r="AQ96" s="690"/>
      <c r="AR96" s="690"/>
      <c r="AS96" s="690"/>
      <c r="AU96" s="575"/>
      <c r="AV96" s="575"/>
      <c r="BG96" s="772"/>
      <c r="BH96" s="772"/>
    </row>
    <row r="97" spans="37:60" x14ac:dyDescent="0.2">
      <c r="AK97" s="772"/>
      <c r="AL97" s="772"/>
      <c r="AM97" s="772"/>
      <c r="AN97" s="772"/>
      <c r="AO97" s="772"/>
      <c r="AP97" s="772"/>
      <c r="AQ97" s="772"/>
      <c r="AR97" s="772"/>
      <c r="AS97" s="772"/>
      <c r="AU97" s="575"/>
      <c r="AV97" s="575"/>
      <c r="BG97" s="772"/>
      <c r="BH97" s="772"/>
    </row>
    <row r="98" spans="37:60" x14ac:dyDescent="0.2">
      <c r="AK98" s="772"/>
      <c r="AL98" s="772"/>
      <c r="AM98" s="772"/>
      <c r="AN98" s="772"/>
      <c r="AO98" s="772"/>
      <c r="AP98" s="772"/>
      <c r="AQ98" s="772"/>
      <c r="AR98" s="772"/>
      <c r="AS98" s="772"/>
      <c r="AU98" s="575"/>
      <c r="AV98" s="575"/>
      <c r="BG98" s="575"/>
      <c r="BH98" s="575"/>
    </row>
    <row r="99" spans="37:60" x14ac:dyDescent="0.2">
      <c r="AK99" s="575"/>
      <c r="AL99" s="575"/>
      <c r="AM99" s="575"/>
      <c r="AN99" s="575"/>
      <c r="AO99" s="575"/>
      <c r="AP99" s="575"/>
      <c r="AQ99" s="575"/>
      <c r="AR99" s="575"/>
      <c r="AS99" s="575"/>
      <c r="AU99" s="575"/>
      <c r="AV99" s="575"/>
      <c r="BG99" s="575"/>
      <c r="BH99" s="575"/>
    </row>
    <row r="100" spans="37:60" x14ac:dyDescent="0.2">
      <c r="AK100" s="575"/>
      <c r="AL100" s="575"/>
      <c r="AM100" s="575"/>
      <c r="AN100" s="575"/>
      <c r="AO100" s="575"/>
      <c r="AP100" s="575"/>
      <c r="AQ100" s="575"/>
      <c r="AR100" s="575"/>
      <c r="AS100" s="575"/>
      <c r="AU100" s="575"/>
      <c r="AV100" s="575"/>
      <c r="BG100" s="575"/>
      <c r="BH100" s="575"/>
    </row>
    <row r="101" spans="37:60" x14ac:dyDescent="0.2">
      <c r="AK101" s="575"/>
      <c r="AL101" s="575"/>
      <c r="AM101" s="575"/>
      <c r="AN101" s="575"/>
      <c r="AO101" s="575"/>
      <c r="AP101" s="575"/>
      <c r="AQ101" s="575"/>
      <c r="AR101" s="575"/>
      <c r="AS101" s="575"/>
      <c r="AU101" s="575"/>
      <c r="AV101" s="575"/>
      <c r="BG101" s="575"/>
      <c r="BH101" s="575"/>
    </row>
    <row r="102" spans="37:60" x14ac:dyDescent="0.2">
      <c r="AK102" s="575"/>
      <c r="AL102" s="575"/>
      <c r="AM102" s="575"/>
      <c r="AN102" s="575"/>
      <c r="AO102" s="575"/>
      <c r="AP102" s="575"/>
      <c r="AQ102" s="575"/>
      <c r="AR102" s="575"/>
      <c r="AS102" s="575"/>
      <c r="AU102" s="575"/>
      <c r="AV102" s="575"/>
      <c r="BG102" s="575"/>
      <c r="BH102" s="575"/>
    </row>
    <row r="103" spans="37:60" x14ac:dyDescent="0.2">
      <c r="AK103" s="575"/>
      <c r="AL103" s="575"/>
      <c r="AM103" s="575"/>
      <c r="AN103" s="575"/>
      <c r="AO103" s="575"/>
      <c r="AP103" s="575"/>
      <c r="AQ103" s="575"/>
      <c r="AR103" s="575"/>
      <c r="AS103" s="575"/>
      <c r="AU103" s="575"/>
      <c r="AV103" s="575"/>
    </row>
  </sheetData>
  <mergeCells count="11">
    <mergeCell ref="C56:D56"/>
    <mergeCell ref="C10:D10"/>
    <mergeCell ref="C11:D11"/>
    <mergeCell ref="AW11:AX11"/>
    <mergeCell ref="A35:B35"/>
    <mergeCell ref="A41:B41"/>
    <mergeCell ref="C57:D57"/>
    <mergeCell ref="AW57:AX57"/>
    <mergeCell ref="C68:D68"/>
    <mergeCell ref="C69:D69"/>
    <mergeCell ref="AW69:AX69"/>
  </mergeCells>
  <conditionalFormatting sqref="A54:A55 AM63:AS66 A75:A77 A67 A42:B46 AO45:AS50 AM45:AN49 BF45:BH50 BD66:BH66 BF63:BH65">
    <cfRule type="cellIs" dxfId="161" priority="5" stopIfTrue="1" operator="equal">
      <formula>0</formula>
    </cfRule>
  </conditionalFormatting>
  <conditionalFormatting sqref="BB66:BC66">
    <cfRule type="cellIs" dxfId="160" priority="4" stopIfTrue="1" operator="equal">
      <formula>0</formula>
    </cfRule>
  </conditionalFormatting>
  <conditionalFormatting sqref="BB66">
    <cfRule type="cellIs" dxfId="159" priority="3" stopIfTrue="1" operator="equal">
      <formula>0</formula>
    </cfRule>
  </conditionalFormatting>
  <conditionalFormatting sqref="BA66">
    <cfRule type="cellIs" dxfId="158" priority="2" stopIfTrue="1" operator="equal">
      <formula>0</formula>
    </cfRule>
  </conditionalFormatting>
  <conditionalFormatting sqref="AZ66">
    <cfRule type="cellIs" dxfId="157" priority="1" stopIfTrue="1" operator="equal">
      <formula>0</formula>
    </cfRule>
  </conditionalFormatting>
  <printOptions horizontalCentered="1"/>
  <pageMargins left="0.3" right="0.3" top="0.4" bottom="0.6" header="0" footer="0.3"/>
  <pageSetup scale="54" orientation="landscape" r:id="rId1"/>
  <headerFooter alignWithMargins="0">
    <oddFooter>&amp;L&amp;F&amp;CPage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16EF6-B450-468B-9C35-DA7ABEEC7943}">
  <sheetPr codeName="Sheet8">
    <tabColor theme="7" tint="0.39997558519241921"/>
    <pageSetUpPr fitToPage="1"/>
  </sheetPr>
  <dimension ref="A1:AD74"/>
  <sheetViews>
    <sheetView zoomScale="85" zoomScaleNormal="85" zoomScaleSheetLayoutView="70" workbookViewId="0">
      <selection activeCell="M45" sqref="M45"/>
    </sheetView>
  </sheetViews>
  <sheetFormatPr defaultColWidth="9.140625" defaultRowHeight="12.75" x14ac:dyDescent="0.2"/>
  <cols>
    <col min="1" max="1" width="2.7109375" style="1183" customWidth="1"/>
    <col min="2" max="2" width="38.7109375" style="1183" customWidth="1"/>
    <col min="3" max="3" width="5.85546875" style="1145" customWidth="1"/>
    <col min="4" max="9" width="11.28515625" style="1184" customWidth="1"/>
    <col min="10" max="13" width="13.7109375" style="1184" customWidth="1"/>
    <col min="14" max="14" width="12" style="1184" bestFit="1" customWidth="1"/>
    <col min="15" max="15" width="4" style="1184" customWidth="1"/>
    <col min="16" max="21" width="11" style="1184" customWidth="1"/>
    <col min="22" max="24" width="10.85546875" style="1184" customWidth="1"/>
    <col min="25" max="25" width="12.5703125" style="1184" bestFit="1" customWidth="1"/>
    <col min="26" max="26" width="12.42578125" style="1183" customWidth="1"/>
    <col min="27" max="27" width="9.140625" style="1180" customWidth="1"/>
    <col min="28" max="28" width="12.140625" style="1180" customWidth="1"/>
    <col min="29" max="29" width="14.140625" style="1180" customWidth="1"/>
    <col min="30" max="30" width="12.5703125" style="1180" customWidth="1"/>
    <col min="31" max="16384" width="9.140625" style="1180"/>
  </cols>
  <sheetData>
    <row r="1" spans="1:30" ht="12" customHeight="1" x14ac:dyDescent="0.2">
      <c r="M1" s="1213"/>
      <c r="N1" s="1213"/>
      <c r="O1" s="1213"/>
      <c r="Y1" s="1213"/>
    </row>
    <row r="2" spans="1:30" x14ac:dyDescent="0.2">
      <c r="M2" s="1213"/>
      <c r="N2" s="1213"/>
      <c r="O2" s="1213"/>
      <c r="Y2" s="1213"/>
    </row>
    <row r="3" spans="1:30" x14ac:dyDescent="0.2">
      <c r="M3" s="1213"/>
      <c r="N3" s="1213"/>
      <c r="O3" s="1213"/>
      <c r="Y3" s="1213"/>
    </row>
    <row r="4" spans="1:30" x14ac:dyDescent="0.2">
      <c r="M4" s="1213"/>
      <c r="N4" s="1213"/>
      <c r="O4" s="1213"/>
      <c r="Y4" s="1213"/>
    </row>
    <row r="5" spans="1:30" ht="20.25" customHeight="1" x14ac:dyDescent="0.2">
      <c r="A5" s="1184"/>
      <c r="B5" s="1184"/>
      <c r="M5" s="1214"/>
      <c r="N5" s="1214"/>
      <c r="O5" s="1214"/>
      <c r="Y5" s="1214"/>
    </row>
    <row r="6" spans="1:30" ht="18" customHeight="1" x14ac:dyDescent="0.2">
      <c r="A6" s="1185" t="s">
        <v>362</v>
      </c>
      <c r="B6" s="1184"/>
      <c r="E6" s="2393"/>
      <c r="K6" s="2393"/>
      <c r="L6" s="2393"/>
      <c r="M6" s="1214"/>
      <c r="N6" s="1214"/>
      <c r="O6" s="1214"/>
      <c r="Q6" s="2393"/>
      <c r="W6" s="2393"/>
      <c r="X6" s="2393"/>
      <c r="Y6" s="1214"/>
    </row>
    <row r="7" spans="1:30" ht="18" customHeight="1" x14ac:dyDescent="0.2">
      <c r="A7" s="2573" t="s">
        <v>566</v>
      </c>
      <c r="B7" s="943"/>
      <c r="C7" s="899"/>
      <c r="D7" s="943"/>
      <c r="E7" s="943"/>
      <c r="F7" s="943"/>
      <c r="G7" s="943"/>
      <c r="H7" s="978"/>
      <c r="I7" s="978"/>
      <c r="J7" s="943"/>
      <c r="K7" s="943"/>
      <c r="L7" s="943"/>
      <c r="M7" s="1216"/>
      <c r="N7" s="1216"/>
      <c r="O7" s="1214"/>
      <c r="P7" s="943"/>
      <c r="Q7" s="943"/>
      <c r="R7" s="943"/>
      <c r="S7" s="943"/>
      <c r="T7" s="978"/>
      <c r="U7" s="978"/>
      <c r="V7" s="943"/>
      <c r="W7" s="943"/>
      <c r="X7" s="943"/>
      <c r="Y7" s="1216"/>
    </row>
    <row r="8" spans="1:30" ht="15" customHeight="1" x14ac:dyDescent="0.2">
      <c r="A8" s="944" t="s">
        <v>569</v>
      </c>
      <c r="B8" s="943"/>
      <c r="C8" s="899"/>
      <c r="D8" s="943"/>
      <c r="E8" s="943"/>
      <c r="F8" s="943"/>
      <c r="G8" s="943"/>
      <c r="H8" s="943"/>
      <c r="I8" s="943"/>
      <c r="J8" s="943"/>
      <c r="K8" s="943"/>
      <c r="L8" s="943"/>
      <c r="M8" s="1213"/>
      <c r="N8" s="1213"/>
      <c r="O8" s="1213"/>
      <c r="P8" s="943"/>
      <c r="Q8" s="943"/>
      <c r="R8" s="943"/>
      <c r="S8" s="943"/>
      <c r="T8" s="943"/>
      <c r="U8" s="943"/>
      <c r="V8" s="943"/>
      <c r="W8" s="943"/>
      <c r="X8" s="943"/>
      <c r="Y8" s="1213"/>
    </row>
    <row r="9" spans="1:30" ht="15" customHeight="1" x14ac:dyDescent="0.2">
      <c r="A9" s="944"/>
      <c r="B9" s="943"/>
      <c r="C9" s="899"/>
      <c r="D9" s="943"/>
      <c r="E9" s="943"/>
      <c r="F9" s="943"/>
      <c r="G9" s="943"/>
      <c r="H9" s="943"/>
      <c r="I9" s="943"/>
      <c r="J9" s="943"/>
      <c r="K9" s="943"/>
      <c r="L9" s="943"/>
      <c r="M9" s="1213"/>
      <c r="N9" s="1213"/>
      <c r="O9" s="1213"/>
      <c r="P9" s="943"/>
      <c r="Q9" s="943"/>
      <c r="R9" s="943"/>
      <c r="S9" s="943"/>
      <c r="T9" s="943"/>
      <c r="U9" s="943"/>
      <c r="V9" s="943"/>
      <c r="W9" s="943"/>
      <c r="X9" s="943"/>
      <c r="Y9" s="1213"/>
    </row>
    <row r="10" spans="1:30" ht="15" customHeight="1" x14ac:dyDescent="0.2">
      <c r="A10" s="944"/>
      <c r="B10" s="943"/>
      <c r="C10" s="899"/>
      <c r="D10" s="943"/>
      <c r="E10" s="943"/>
      <c r="F10" s="943"/>
      <c r="G10" s="943"/>
      <c r="H10" s="943"/>
      <c r="I10" s="943"/>
      <c r="J10" s="943"/>
      <c r="K10" s="943"/>
      <c r="L10" s="943"/>
      <c r="M10" s="1213"/>
      <c r="N10" s="1213"/>
      <c r="O10" s="1213"/>
      <c r="P10" s="943"/>
      <c r="Q10" s="943"/>
      <c r="R10" s="943"/>
      <c r="S10" s="943"/>
      <c r="T10" s="943"/>
      <c r="U10" s="943"/>
      <c r="V10" s="943"/>
      <c r="W10" s="943"/>
      <c r="X10" s="943"/>
      <c r="Y10" s="1213"/>
    </row>
    <row r="11" spans="1:30" ht="12.75" customHeight="1" x14ac:dyDescent="0.2">
      <c r="C11" s="897"/>
      <c r="D11" s="3152" t="s">
        <v>658</v>
      </c>
      <c r="E11" s="3153"/>
      <c r="F11" s="3153"/>
      <c r="G11" s="3153"/>
      <c r="H11" s="3153"/>
      <c r="I11" s="3153"/>
      <c r="J11" s="3153"/>
      <c r="K11" s="3153"/>
      <c r="L11" s="3153"/>
      <c r="M11" s="3153"/>
      <c r="N11" s="3154"/>
      <c r="P11" s="3152" t="s">
        <v>659</v>
      </c>
      <c r="Q11" s="3153"/>
      <c r="R11" s="3153"/>
      <c r="S11" s="3153"/>
      <c r="T11" s="3153"/>
      <c r="U11" s="3153"/>
      <c r="V11" s="3153"/>
      <c r="W11" s="3153"/>
      <c r="X11" s="3153"/>
      <c r="Y11" s="3153"/>
      <c r="Z11" s="3154"/>
      <c r="AB11" s="1919" t="s">
        <v>554</v>
      </c>
    </row>
    <row r="12" spans="1:30" ht="40.5" customHeight="1" x14ac:dyDescent="0.2">
      <c r="A12" s="945" t="s">
        <v>1</v>
      </c>
      <c r="B12" s="946"/>
      <c r="C12" s="2561"/>
      <c r="D12" s="3152" t="s">
        <v>85</v>
      </c>
      <c r="E12" s="3153"/>
      <c r="F12" s="3153"/>
      <c r="G12" s="3153"/>
      <c r="H12" s="3153"/>
      <c r="I12" s="3154"/>
      <c r="J12" s="3158" t="s">
        <v>553</v>
      </c>
      <c r="K12" s="3159"/>
      <c r="L12" s="3160"/>
      <c r="M12" s="2570" t="s">
        <v>557</v>
      </c>
      <c r="N12" s="3155" t="s">
        <v>58</v>
      </c>
      <c r="O12" s="986"/>
      <c r="P12" s="3152" t="s">
        <v>85</v>
      </c>
      <c r="Q12" s="3153"/>
      <c r="R12" s="3153"/>
      <c r="S12" s="3153"/>
      <c r="T12" s="3153"/>
      <c r="U12" s="3154"/>
      <c r="V12" s="3158" t="s">
        <v>553</v>
      </c>
      <c r="W12" s="3159"/>
      <c r="X12" s="3160"/>
      <c r="Y12" s="2570" t="s">
        <v>557</v>
      </c>
      <c r="Z12" s="3155" t="s">
        <v>58</v>
      </c>
    </row>
    <row r="13" spans="1:30" ht="54" customHeight="1" x14ac:dyDescent="0.2">
      <c r="A13" s="945" t="s">
        <v>2</v>
      </c>
      <c r="B13" s="946"/>
      <c r="C13" s="2871"/>
      <c r="D13" s="992" t="s">
        <v>84</v>
      </c>
      <c r="E13" s="992" t="s">
        <v>95</v>
      </c>
      <c r="F13" s="2574" t="s">
        <v>550</v>
      </c>
      <c r="G13" s="992" t="s">
        <v>283</v>
      </c>
      <c r="H13" s="2567" t="s">
        <v>472</v>
      </c>
      <c r="I13" s="2575" t="s">
        <v>58</v>
      </c>
      <c r="J13" s="992" t="s">
        <v>84</v>
      </c>
      <c r="K13" s="2574" t="s">
        <v>551</v>
      </c>
      <c r="L13" s="2833" t="s">
        <v>58</v>
      </c>
      <c r="M13" s="993" t="s">
        <v>84</v>
      </c>
      <c r="N13" s="3156"/>
      <c r="O13" s="996"/>
      <c r="P13" s="992" t="s">
        <v>84</v>
      </c>
      <c r="Q13" s="992" t="s">
        <v>95</v>
      </c>
      <c r="R13" s="2574" t="s">
        <v>550</v>
      </c>
      <c r="S13" s="992" t="s">
        <v>283</v>
      </c>
      <c r="T13" s="2567" t="s">
        <v>472</v>
      </c>
      <c r="U13" s="2575" t="s">
        <v>58</v>
      </c>
      <c r="V13" s="992" t="s">
        <v>84</v>
      </c>
      <c r="W13" s="2574" t="s">
        <v>551</v>
      </c>
      <c r="X13" s="2833" t="s">
        <v>58</v>
      </c>
      <c r="Y13" s="993" t="s">
        <v>84</v>
      </c>
      <c r="Z13" s="3156"/>
      <c r="AA13" s="1315"/>
      <c r="AB13" s="1919" t="s">
        <v>555</v>
      </c>
      <c r="AC13" s="1919" t="s">
        <v>556</v>
      </c>
      <c r="AD13" s="1919" t="s">
        <v>552</v>
      </c>
    </row>
    <row r="14" spans="1:30" s="1315" customFormat="1" x14ac:dyDescent="0.2">
      <c r="A14" s="945"/>
      <c r="B14" s="946"/>
      <c r="C14" s="2871"/>
      <c r="D14" s="1224"/>
      <c r="E14" s="1224"/>
      <c r="F14" s="1224"/>
      <c r="G14" s="1224"/>
      <c r="H14" s="1225"/>
      <c r="I14" s="1225"/>
      <c r="J14" s="1224"/>
      <c r="K14" s="1224"/>
      <c r="L14" s="1228"/>
      <c r="M14" s="1225"/>
      <c r="N14" s="1228"/>
      <c r="O14" s="996"/>
      <c r="P14" s="1224"/>
      <c r="Q14" s="1224"/>
      <c r="R14" s="1224"/>
      <c r="S14" s="1224"/>
      <c r="T14" s="1225"/>
      <c r="U14" s="1228"/>
      <c r="V14" s="1224"/>
      <c r="W14" s="1224"/>
      <c r="X14" s="1228"/>
      <c r="Y14" s="1225"/>
      <c r="Z14" s="1228"/>
    </row>
    <row r="15" spans="1:30" ht="12.75" customHeight="1" x14ac:dyDescent="0.2">
      <c r="A15" s="947" t="s">
        <v>59</v>
      </c>
      <c r="B15" s="948"/>
      <c r="C15" s="1147"/>
      <c r="D15" s="1208"/>
      <c r="E15" s="946"/>
      <c r="F15" s="1208"/>
      <c r="G15" s="1208"/>
      <c r="H15" s="1186"/>
      <c r="I15" s="1186"/>
      <c r="J15" s="1208"/>
      <c r="K15" s="1208"/>
      <c r="L15" s="1229"/>
      <c r="M15" s="1186"/>
      <c r="N15" s="1229"/>
      <c r="O15" s="1229"/>
      <c r="P15" s="1208"/>
      <c r="Q15" s="946"/>
      <c r="R15" s="1208"/>
      <c r="S15" s="1208"/>
      <c r="T15" s="1186"/>
      <c r="U15" s="1229"/>
      <c r="V15" s="1208"/>
      <c r="W15" s="1208"/>
      <c r="X15" s="1229"/>
      <c r="Y15" s="1186"/>
      <c r="Z15" s="1229"/>
    </row>
    <row r="16" spans="1:30" ht="12.75" customHeight="1" x14ac:dyDescent="0.2">
      <c r="A16" s="946"/>
      <c r="B16" s="946" t="s">
        <v>300</v>
      </c>
      <c r="C16" s="922"/>
      <c r="D16" s="1205">
        <f>'6 Capital Markets Canada'!K65</f>
        <v>10932</v>
      </c>
      <c r="E16" s="1205">
        <f>'7 CG - US'!K66</f>
        <v>16931</v>
      </c>
      <c r="F16" s="1205">
        <f>'8 UK &amp; Dubai'!K65</f>
        <v>8953</v>
      </c>
      <c r="G16" s="1269">
        <f>'9 CG - Australia'!K65</f>
        <v>3947</v>
      </c>
      <c r="H16" s="1245" t="e">
        <f>#REF!</f>
        <v>#REF!</v>
      </c>
      <c r="I16" s="1245" t="e">
        <f>SUM(D16:H16)</f>
        <v>#REF!</v>
      </c>
      <c r="J16" s="1205">
        <f>'11 CWM Canada'!K71</f>
        <v>30431</v>
      </c>
      <c r="K16" s="1205">
        <f>'12 CWM UK and Europe'!K68</f>
        <v>63959</v>
      </c>
      <c r="L16" s="1413">
        <f>J16+K16</f>
        <v>94390</v>
      </c>
      <c r="M16" s="1409">
        <v>-5</v>
      </c>
      <c r="N16" s="1413" t="e">
        <f>M16+L16+I16</f>
        <v>#REF!</v>
      </c>
      <c r="O16" s="1249"/>
      <c r="P16" s="1205">
        <f>'6 Capital Markets Canada'!BI65</f>
        <v>39840</v>
      </c>
      <c r="Q16" s="1205">
        <f>'7 CG - US'!BI66</f>
        <v>69484</v>
      </c>
      <c r="R16" s="1205">
        <f>'8 UK &amp; Dubai'!BI65</f>
        <v>31557</v>
      </c>
      <c r="S16" s="1269">
        <f>'9 CG - Australia'!AC65</f>
        <v>14245</v>
      </c>
      <c r="T16" s="1245" t="e">
        <f>#REF!</f>
        <v>#REF!</v>
      </c>
      <c r="U16" s="1265" t="e">
        <f>SUM(P16:T16)</f>
        <v>#REF!</v>
      </c>
      <c r="V16" s="1205">
        <f>'11 CWM Canada'!BI71</f>
        <v>109139</v>
      </c>
      <c r="W16" s="1205">
        <f>'12 CWM UK and Europe'!BI68</f>
        <v>197677</v>
      </c>
      <c r="X16" s="1413">
        <f>V16+W16</f>
        <v>306816</v>
      </c>
      <c r="Y16" s="1409">
        <v>-5</v>
      </c>
      <c r="Z16" s="1413" t="e">
        <f>U16+X16+Y16</f>
        <v>#REF!</v>
      </c>
    </row>
    <row r="17" spans="1:30" ht="12.75" customHeight="1" x14ac:dyDescent="0.2">
      <c r="A17" s="946"/>
      <c r="B17" s="946" t="s">
        <v>60</v>
      </c>
      <c r="C17" s="922"/>
      <c r="D17" s="1205">
        <f>'6 Capital Markets Canada'!K66</f>
        <v>40602</v>
      </c>
      <c r="E17" s="1205">
        <f>'7 CG - US'!K67</f>
        <v>15319</v>
      </c>
      <c r="F17" s="1205">
        <f>'8 UK &amp; Dubai'!K66</f>
        <v>6899</v>
      </c>
      <c r="G17" s="1269">
        <f>'9 CG - Australia'!K66</f>
        <v>15989</v>
      </c>
      <c r="H17" s="1245" t="e">
        <f>#REF!</f>
        <v>#REF!</v>
      </c>
      <c r="I17" s="1245" t="e">
        <f t="shared" ref="I17:I21" si="0">SUM(D17:H17)</f>
        <v>#REF!</v>
      </c>
      <c r="J17" s="1205">
        <f>'11 CWM Canada'!K72</f>
        <v>16705</v>
      </c>
      <c r="K17" s="1205">
        <f>'12 CWM UK and Europe'!K69</f>
        <v>0</v>
      </c>
      <c r="L17" s="1413">
        <f t="shared" ref="L17:L21" si="1">J17+K17</f>
        <v>16705</v>
      </c>
      <c r="M17" s="1409">
        <v>0</v>
      </c>
      <c r="N17" s="1413" t="e">
        <f t="shared" ref="N17:N21" si="2">M17+L17+I17</f>
        <v>#REF!</v>
      </c>
      <c r="O17" s="1249"/>
      <c r="P17" s="1205">
        <f>'6 Capital Markets Canada'!BI66</f>
        <v>125065</v>
      </c>
      <c r="Q17" s="1205">
        <f>'7 CG - US'!BI67</f>
        <v>41081</v>
      </c>
      <c r="R17" s="1205">
        <f>'8 UK &amp; Dubai'!BI66</f>
        <v>27672</v>
      </c>
      <c r="S17" s="1269">
        <f>'9 CG - Australia'!AC66</f>
        <v>41002</v>
      </c>
      <c r="T17" s="1245" t="e">
        <f>#REF!</f>
        <v>#REF!</v>
      </c>
      <c r="U17" s="1265" t="e">
        <f t="shared" ref="U17:U20" si="3">SUM(P17:T17)</f>
        <v>#REF!</v>
      </c>
      <c r="V17" s="1205">
        <f>'11 CWM Canada'!BI72</f>
        <v>47375</v>
      </c>
      <c r="W17" s="1205">
        <f>'12 CWM UK and Europe'!BI69</f>
        <v>0</v>
      </c>
      <c r="X17" s="1413">
        <f t="shared" ref="X17:X21" si="4">V17+W17</f>
        <v>47375</v>
      </c>
      <c r="Y17" s="1409">
        <v>0</v>
      </c>
      <c r="Z17" s="1413" t="e">
        <f t="shared" ref="Z17:Z21" si="5">U17+X17+Y17</f>
        <v>#REF!</v>
      </c>
    </row>
    <row r="18" spans="1:30" ht="12.75" customHeight="1" x14ac:dyDescent="0.2">
      <c r="A18" s="946"/>
      <c r="B18" s="946" t="s">
        <v>208</v>
      </c>
      <c r="C18" s="922"/>
      <c r="D18" s="1205">
        <f>'6 Capital Markets Canada'!K67</f>
        <v>20876</v>
      </c>
      <c r="E18" s="1205">
        <f>'7 CG - US'!K68</f>
        <v>7552</v>
      </c>
      <c r="F18" s="1205">
        <f>'8 UK &amp; Dubai'!K67</f>
        <v>12375</v>
      </c>
      <c r="G18" s="1269">
        <f>'9 CG - Australia'!K67</f>
        <v>127</v>
      </c>
      <c r="H18" s="1245" t="e">
        <f>#REF!</f>
        <v>#REF!</v>
      </c>
      <c r="I18" s="1245" t="e">
        <f t="shared" si="0"/>
        <v>#REF!</v>
      </c>
      <c r="J18" s="1205">
        <f>'11 CWM Canada'!K73</f>
        <v>0</v>
      </c>
      <c r="K18" s="1205">
        <f>'12 CWM UK and Europe'!K70</f>
        <v>0</v>
      </c>
      <c r="L18" s="1413">
        <f t="shared" si="1"/>
        <v>0</v>
      </c>
      <c r="M18" s="1409">
        <v>0</v>
      </c>
      <c r="N18" s="1413" t="e">
        <f t="shared" si="2"/>
        <v>#REF!</v>
      </c>
      <c r="O18" s="1265"/>
      <c r="P18" s="1205">
        <f>'6 Capital Markets Canada'!BI67</f>
        <v>39573</v>
      </c>
      <c r="Q18" s="1205">
        <f>'7 CG - US'!BI68</f>
        <v>33104</v>
      </c>
      <c r="R18" s="1205">
        <f>'8 UK &amp; Dubai'!BI67</f>
        <v>48087</v>
      </c>
      <c r="S18" s="1269">
        <f>'9 CG - Australia'!AC67</f>
        <v>1608</v>
      </c>
      <c r="T18" s="1245" t="e">
        <f>#REF!</f>
        <v>#REF!</v>
      </c>
      <c r="U18" s="1265" t="e">
        <f t="shared" si="3"/>
        <v>#REF!</v>
      </c>
      <c r="V18" s="1205">
        <f>'11 CWM Canada'!BI73</f>
        <v>0</v>
      </c>
      <c r="W18" s="1205">
        <f>'12 CWM UK and Europe'!BI70</f>
        <v>0</v>
      </c>
      <c r="X18" s="1413">
        <f t="shared" si="4"/>
        <v>0</v>
      </c>
      <c r="Y18" s="1409">
        <v>0</v>
      </c>
      <c r="Z18" s="1413" t="e">
        <f t="shared" si="5"/>
        <v>#REF!</v>
      </c>
    </row>
    <row r="19" spans="1:30" ht="12.75" customHeight="1" x14ac:dyDescent="0.2">
      <c r="A19" s="946"/>
      <c r="B19" s="946" t="s">
        <v>61</v>
      </c>
      <c r="C19" s="922"/>
      <c r="D19" s="1205">
        <f>'6 Capital Markets Canada'!K68</f>
        <v>1382</v>
      </c>
      <c r="E19" s="1205">
        <f>'7 CG - US'!K69</f>
        <v>27991</v>
      </c>
      <c r="F19" s="1205">
        <f>'8 UK &amp; Dubai'!K68</f>
        <v>6649</v>
      </c>
      <c r="G19" s="1269">
        <f>'9 CG - Australia'!K68</f>
        <v>0</v>
      </c>
      <c r="H19" s="1245" t="e">
        <f>#REF!</f>
        <v>#REF!</v>
      </c>
      <c r="I19" s="1245" t="e">
        <f t="shared" si="0"/>
        <v>#REF!</v>
      </c>
      <c r="J19" s="1205">
        <f>'11 CWM Canada'!K74</f>
        <v>24</v>
      </c>
      <c r="K19" s="1205">
        <f>'12 CWM UK and Europe'!K71</f>
        <v>0</v>
      </c>
      <c r="L19" s="1413">
        <f t="shared" si="1"/>
        <v>24</v>
      </c>
      <c r="M19" s="1409">
        <v>1</v>
      </c>
      <c r="N19" s="1413" t="e">
        <f>M19+L19+I19</f>
        <v>#REF!</v>
      </c>
      <c r="O19" s="1265"/>
      <c r="P19" s="1205">
        <f>'6 Capital Markets Canada'!BI68</f>
        <v>2437</v>
      </c>
      <c r="Q19" s="1205">
        <f>'7 CG - US'!BI69</f>
        <v>90388</v>
      </c>
      <c r="R19" s="1205">
        <f>'8 UK &amp; Dubai'!BI68</f>
        <v>20890</v>
      </c>
      <c r="S19" s="1269">
        <f>'9 CG - Australia'!AC68</f>
        <v>0</v>
      </c>
      <c r="T19" s="1245" t="e">
        <f>#REF!</f>
        <v>#REF!</v>
      </c>
      <c r="U19" s="1265" t="e">
        <f t="shared" si="3"/>
        <v>#REF!</v>
      </c>
      <c r="V19" s="1205">
        <f>'11 CWM Canada'!BI74</f>
        <v>201</v>
      </c>
      <c r="W19" s="1205">
        <f>'12 CWM UK and Europe'!BI71</f>
        <v>0</v>
      </c>
      <c r="X19" s="1413">
        <f t="shared" si="4"/>
        <v>201</v>
      </c>
      <c r="Y19" s="1409">
        <v>5</v>
      </c>
      <c r="Z19" s="1413" t="e">
        <f t="shared" si="5"/>
        <v>#REF!</v>
      </c>
    </row>
    <row r="20" spans="1:30" ht="12.75" customHeight="1" x14ac:dyDescent="0.2">
      <c r="A20" s="946"/>
      <c r="B20" s="946" t="s">
        <v>62</v>
      </c>
      <c r="C20" s="922"/>
      <c r="D20" s="1205">
        <f>'6 Capital Markets Canada'!K69</f>
        <v>3819</v>
      </c>
      <c r="E20" s="1205">
        <f>'7 CG - US'!K70</f>
        <v>86</v>
      </c>
      <c r="F20" s="1205">
        <f>'8 UK &amp; Dubai'!K69</f>
        <v>40</v>
      </c>
      <c r="G20" s="1269">
        <f>'9 CG - Australia'!K69</f>
        <v>33</v>
      </c>
      <c r="H20" s="1245" t="e">
        <f>#REF!</f>
        <v>#REF!</v>
      </c>
      <c r="I20" s="1245" t="e">
        <f t="shared" si="0"/>
        <v>#REF!</v>
      </c>
      <c r="J20" s="1205">
        <f>'11 CWM Canada'!K75</f>
        <v>3453</v>
      </c>
      <c r="K20" s="1205">
        <f>'12 CWM UK and Europe'!K72</f>
        <v>394</v>
      </c>
      <c r="L20" s="1413">
        <f t="shared" si="1"/>
        <v>3847</v>
      </c>
      <c r="M20" s="1409">
        <v>2220</v>
      </c>
      <c r="N20" s="1413" t="e">
        <f t="shared" si="2"/>
        <v>#REF!</v>
      </c>
      <c r="O20" s="1265"/>
      <c r="P20" s="1205">
        <f>'6 Capital Markets Canada'!BI69</f>
        <v>9188</v>
      </c>
      <c r="Q20" s="1205">
        <f>'7 CG - US'!BI70</f>
        <v>328</v>
      </c>
      <c r="R20" s="1205">
        <f>'8 UK &amp; Dubai'!BI69</f>
        <v>59</v>
      </c>
      <c r="S20" s="1269">
        <f>'9 CG - Australia'!AC69</f>
        <v>160</v>
      </c>
      <c r="T20" s="1245" t="e">
        <f>#REF!</f>
        <v>#REF!</v>
      </c>
      <c r="U20" s="1265" t="e">
        <f t="shared" si="3"/>
        <v>#REF!</v>
      </c>
      <c r="V20" s="1205">
        <f>'11 CWM Canada'!BI75</f>
        <v>10643</v>
      </c>
      <c r="W20" s="1205">
        <f>'12 CWM UK and Europe'!BI72</f>
        <v>1429</v>
      </c>
      <c r="X20" s="1413">
        <f t="shared" si="4"/>
        <v>12072</v>
      </c>
      <c r="Y20" s="1409">
        <v>6068</v>
      </c>
      <c r="Z20" s="1413" t="e">
        <f t="shared" si="5"/>
        <v>#REF!</v>
      </c>
    </row>
    <row r="21" spans="1:30" ht="12.75" customHeight="1" x14ac:dyDescent="0.2">
      <c r="A21" s="946"/>
      <c r="B21" s="946" t="s">
        <v>63</v>
      </c>
      <c r="C21" s="922"/>
      <c r="D21" s="1205">
        <f>'6 Capital Markets Canada'!K70</f>
        <v>3</v>
      </c>
      <c r="E21" s="1205">
        <f>'7 CG - US'!K71</f>
        <v>279</v>
      </c>
      <c r="F21" s="1205">
        <f>'8 UK &amp; Dubai'!K70</f>
        <v>-120</v>
      </c>
      <c r="G21" s="1269">
        <f>'9 CG - Australia'!K70</f>
        <v>6</v>
      </c>
      <c r="H21" s="1245" t="e">
        <f>#REF!</f>
        <v>#REF!</v>
      </c>
      <c r="I21" s="1245" t="e">
        <f t="shared" si="0"/>
        <v>#REF!</v>
      </c>
      <c r="J21" s="1205">
        <f>'11 CWM Canada'!K76</f>
        <v>842</v>
      </c>
      <c r="K21" s="1205">
        <f>'12 CWM UK and Europe'!K73</f>
        <v>570</v>
      </c>
      <c r="L21" s="1413">
        <f t="shared" si="1"/>
        <v>1412</v>
      </c>
      <c r="M21" s="1409">
        <v>2799</v>
      </c>
      <c r="N21" s="1413" t="e">
        <f t="shared" si="2"/>
        <v>#REF!</v>
      </c>
      <c r="O21" s="1265"/>
      <c r="P21" s="1205">
        <f>'6 Capital Markets Canada'!BI70</f>
        <v>3</v>
      </c>
      <c r="Q21" s="1205">
        <f>'7 CG - US'!BI71</f>
        <v>1557</v>
      </c>
      <c r="R21" s="1205">
        <f>'8 UK &amp; Dubai'!BI70</f>
        <v>193</v>
      </c>
      <c r="S21" s="1269">
        <f>'9 CG - Australia'!AC70</f>
        <v>7</v>
      </c>
      <c r="T21" s="1245" t="e">
        <f>#REF!</f>
        <v>#REF!</v>
      </c>
      <c r="U21" s="1265" t="e">
        <f>SUM(P21:T21)</f>
        <v>#REF!</v>
      </c>
      <c r="V21" s="1205">
        <f>'11 CWM Canada'!BI76</f>
        <v>1524</v>
      </c>
      <c r="W21" s="1205">
        <f>'12 CWM UK and Europe'!BI73</f>
        <v>2277</v>
      </c>
      <c r="X21" s="1413">
        <f t="shared" si="4"/>
        <v>3801</v>
      </c>
      <c r="Y21" s="1409">
        <v>8988</v>
      </c>
      <c r="Z21" s="1413" t="e">
        <f t="shared" si="5"/>
        <v>#REF!</v>
      </c>
    </row>
    <row r="22" spans="1:30" ht="12.75" customHeight="1" x14ac:dyDescent="0.2">
      <c r="A22" s="948"/>
      <c r="B22" s="946"/>
      <c r="C22" s="922"/>
      <c r="D22" s="1395">
        <f t="shared" ref="D22:L22" si="6">SUM(D16:D21)</f>
        <v>77614</v>
      </c>
      <c r="E22" s="1395">
        <f t="shared" si="6"/>
        <v>68158</v>
      </c>
      <c r="F22" s="1395">
        <f t="shared" si="6"/>
        <v>34796</v>
      </c>
      <c r="G22" s="1395">
        <f t="shared" si="6"/>
        <v>20102</v>
      </c>
      <c r="H22" s="1400" t="e">
        <f t="shared" si="6"/>
        <v>#REF!</v>
      </c>
      <c r="I22" s="1400" t="e">
        <f t="shared" si="6"/>
        <v>#REF!</v>
      </c>
      <c r="J22" s="1395">
        <f t="shared" si="6"/>
        <v>51455</v>
      </c>
      <c r="K22" s="1395">
        <f t="shared" ref="K22:N22" si="7">SUM(K16:K21)</f>
        <v>64923</v>
      </c>
      <c r="L22" s="1401">
        <f t="shared" si="6"/>
        <v>116378</v>
      </c>
      <c r="M22" s="1403">
        <f t="shared" si="7"/>
        <v>5015</v>
      </c>
      <c r="N22" s="1403" t="e">
        <f t="shared" si="7"/>
        <v>#REF!</v>
      </c>
      <c r="O22" s="1265"/>
      <c r="P22" s="1395">
        <f t="shared" ref="P22:W22" si="8">SUM(P16:P21)</f>
        <v>216106</v>
      </c>
      <c r="Q22" s="1395">
        <f t="shared" si="8"/>
        <v>235942</v>
      </c>
      <c r="R22" s="1395">
        <f t="shared" si="8"/>
        <v>128458</v>
      </c>
      <c r="S22" s="1395">
        <f t="shared" si="8"/>
        <v>57022</v>
      </c>
      <c r="T22" s="1400" t="e">
        <f t="shared" si="8"/>
        <v>#REF!</v>
      </c>
      <c r="U22" s="1403" t="e">
        <f>SUM(U16:U21)</f>
        <v>#REF!</v>
      </c>
      <c r="V22" s="1395">
        <f t="shared" si="8"/>
        <v>168882</v>
      </c>
      <c r="W22" s="1395">
        <f t="shared" si="8"/>
        <v>201383</v>
      </c>
      <c r="X22" s="1403">
        <f>SUM(X16:X21)</f>
        <v>370265</v>
      </c>
      <c r="Y22" s="1400">
        <f t="shared" ref="Y22" si="9">SUM(Y16:Y21)</f>
        <v>15056</v>
      </c>
      <c r="Z22" s="1403" t="e">
        <f>SUM(Z16:Z21)</f>
        <v>#REF!</v>
      </c>
      <c r="AB22" s="1182" t="e">
        <f>SUM(D22:H22)-('5 Canaccord Genuity '!H24+'5 Canaccord Genuity '!H48)</f>
        <v>#REF!</v>
      </c>
      <c r="AC22" s="1180">
        <f>SUM(J22:K22)-'10 Wealth Management'!H17</f>
        <v>398.99999999998545</v>
      </c>
      <c r="AD22" s="1180">
        <f>M22-'13 Other'!H16</f>
        <v>-1233</v>
      </c>
    </row>
    <row r="23" spans="1:30" ht="12.75" customHeight="1" x14ac:dyDescent="0.2">
      <c r="A23" s="947" t="s">
        <v>5</v>
      </c>
      <c r="B23" s="946"/>
      <c r="C23" s="922"/>
      <c r="D23" s="1205"/>
      <c r="E23" s="1205"/>
      <c r="F23" s="1205"/>
      <c r="G23" s="1269"/>
      <c r="H23" s="1245"/>
      <c r="I23" s="1245"/>
      <c r="J23" s="1408"/>
      <c r="K23" s="1424"/>
      <c r="L23" s="1413"/>
      <c r="M23" s="1409"/>
      <c r="N23" s="1413"/>
      <c r="O23" s="1265"/>
      <c r="P23" s="1205"/>
      <c r="Q23" s="1205"/>
      <c r="R23" s="1205"/>
      <c r="S23" s="1269"/>
      <c r="T23" s="1245"/>
      <c r="U23" s="1265"/>
      <c r="V23" s="1408"/>
      <c r="W23" s="1424"/>
      <c r="X23" s="1396"/>
      <c r="Y23" s="1393"/>
      <c r="Z23" s="1409"/>
    </row>
    <row r="24" spans="1:30" ht="23.25" customHeight="1" x14ac:dyDescent="0.2">
      <c r="A24" s="947"/>
      <c r="B24" s="946" t="s">
        <v>292</v>
      </c>
      <c r="C24" s="922"/>
      <c r="D24" s="1205">
        <f>'6 Capital Markets Canada'!K17</f>
        <v>33321</v>
      </c>
      <c r="E24" s="1205">
        <f>'7 CG - US'!K18</f>
        <v>31861</v>
      </c>
      <c r="F24" s="1205">
        <f>'8 UK &amp; Dubai'!K19</f>
        <v>19760</v>
      </c>
      <c r="G24" s="1269">
        <f>'9 CG - Australia'!K18</f>
        <v>9817</v>
      </c>
      <c r="H24" s="1245" t="e">
        <f>#REF!</f>
        <v>#REF!</v>
      </c>
      <c r="I24" s="1245"/>
      <c r="J24" s="1396">
        <f>'11 CWM Canada'!K18</f>
        <v>26346</v>
      </c>
      <c r="K24" s="1409">
        <f>'12 CWM UK and Europe'!K17</f>
        <v>25297</v>
      </c>
      <c r="L24" s="1413"/>
      <c r="M24" s="1409">
        <f>'13 Other'!K18</f>
        <v>2853</v>
      </c>
      <c r="N24" s="1413" t="e">
        <f>SUM(D24:M24)</f>
        <v>#REF!</v>
      </c>
      <c r="O24" s="1265"/>
      <c r="P24" s="1205">
        <f>'6 Capital Markets Canada'!BI17</f>
        <v>96653</v>
      </c>
      <c r="Q24" s="1205">
        <f>'7 CG - US'!BI18</f>
        <v>115049</v>
      </c>
      <c r="R24" s="1205">
        <f>'8 UK &amp; Dubai'!BI19</f>
        <v>72081</v>
      </c>
      <c r="S24" s="1269">
        <f>'9 CG - Australia'!AC18</f>
        <v>29452</v>
      </c>
      <c r="T24" s="1245" t="e">
        <f>#REF!</f>
        <v>#REF!</v>
      </c>
      <c r="U24" s="1265"/>
      <c r="V24" s="1396">
        <f>'11 CWM Canada'!BI18</f>
        <v>85430</v>
      </c>
      <c r="W24" s="1409">
        <f>'12 CWM UK and Europe'!BI17</f>
        <v>73222</v>
      </c>
      <c r="X24" s="1396"/>
      <c r="Y24" s="1413">
        <f>'13 Other'!BI18</f>
        <v>8479</v>
      </c>
      <c r="Z24" s="1409" t="e">
        <f>SUM(P24:Y24)</f>
        <v>#REF!</v>
      </c>
    </row>
    <row r="25" spans="1:30" ht="18.75" customHeight="1" x14ac:dyDescent="0.2">
      <c r="A25" s="947"/>
      <c r="B25" s="946" t="s">
        <v>293</v>
      </c>
      <c r="C25" s="922"/>
      <c r="D25" s="1429">
        <f>'6 Capital Markets Canada'!K18</f>
        <v>5661</v>
      </c>
      <c r="E25" s="1252">
        <f>'7 CG - US'!K19</f>
        <v>1936</v>
      </c>
      <c r="F25" s="1252">
        <f>'8 UK &amp; Dubai'!K20</f>
        <v>883</v>
      </c>
      <c r="G25" s="1304">
        <f>'9 CG - Australia'!K19</f>
        <v>326</v>
      </c>
      <c r="H25" s="1253" t="e">
        <f>#REF!</f>
        <v>#REF!</v>
      </c>
      <c r="I25" s="1274"/>
      <c r="J25" s="1429">
        <f>'11 CWM Canada'!K19</f>
        <v>331</v>
      </c>
      <c r="K25" s="1430">
        <f>'12 CWM UK and Europe'!K18</f>
        <v>1608</v>
      </c>
      <c r="L25" s="1477"/>
      <c r="M25" s="1477">
        <f>'13 Other'!K19</f>
        <v>409</v>
      </c>
      <c r="N25" s="1477" t="e">
        <f>SUM(D25:M25)</f>
        <v>#REF!</v>
      </c>
      <c r="O25" s="1265"/>
      <c r="P25" s="1429">
        <f>'6 Capital Markets Canada'!BI18</f>
        <v>16002</v>
      </c>
      <c r="Q25" s="1252">
        <f>'7 CG - US'!BI19</f>
        <v>12974</v>
      </c>
      <c r="R25" s="1252">
        <f>'8 UK &amp; Dubai'!BI20</f>
        <v>7942</v>
      </c>
      <c r="S25" s="1304">
        <f>'9 CG - Australia'!AC19</f>
        <v>1302</v>
      </c>
      <c r="T25" s="1253" t="e">
        <f>#REF!</f>
        <v>#REF!</v>
      </c>
      <c r="U25" s="1274"/>
      <c r="V25" s="1429">
        <f>'11 CWM Canada'!BI19</f>
        <v>952</v>
      </c>
      <c r="W25" s="1430">
        <f>'12 CWM UK and Europe'!BI18</f>
        <v>4081</v>
      </c>
      <c r="X25" s="1429"/>
      <c r="Y25" s="1477">
        <f>'13 Other'!BI19</f>
        <v>2992</v>
      </c>
      <c r="Z25" s="1430" t="e">
        <f>SUM(P25:Y25)</f>
        <v>#REF!</v>
      </c>
    </row>
    <row r="26" spans="1:30" ht="12.75" customHeight="1" x14ac:dyDescent="0.2">
      <c r="A26" s="948"/>
      <c r="B26" s="946" t="s">
        <v>620</v>
      </c>
      <c r="C26" s="922"/>
      <c r="D26" s="1205">
        <f t="shared" ref="D26:M26" si="10">D24+D25</f>
        <v>38982</v>
      </c>
      <c r="E26" s="1205">
        <f t="shared" si="10"/>
        <v>33797</v>
      </c>
      <c r="F26" s="1205">
        <f>F24+F25</f>
        <v>20643</v>
      </c>
      <c r="G26" s="1205">
        <f t="shared" si="10"/>
        <v>10143</v>
      </c>
      <c r="H26" s="1205" t="e">
        <f t="shared" si="10"/>
        <v>#REF!</v>
      </c>
      <c r="I26" s="1265" t="e">
        <f>SUM(D26:H26)</f>
        <v>#REF!</v>
      </c>
      <c r="J26" s="1205">
        <f t="shared" si="10"/>
        <v>26677</v>
      </c>
      <c r="K26" s="1205">
        <f t="shared" si="10"/>
        <v>26905</v>
      </c>
      <c r="L26" s="1413">
        <f t="shared" ref="L26:L39" si="11">J26+K26</f>
        <v>53582</v>
      </c>
      <c r="M26" s="1409">
        <f t="shared" si="10"/>
        <v>3262</v>
      </c>
      <c r="N26" s="1413" t="e">
        <f>M26+L26+I26</f>
        <v>#REF!</v>
      </c>
      <c r="O26" s="1265"/>
      <c r="P26" s="1205">
        <f t="shared" ref="P26:Y26" si="12">P24+P25</f>
        <v>112655</v>
      </c>
      <c r="Q26" s="1205">
        <f t="shared" si="12"/>
        <v>128023</v>
      </c>
      <c r="R26" s="1205">
        <f t="shared" si="12"/>
        <v>80023</v>
      </c>
      <c r="S26" s="1205">
        <f t="shared" si="12"/>
        <v>30754</v>
      </c>
      <c r="T26" s="1205" t="e">
        <f t="shared" si="12"/>
        <v>#REF!</v>
      </c>
      <c r="U26" s="1265" t="e">
        <f t="shared" ref="U26:U39" si="13">SUM(P26:T26)</f>
        <v>#REF!</v>
      </c>
      <c r="V26" s="1205">
        <f t="shared" si="12"/>
        <v>86382</v>
      </c>
      <c r="W26" s="1205">
        <f t="shared" si="12"/>
        <v>77303</v>
      </c>
      <c r="X26" s="1413">
        <f t="shared" ref="X26:X39" si="14">V26+W26</f>
        <v>163685</v>
      </c>
      <c r="Y26" s="1409">
        <f t="shared" si="12"/>
        <v>11471</v>
      </c>
      <c r="Z26" s="1413" t="e">
        <f t="shared" ref="Z26:Z39" si="15">U26+X26+Y26</f>
        <v>#REF!</v>
      </c>
    </row>
    <row r="27" spans="1:30" ht="12.75" customHeight="1" x14ac:dyDescent="0.2">
      <c r="A27" s="948"/>
      <c r="B27" s="946" t="s">
        <v>64</v>
      </c>
      <c r="C27" s="922"/>
      <c r="D27" s="1205">
        <f>'6 Capital Markets Canada'!K20</f>
        <v>1305</v>
      </c>
      <c r="E27" s="1205">
        <f>'7 CG - US'!K21</f>
        <v>3048</v>
      </c>
      <c r="F27" s="1205">
        <f>'8 UK &amp; Dubai'!K22</f>
        <v>1420</v>
      </c>
      <c r="G27" s="1269">
        <f>'9 CG - Australia'!K21</f>
        <v>462</v>
      </c>
      <c r="H27" s="1245" t="e">
        <f>#REF!</f>
        <v>#REF!</v>
      </c>
      <c r="I27" s="1245" t="e">
        <f t="shared" ref="I27:I39" si="16">SUM(D27:H27)</f>
        <v>#REF!</v>
      </c>
      <c r="J27" s="1205">
        <f>'11 CWM Canada'!K21</f>
        <v>3423</v>
      </c>
      <c r="K27" s="1205">
        <f>'12 CWM UK and Europe'!K20</f>
        <v>11914</v>
      </c>
      <c r="L27" s="1413">
        <f t="shared" si="11"/>
        <v>15337</v>
      </c>
      <c r="M27" s="1409">
        <f>'13 Other'!K21</f>
        <v>6894</v>
      </c>
      <c r="N27" s="1413" t="e">
        <f t="shared" ref="N27:N39" si="17">M27+L27+I27</f>
        <v>#REF!</v>
      </c>
      <c r="O27" s="1265"/>
      <c r="P27" s="1205">
        <f>'6 Capital Markets Canada'!BI20</f>
        <v>5381</v>
      </c>
      <c r="Q27" s="1205">
        <f>'7 CG - US'!BI21</f>
        <v>11890</v>
      </c>
      <c r="R27" s="1205">
        <f>'8 UK &amp; Dubai'!BI22</f>
        <v>5672</v>
      </c>
      <c r="S27" s="1269">
        <f>'9 CG - Australia'!AC21</f>
        <v>1881</v>
      </c>
      <c r="T27" s="1245" t="e">
        <f>#REF!</f>
        <v>#REF!</v>
      </c>
      <c r="U27" s="1265" t="e">
        <f t="shared" si="13"/>
        <v>#REF!</v>
      </c>
      <c r="V27" s="1205">
        <f>'11 CWM Canada'!BI21</f>
        <v>11315</v>
      </c>
      <c r="W27" s="1205">
        <f>'12 CWM UK and Europe'!BI20</f>
        <v>36214</v>
      </c>
      <c r="X27" s="1413">
        <f t="shared" si="14"/>
        <v>47529</v>
      </c>
      <c r="Y27" s="1409">
        <f>'13 Other'!BI21</f>
        <v>26198</v>
      </c>
      <c r="Z27" s="1413" t="e">
        <f t="shared" si="15"/>
        <v>#REF!</v>
      </c>
    </row>
    <row r="28" spans="1:30" s="934" customFormat="1" x14ac:dyDescent="0.2">
      <c r="A28" s="948"/>
      <c r="B28" s="946" t="s">
        <v>93</v>
      </c>
      <c r="C28" s="922"/>
      <c r="D28" s="1205">
        <f>'6 Capital Markets Canada'!K22</f>
        <v>3365</v>
      </c>
      <c r="E28" s="1205">
        <f>'7 CG - US'!K23</f>
        <v>10461</v>
      </c>
      <c r="F28" s="1205">
        <f>'8 UK &amp; Dubai'!K24</f>
        <v>1606</v>
      </c>
      <c r="G28" s="1269">
        <f>'9 CG - Australia'!K23</f>
        <v>795</v>
      </c>
      <c r="H28" s="1245" t="e">
        <f>#REF!</f>
        <v>#REF!</v>
      </c>
      <c r="I28" s="1245" t="e">
        <f t="shared" si="16"/>
        <v>#REF!</v>
      </c>
      <c r="J28" s="1205">
        <f>'11 CWM Canada'!K23</f>
        <v>3294</v>
      </c>
      <c r="K28" s="1205">
        <f>'12 CWM UK and Europe'!K22</f>
        <v>2147</v>
      </c>
      <c r="L28" s="1413">
        <f t="shared" si="11"/>
        <v>5441</v>
      </c>
      <c r="M28" s="1409">
        <f>'13 Other'!K23</f>
        <v>-1240</v>
      </c>
      <c r="N28" s="1413" t="e">
        <f t="shared" si="17"/>
        <v>#REF!</v>
      </c>
      <c r="O28" s="1265"/>
      <c r="P28" s="1205">
        <f>'6 Capital Markets Canada'!BI22</f>
        <v>10843</v>
      </c>
      <c r="Q28" s="1205">
        <f>'7 CG - US'!BI23</f>
        <v>36082</v>
      </c>
      <c r="R28" s="1205">
        <f>'8 UK &amp; Dubai'!BI24</f>
        <v>5325</v>
      </c>
      <c r="S28" s="1269">
        <f>'9 CG - Australia'!AC23</f>
        <v>2335</v>
      </c>
      <c r="T28" s="1245" t="e">
        <f>#REF!</f>
        <v>#REF!</v>
      </c>
      <c r="U28" s="1265" t="e">
        <f t="shared" si="13"/>
        <v>#REF!</v>
      </c>
      <c r="V28" s="1205">
        <f>'11 CWM Canada'!BI23</f>
        <v>12527</v>
      </c>
      <c r="W28" s="1205">
        <f>'12 CWM UK and Europe'!BI22</f>
        <v>7680</v>
      </c>
      <c r="X28" s="1413">
        <f t="shared" si="14"/>
        <v>20207</v>
      </c>
      <c r="Y28" s="1409">
        <f>'13 Other'!BI23</f>
        <v>-6583</v>
      </c>
      <c r="Z28" s="1413" t="e">
        <f t="shared" si="15"/>
        <v>#REF!</v>
      </c>
      <c r="AB28" s="1180"/>
      <c r="AC28" s="1180"/>
      <c r="AD28" s="1180"/>
    </row>
    <row r="29" spans="1:30" s="934" customFormat="1" x14ac:dyDescent="0.2">
      <c r="A29" s="948"/>
      <c r="B29" s="946" t="s">
        <v>66</v>
      </c>
      <c r="C29" s="2562"/>
      <c r="D29" s="1205">
        <f>'6 Capital Markets Canada'!K23</f>
        <v>1234</v>
      </c>
      <c r="E29" s="1205">
        <f>'7 CG - US'!K24</f>
        <v>2736</v>
      </c>
      <c r="F29" s="1205">
        <f>'8 UK &amp; Dubai'!K25</f>
        <v>1844</v>
      </c>
      <c r="G29" s="1269">
        <f>'9 CG - Australia'!K24</f>
        <v>311</v>
      </c>
      <c r="H29" s="1245" t="e">
        <f>#REF!</f>
        <v>#REF!</v>
      </c>
      <c r="I29" s="1245" t="e">
        <f t="shared" si="16"/>
        <v>#REF!</v>
      </c>
      <c r="J29" s="1205">
        <f>'11 CWM Canada'!K24</f>
        <v>1032</v>
      </c>
      <c r="K29" s="1205">
        <f>'12 CWM UK and Europe'!K23</f>
        <v>2317</v>
      </c>
      <c r="L29" s="1413">
        <f t="shared" si="11"/>
        <v>3349</v>
      </c>
      <c r="M29" s="1409">
        <f>'13 Other'!K24</f>
        <v>589</v>
      </c>
      <c r="N29" s="1413" t="e">
        <f t="shared" si="17"/>
        <v>#REF!</v>
      </c>
      <c r="O29" s="1265"/>
      <c r="P29" s="1205">
        <f>'6 Capital Markets Canada'!BI23</f>
        <v>4516</v>
      </c>
      <c r="Q29" s="1205">
        <f>'7 CG - US'!BI24</f>
        <v>10407</v>
      </c>
      <c r="R29" s="1205">
        <f>'8 UK &amp; Dubai'!BI25</f>
        <v>7714</v>
      </c>
      <c r="S29" s="1269">
        <f>'9 CG - Australia'!AC24</f>
        <v>1225</v>
      </c>
      <c r="T29" s="1245" t="e">
        <f>#REF!</f>
        <v>#REF!</v>
      </c>
      <c r="U29" s="1265" t="e">
        <f t="shared" si="13"/>
        <v>#REF!</v>
      </c>
      <c r="V29" s="1205">
        <f>'11 CWM Canada'!BI24</f>
        <v>4942</v>
      </c>
      <c r="W29" s="1205">
        <f>'12 CWM UK and Europe'!BI23</f>
        <v>7297</v>
      </c>
      <c r="X29" s="1413">
        <f t="shared" si="14"/>
        <v>12239</v>
      </c>
      <c r="Y29" s="1409">
        <f>'13 Other'!BI24</f>
        <v>3148</v>
      </c>
      <c r="Z29" s="1413" t="e">
        <f t="shared" si="15"/>
        <v>#REF!</v>
      </c>
      <c r="AB29" s="1180"/>
      <c r="AC29" s="1180"/>
      <c r="AD29" s="1180"/>
    </row>
    <row r="30" spans="1:30" s="934" customFormat="1" x14ac:dyDescent="0.2">
      <c r="A30" s="948"/>
      <c r="B30" s="1194" t="s">
        <v>67</v>
      </c>
      <c r="C30" s="922"/>
      <c r="D30" s="1205">
        <f>'6 Capital Markets Canada'!K24</f>
        <v>1776</v>
      </c>
      <c r="E30" s="1205">
        <f>'7 CG - US'!K25</f>
        <v>4074</v>
      </c>
      <c r="F30" s="1205">
        <f>'8 UK &amp; Dubai'!K26</f>
        <v>2615</v>
      </c>
      <c r="G30" s="1269">
        <f>'9 CG - Australia'!K25</f>
        <v>323</v>
      </c>
      <c r="H30" s="1245" t="e">
        <f>#REF!</f>
        <v>#REF!</v>
      </c>
      <c r="I30" s="1245" t="e">
        <f t="shared" si="16"/>
        <v>#REF!</v>
      </c>
      <c r="J30" s="1205">
        <f>'11 CWM Canada'!K25</f>
        <v>999</v>
      </c>
      <c r="K30" s="1205">
        <f>'12 CWM UK and Europe'!K24</f>
        <v>3755</v>
      </c>
      <c r="L30" s="1413">
        <f t="shared" si="11"/>
        <v>4754</v>
      </c>
      <c r="M30" s="1409">
        <f>'13 Other'!K25</f>
        <v>1413</v>
      </c>
      <c r="N30" s="1413" t="e">
        <f t="shared" si="17"/>
        <v>#REF!</v>
      </c>
      <c r="O30" s="1265"/>
      <c r="P30" s="1205">
        <f>'6 Capital Markets Canada'!BI24</f>
        <v>7430</v>
      </c>
      <c r="Q30" s="1205">
        <f>'7 CG - US'!BI25</f>
        <v>17050</v>
      </c>
      <c r="R30" s="1205">
        <f>'8 UK &amp; Dubai'!BI26</f>
        <v>10459</v>
      </c>
      <c r="S30" s="1269">
        <f>'9 CG - Australia'!AC25</f>
        <v>1468</v>
      </c>
      <c r="T30" s="1245" t="e">
        <f>#REF!</f>
        <v>#REF!</v>
      </c>
      <c r="U30" s="1265" t="e">
        <f t="shared" si="13"/>
        <v>#REF!</v>
      </c>
      <c r="V30" s="1205">
        <f>'11 CWM Canada'!BI25</f>
        <v>4149</v>
      </c>
      <c r="W30" s="1205">
        <f>'12 CWM UK and Europe'!BI24</f>
        <v>10962</v>
      </c>
      <c r="X30" s="1413">
        <f t="shared" si="14"/>
        <v>15111</v>
      </c>
      <c r="Y30" s="1409">
        <f>'13 Other'!BI25</f>
        <v>4778</v>
      </c>
      <c r="Z30" s="1413" t="e">
        <f t="shared" si="15"/>
        <v>#REF!</v>
      </c>
      <c r="AB30" s="1180"/>
      <c r="AC30" s="1180"/>
      <c r="AD30" s="1180"/>
    </row>
    <row r="31" spans="1:30" s="934" customFormat="1" x14ac:dyDescent="0.2">
      <c r="A31" s="948"/>
      <c r="B31" s="946" t="s">
        <v>62</v>
      </c>
      <c r="C31" s="922"/>
      <c r="D31" s="1205">
        <f>'6 Capital Markets Canada'!K25</f>
        <v>671</v>
      </c>
      <c r="E31" s="1205">
        <f>'7 CG - US'!K26</f>
        <v>1413</v>
      </c>
      <c r="F31" s="1205">
        <f>'8 UK &amp; Dubai'!K27</f>
        <v>509</v>
      </c>
      <c r="G31" s="1269">
        <f>'9 CG - Australia'!K26</f>
        <v>15</v>
      </c>
      <c r="H31" s="1245" t="e">
        <f>#REF!</f>
        <v>#REF!</v>
      </c>
      <c r="I31" s="1245" t="e">
        <f t="shared" si="16"/>
        <v>#REF!</v>
      </c>
      <c r="J31" s="1205">
        <f>'11 CWM Canada'!K26</f>
        <v>578</v>
      </c>
      <c r="K31" s="1205">
        <f>'12 CWM UK and Europe'!K25</f>
        <v>790</v>
      </c>
      <c r="L31" s="1413">
        <f t="shared" si="11"/>
        <v>1368</v>
      </c>
      <c r="M31" s="1409">
        <f>'13 Other'!K26</f>
        <v>2104</v>
      </c>
      <c r="N31" s="1413" t="e">
        <f t="shared" si="17"/>
        <v>#REF!</v>
      </c>
      <c r="O31" s="1265"/>
      <c r="P31" s="1205">
        <f>'6 Capital Markets Canada'!BI25</f>
        <v>2497</v>
      </c>
      <c r="Q31" s="1205">
        <f>'7 CG - US'!BI26</f>
        <v>4742</v>
      </c>
      <c r="R31" s="1205">
        <f>'8 UK &amp; Dubai'!BI27</f>
        <v>2144</v>
      </c>
      <c r="S31" s="1269">
        <f>'9 CG - Australia'!AC26</f>
        <v>44</v>
      </c>
      <c r="T31" s="1245" t="e">
        <f>#REF!</f>
        <v>#REF!</v>
      </c>
      <c r="U31" s="1265" t="e">
        <f t="shared" si="13"/>
        <v>#REF!</v>
      </c>
      <c r="V31" s="1205">
        <f>'11 CWM Canada'!BI26</f>
        <v>1052</v>
      </c>
      <c r="W31" s="1205">
        <f>'12 CWM UK and Europe'!BI25</f>
        <v>1689</v>
      </c>
      <c r="X31" s="1413">
        <f t="shared" si="14"/>
        <v>2741</v>
      </c>
      <c r="Y31" s="1409">
        <f>'13 Other'!BI26</f>
        <v>6225</v>
      </c>
      <c r="Z31" s="1413" t="e">
        <f t="shared" si="15"/>
        <v>#REF!</v>
      </c>
      <c r="AB31" s="1180"/>
      <c r="AC31" s="1180"/>
      <c r="AD31" s="1180"/>
    </row>
    <row r="32" spans="1:30" s="934" customFormat="1" x14ac:dyDescent="0.2">
      <c r="A32" s="948"/>
      <c r="B32" s="946" t="s">
        <v>68</v>
      </c>
      <c r="C32" s="922"/>
      <c r="D32" s="1205">
        <f>'6 Capital Markets Canada'!K26</f>
        <v>6530</v>
      </c>
      <c r="E32" s="1205">
        <f>'7 CG - US'!K27</f>
        <v>4343</v>
      </c>
      <c r="F32" s="1205">
        <f>'8 UK &amp; Dubai'!K28</f>
        <v>2693</v>
      </c>
      <c r="G32" s="1269">
        <f>'9 CG - Australia'!K27</f>
        <v>859</v>
      </c>
      <c r="H32" s="1245" t="e">
        <f>#REF!</f>
        <v>#REF!</v>
      </c>
      <c r="I32" s="1245" t="e">
        <f t="shared" si="16"/>
        <v>#REF!</v>
      </c>
      <c r="J32" s="1205">
        <f>'11 CWM Canada'!K27</f>
        <v>2928</v>
      </c>
      <c r="K32" s="1205">
        <f>'12 CWM UK and Europe'!K26</f>
        <v>5386</v>
      </c>
      <c r="L32" s="1413">
        <f t="shared" si="11"/>
        <v>8314</v>
      </c>
      <c r="M32" s="1409">
        <f>'13 Other'!K27</f>
        <v>1356</v>
      </c>
      <c r="N32" s="1413" t="e">
        <f t="shared" si="17"/>
        <v>#REF!</v>
      </c>
      <c r="O32" s="1265"/>
      <c r="P32" s="1205">
        <f>'6 Capital Markets Canada'!BI26</f>
        <v>16720</v>
      </c>
      <c r="Q32" s="1205">
        <f>'7 CG - US'!BI27</f>
        <v>16968</v>
      </c>
      <c r="R32" s="1205">
        <f>'8 UK &amp; Dubai'!BI28</f>
        <v>11577</v>
      </c>
      <c r="S32" s="1269">
        <f>'9 CG - Australia'!AC27</f>
        <v>3579</v>
      </c>
      <c r="T32" s="1245" t="e">
        <f>#REF!</f>
        <v>#REF!</v>
      </c>
      <c r="U32" s="1265" t="e">
        <f t="shared" si="13"/>
        <v>#REF!</v>
      </c>
      <c r="V32" s="1205">
        <f>'11 CWM Canada'!BI27</f>
        <v>8382</v>
      </c>
      <c r="W32" s="1205">
        <f>'12 CWM UK and Europe'!BI26</f>
        <v>17189</v>
      </c>
      <c r="X32" s="1413">
        <f t="shared" si="14"/>
        <v>25571</v>
      </c>
      <c r="Y32" s="1409">
        <f>'13 Other'!BI27</f>
        <v>9463</v>
      </c>
      <c r="Z32" s="1413" t="e">
        <f t="shared" si="15"/>
        <v>#REF!</v>
      </c>
      <c r="AB32" s="1180"/>
      <c r="AC32" s="1180"/>
      <c r="AD32" s="1180"/>
    </row>
    <row r="33" spans="1:30" s="934" customFormat="1" x14ac:dyDescent="0.2">
      <c r="A33" s="948"/>
      <c r="B33" s="946" t="s">
        <v>69</v>
      </c>
      <c r="C33" s="922"/>
      <c r="D33" s="1205">
        <f>'6 Capital Markets Canada'!K27</f>
        <v>943</v>
      </c>
      <c r="E33" s="1205">
        <f>'7 CG - US'!K28</f>
        <v>460</v>
      </c>
      <c r="F33" s="1205">
        <f>'8 UK &amp; Dubai'!K29</f>
        <v>762</v>
      </c>
      <c r="G33" s="1269">
        <f>'9 CG - Australia'!K28</f>
        <v>125</v>
      </c>
      <c r="H33" s="1245" t="e">
        <f>#REF!</f>
        <v>#REF!</v>
      </c>
      <c r="I33" s="1245" t="e">
        <f t="shared" si="16"/>
        <v>#REF!</v>
      </c>
      <c r="J33" s="1205">
        <f>'11 CWM Canada'!K28</f>
        <v>395</v>
      </c>
      <c r="K33" s="1205">
        <f>'12 CWM UK and Europe'!K27</f>
        <v>3867</v>
      </c>
      <c r="L33" s="1413">
        <f t="shared" si="11"/>
        <v>4262</v>
      </c>
      <c r="M33" s="1409">
        <f>'13 Other'!K28</f>
        <v>391</v>
      </c>
      <c r="N33" s="1413" t="e">
        <f t="shared" si="17"/>
        <v>#REF!</v>
      </c>
      <c r="O33" s="1265"/>
      <c r="P33" s="1205">
        <f>'6 Capital Markets Canada'!BI27</f>
        <v>3664</v>
      </c>
      <c r="Q33" s="1205">
        <f>'7 CG - US'!BI28</f>
        <v>1850</v>
      </c>
      <c r="R33" s="1205">
        <f>'8 UK &amp; Dubai'!BI29</f>
        <v>3383</v>
      </c>
      <c r="S33" s="1269">
        <f>'9 CG - Australia'!AC28</f>
        <v>544</v>
      </c>
      <c r="T33" s="1245" t="e">
        <f>#REF!</f>
        <v>#REF!</v>
      </c>
      <c r="U33" s="1265" t="e">
        <f t="shared" si="13"/>
        <v>#REF!</v>
      </c>
      <c r="V33" s="1205">
        <f>'11 CWM Canada'!BI28</f>
        <v>1595</v>
      </c>
      <c r="W33" s="1205">
        <f>'12 CWM UK and Europe'!BI27</f>
        <v>11557</v>
      </c>
      <c r="X33" s="1413">
        <f t="shared" si="14"/>
        <v>13152</v>
      </c>
      <c r="Y33" s="1409">
        <f>'13 Other'!BI28</f>
        <v>1391</v>
      </c>
      <c r="Z33" s="1413" t="e">
        <f t="shared" si="15"/>
        <v>#REF!</v>
      </c>
      <c r="AB33" s="1180"/>
      <c r="AC33" s="1180"/>
      <c r="AD33" s="1180"/>
    </row>
    <row r="34" spans="1:30" x14ac:dyDescent="0.2">
      <c r="A34" s="946"/>
      <c r="B34" s="946" t="s">
        <v>70</v>
      </c>
      <c r="C34" s="922"/>
      <c r="D34" s="1205">
        <f>'6 Capital Markets Canada'!K29</f>
        <v>109</v>
      </c>
      <c r="E34" s="1205">
        <f>'7 CG - US'!K30</f>
        <v>108</v>
      </c>
      <c r="F34" s="1205">
        <f>'8 UK &amp; Dubai'!K31</f>
        <v>0</v>
      </c>
      <c r="G34" s="1269">
        <f>'9 CG - Australia'!K29</f>
        <v>0</v>
      </c>
      <c r="H34" s="1245" t="e">
        <f>#REF!</f>
        <v>#REF!</v>
      </c>
      <c r="I34" s="1245" t="e">
        <f t="shared" si="16"/>
        <v>#REF!</v>
      </c>
      <c r="J34" s="1205">
        <f>'11 CWM Canada'!K30</f>
        <v>821</v>
      </c>
      <c r="K34" s="1205">
        <f>'12 CWM UK and Europe'!K29</f>
        <v>2097</v>
      </c>
      <c r="L34" s="1413">
        <f t="shared" si="11"/>
        <v>2918</v>
      </c>
      <c r="M34" s="1409">
        <f>'13 Other'!K30</f>
        <v>52</v>
      </c>
      <c r="N34" s="1413" t="e">
        <f>M34+L34+I34</f>
        <v>#REF!</v>
      </c>
      <c r="O34" s="1265"/>
      <c r="P34" s="1205">
        <f>'6 Capital Markets Canada'!BI29</f>
        <v>205</v>
      </c>
      <c r="Q34" s="1205">
        <f>'7 CG - US'!BI30</f>
        <v>466</v>
      </c>
      <c r="R34" s="1205">
        <f>'8 UK &amp; Dubai'!BI31</f>
        <v>19</v>
      </c>
      <c r="S34" s="1269">
        <f>'9 CG - Australia'!AC29</f>
        <v>0</v>
      </c>
      <c r="T34" s="1245" t="e">
        <f>#REF!</f>
        <v>#REF!</v>
      </c>
      <c r="U34" s="1265" t="e">
        <f t="shared" si="13"/>
        <v>#REF!</v>
      </c>
      <c r="V34" s="1205">
        <f>'11 CWM Canada'!BI30</f>
        <v>4148</v>
      </c>
      <c r="W34" s="1205">
        <f>'12 CWM UK and Europe'!BI29</f>
        <v>2625</v>
      </c>
      <c r="X34" s="1413">
        <f t="shared" si="14"/>
        <v>6773</v>
      </c>
      <c r="Y34" s="1409">
        <f>'13 Other'!BI30</f>
        <v>201</v>
      </c>
      <c r="Z34" s="1413" t="e">
        <f t="shared" si="15"/>
        <v>#REF!</v>
      </c>
    </row>
    <row r="35" spans="1:30" x14ac:dyDescent="0.2">
      <c r="A35" s="946"/>
      <c r="B35" s="946" t="s">
        <v>164</v>
      </c>
      <c r="C35" s="922"/>
      <c r="D35" s="1205">
        <f>'6 Capital Markets Canada'!K30</f>
        <v>0</v>
      </c>
      <c r="E35" s="1205">
        <f>'7 CG - US'!K31</f>
        <v>0</v>
      </c>
      <c r="F35" s="1205">
        <f>'8 UK &amp; Dubai'!K32</f>
        <v>0</v>
      </c>
      <c r="G35" s="1269">
        <f>'9 CG - Australia'!K30</f>
        <v>0</v>
      </c>
      <c r="H35" s="1245" t="e">
        <f>#REF!</f>
        <v>#REF!</v>
      </c>
      <c r="I35" s="1245" t="e">
        <f t="shared" si="16"/>
        <v>#REF!</v>
      </c>
      <c r="J35" s="1205">
        <f>'11 CWM Canada'!K31</f>
        <v>0</v>
      </c>
      <c r="K35" s="1205">
        <f>'12 CWM UK and Europe'!K30</f>
        <v>939</v>
      </c>
      <c r="L35" s="1413">
        <f t="shared" si="11"/>
        <v>939</v>
      </c>
      <c r="M35" s="1409">
        <f>'13 Other'!K31</f>
        <v>0</v>
      </c>
      <c r="N35" s="1413" t="e">
        <f t="shared" si="17"/>
        <v>#REF!</v>
      </c>
      <c r="O35" s="1265"/>
      <c r="P35" s="1205">
        <f>'6 Capital Markets Canada'!BI30</f>
        <v>2366</v>
      </c>
      <c r="Q35" s="1205">
        <f>'7 CG - US'!BI31</f>
        <v>1890</v>
      </c>
      <c r="R35" s="1205">
        <f>'8 UK &amp; Dubai'!BI32</f>
        <v>448</v>
      </c>
      <c r="S35" s="1269">
        <f>'9 CG - Australia'!AC30</f>
        <v>0</v>
      </c>
      <c r="T35" s="1245" t="e">
        <f>#REF!</f>
        <v>#REF!</v>
      </c>
      <c r="U35" s="1265" t="e">
        <f t="shared" si="13"/>
        <v>#REF!</v>
      </c>
      <c r="V35" s="1205">
        <f>'11 CWM Canada'!BI31</f>
        <v>0</v>
      </c>
      <c r="W35" s="1205">
        <f>'12 CWM UK and Europe'!BI30</f>
        <v>2939</v>
      </c>
      <c r="X35" s="1413">
        <f t="shared" si="14"/>
        <v>2939</v>
      </c>
      <c r="Y35" s="1409">
        <f>'13 Other'!BI31</f>
        <v>0</v>
      </c>
      <c r="Z35" s="1413" t="e">
        <f t="shared" si="15"/>
        <v>#REF!</v>
      </c>
    </row>
    <row r="36" spans="1:30" x14ac:dyDescent="0.2">
      <c r="A36" s="946"/>
      <c r="B36" s="946" t="s">
        <v>185</v>
      </c>
      <c r="C36" s="922"/>
      <c r="D36" s="1205">
        <f>'6 Capital Markets Canada'!K31</f>
        <v>0</v>
      </c>
      <c r="E36" s="1205">
        <f>'7 CG - US'!K33</f>
        <v>17872</v>
      </c>
      <c r="F36" s="1205" t="e">
        <f>'8 UK &amp; Dubai'!#REF!</f>
        <v>#REF!</v>
      </c>
      <c r="G36" s="1269">
        <f>'9 CG - Australia'!K31</f>
        <v>0</v>
      </c>
      <c r="H36" s="1245" t="e">
        <f>#REF!</f>
        <v>#REF!</v>
      </c>
      <c r="I36" s="1245" t="e">
        <f t="shared" si="16"/>
        <v>#REF!</v>
      </c>
      <c r="J36" s="1205">
        <f>'11 CWM Canada'!K32</f>
        <v>668</v>
      </c>
      <c r="K36" s="1205">
        <f>'12 CWM UK and Europe'!K31</f>
        <v>184</v>
      </c>
      <c r="L36" s="1413">
        <f t="shared" si="11"/>
        <v>852</v>
      </c>
      <c r="M36" s="1409">
        <f>'13 Other'!K32</f>
        <v>0</v>
      </c>
      <c r="N36" s="1413" t="e">
        <f t="shared" si="17"/>
        <v>#REF!</v>
      </c>
      <c r="O36" s="1265"/>
      <c r="P36" s="1205">
        <f>'6 Capital Markets Canada'!BI31</f>
        <v>0</v>
      </c>
      <c r="Q36" s="1205">
        <f>'7 CG - US'!BI33</f>
        <v>17872</v>
      </c>
      <c r="R36" s="1205" t="e">
        <f>'8 UK &amp; Dubai'!#REF!</f>
        <v>#REF!</v>
      </c>
      <c r="S36" s="1269">
        <f>'9 CG - Australia'!AC31</f>
        <v>0</v>
      </c>
      <c r="T36" s="1245" t="e">
        <f>#REF!</f>
        <v>#REF!</v>
      </c>
      <c r="U36" s="1265" t="e">
        <f t="shared" si="13"/>
        <v>#REF!</v>
      </c>
      <c r="V36" s="1205">
        <f>'11 CWM Canada'!BI32</f>
        <v>668</v>
      </c>
      <c r="W36" s="1205">
        <f>'12 CWM UK and Europe'!BI31</f>
        <v>6732</v>
      </c>
      <c r="X36" s="1413">
        <f t="shared" si="14"/>
        <v>7400</v>
      </c>
      <c r="Y36" s="1409">
        <f>'13 Other'!BI32</f>
        <v>0</v>
      </c>
      <c r="Z36" s="1413" t="e">
        <f t="shared" si="15"/>
        <v>#REF!</v>
      </c>
    </row>
    <row r="37" spans="1:30" ht="13.5" x14ac:dyDescent="0.2">
      <c r="A37" s="946"/>
      <c r="B37" s="946" t="s">
        <v>621</v>
      </c>
      <c r="C37" s="922"/>
      <c r="D37" s="1205">
        <f>'6 Capital Markets Canada'!K33</f>
        <v>11657</v>
      </c>
      <c r="E37" s="1205">
        <f>'7 CG - US'!K34</f>
        <v>0</v>
      </c>
      <c r="F37" s="1205">
        <f>'8 UK &amp; Dubai'!K33</f>
        <v>12870</v>
      </c>
      <c r="G37" s="1269">
        <f>'9 CG - Australia'!K32</f>
        <v>0</v>
      </c>
      <c r="H37" s="1245"/>
      <c r="I37" s="1245">
        <f t="shared" si="16"/>
        <v>24527</v>
      </c>
      <c r="J37" s="1205" t="e">
        <f>'11 CWM Canada'!#REF!</f>
        <v>#REF!</v>
      </c>
      <c r="K37" s="1205">
        <f>'12 CWM UK and Europe'!K33</f>
        <v>3390</v>
      </c>
      <c r="L37" s="1413" t="e">
        <f t="shared" si="11"/>
        <v>#REF!</v>
      </c>
      <c r="M37" s="1409">
        <f>'13 Other'!K33</f>
        <v>0</v>
      </c>
      <c r="N37" s="1413" t="e">
        <f t="shared" si="17"/>
        <v>#REF!</v>
      </c>
      <c r="O37" s="1265"/>
      <c r="P37" s="1205">
        <f>'6 Capital Markets Canada'!BI33</f>
        <v>11657</v>
      </c>
      <c r="Q37" s="1205">
        <f>'7 CG - US'!BI34</f>
        <v>0</v>
      </c>
      <c r="R37" s="1205">
        <f>'8 UK &amp; Dubai'!BI33</f>
        <v>12870</v>
      </c>
      <c r="S37" s="1269">
        <f>'9 CG - Australia'!AC32</f>
        <v>0</v>
      </c>
      <c r="T37" s="1245">
        <v>0</v>
      </c>
      <c r="U37" s="1265">
        <f t="shared" si="13"/>
        <v>24527</v>
      </c>
      <c r="V37" s="1205" t="e">
        <f>'11 CWM Canada'!#REF!</f>
        <v>#REF!</v>
      </c>
      <c r="W37" s="1205">
        <f>'12 CWM UK and Europe'!BI33</f>
        <v>3390</v>
      </c>
      <c r="X37" s="1413" t="e">
        <f t="shared" si="14"/>
        <v>#REF!</v>
      </c>
      <c r="Y37" s="1409">
        <f>'13 Other'!BI33</f>
        <v>0</v>
      </c>
      <c r="Z37" s="1413" t="e">
        <f t="shared" si="15"/>
        <v>#REF!</v>
      </c>
    </row>
    <row r="38" spans="1:30" x14ac:dyDescent="0.2">
      <c r="A38" s="946"/>
      <c r="B38" s="1194" t="s">
        <v>587</v>
      </c>
      <c r="C38" s="922"/>
      <c r="D38" s="1205">
        <v>0</v>
      </c>
      <c r="E38" s="1205">
        <v>0</v>
      </c>
      <c r="F38" s="1205">
        <v>0</v>
      </c>
      <c r="G38" s="1269">
        <v>0</v>
      </c>
      <c r="H38" s="1245">
        <v>0</v>
      </c>
      <c r="I38" s="1245">
        <v>0</v>
      </c>
      <c r="J38" s="1269">
        <v>0</v>
      </c>
      <c r="K38" s="1205">
        <v>0</v>
      </c>
      <c r="L38" s="1413">
        <f t="shared" si="11"/>
        <v>0</v>
      </c>
      <c r="M38" s="1409">
        <f>'13 Other'!K34</f>
        <v>1898</v>
      </c>
      <c r="N38" s="1413">
        <f t="shared" si="17"/>
        <v>1898</v>
      </c>
      <c r="O38" s="1265"/>
      <c r="P38" s="1205">
        <v>0</v>
      </c>
      <c r="Q38" s="1205">
        <v>0</v>
      </c>
      <c r="R38" s="1205">
        <v>0</v>
      </c>
      <c r="S38" s="1269">
        <v>0</v>
      </c>
      <c r="T38" s="1245">
        <v>0</v>
      </c>
      <c r="U38" s="1265">
        <f t="shared" si="13"/>
        <v>0</v>
      </c>
      <c r="V38" s="1269">
        <v>0</v>
      </c>
      <c r="W38" s="1205">
        <v>0</v>
      </c>
      <c r="X38" s="1413">
        <f t="shared" si="14"/>
        <v>0</v>
      </c>
      <c r="Y38" s="1409">
        <f>'13 Other'!BI34</f>
        <v>1898</v>
      </c>
      <c r="Z38" s="1413">
        <f t="shared" si="15"/>
        <v>1898</v>
      </c>
    </row>
    <row r="39" spans="1:30" x14ac:dyDescent="0.2">
      <c r="A39" s="946"/>
      <c r="B39" s="946" t="s">
        <v>530</v>
      </c>
      <c r="C39" s="922"/>
      <c r="D39" s="1269">
        <v>0</v>
      </c>
      <c r="E39" s="1269">
        <v>0</v>
      </c>
      <c r="F39" s="1269">
        <v>0</v>
      </c>
      <c r="G39" s="1269">
        <v>0</v>
      </c>
      <c r="H39" s="1245">
        <v>0</v>
      </c>
      <c r="I39" s="1245">
        <f t="shared" si="16"/>
        <v>0</v>
      </c>
      <c r="J39" s="1269">
        <v>0</v>
      </c>
      <c r="K39" s="1269">
        <v>0</v>
      </c>
      <c r="L39" s="1413">
        <f t="shared" si="11"/>
        <v>0</v>
      </c>
      <c r="M39" s="1409">
        <f>'13 Other'!K36</f>
        <v>-4</v>
      </c>
      <c r="N39" s="1413">
        <f t="shared" si="17"/>
        <v>-4</v>
      </c>
      <c r="O39" s="1265"/>
      <c r="P39" s="1269">
        <v>0</v>
      </c>
      <c r="Q39" s="1269">
        <v>0</v>
      </c>
      <c r="R39" s="1205">
        <v>0</v>
      </c>
      <c r="S39" s="1269">
        <v>0</v>
      </c>
      <c r="T39" s="1245">
        <v>0</v>
      </c>
      <c r="U39" s="1265">
        <f t="shared" si="13"/>
        <v>0</v>
      </c>
      <c r="V39" s="1269">
        <v>0</v>
      </c>
      <c r="W39" s="1269">
        <v>0</v>
      </c>
      <c r="X39" s="1413">
        <f t="shared" si="14"/>
        <v>0</v>
      </c>
      <c r="Y39" s="1409">
        <f>'13 Other'!BI36</f>
        <v>298</v>
      </c>
      <c r="Z39" s="1413">
        <f t="shared" si="15"/>
        <v>298</v>
      </c>
    </row>
    <row r="40" spans="1:30" x14ac:dyDescent="0.2">
      <c r="A40" s="948"/>
      <c r="B40" s="946"/>
      <c r="C40" s="922"/>
      <c r="D40" s="1276">
        <f>SUM(D26:D39)</f>
        <v>66572</v>
      </c>
      <c r="E40" s="1276">
        <f t="shared" ref="E40:K40" si="18">SUM(E26:E39)</f>
        <v>78312</v>
      </c>
      <c r="F40" s="1276" t="e">
        <f t="shared" si="18"/>
        <v>#REF!</v>
      </c>
      <c r="G40" s="1276">
        <f t="shared" si="18"/>
        <v>13033</v>
      </c>
      <c r="H40" s="1276" t="e">
        <f t="shared" si="18"/>
        <v>#REF!</v>
      </c>
      <c r="I40" s="1268" t="e">
        <f>SUM(I26:I39)</f>
        <v>#REF!</v>
      </c>
      <c r="J40" s="1276" t="e">
        <f t="shared" si="18"/>
        <v>#REF!</v>
      </c>
      <c r="K40" s="1276">
        <f t="shared" si="18"/>
        <v>63691</v>
      </c>
      <c r="L40" s="1268" t="e">
        <f>SUM(L26:L39)</f>
        <v>#REF!</v>
      </c>
      <c r="M40" s="1276">
        <f>SUM(M26:M39)</f>
        <v>16715</v>
      </c>
      <c r="N40" s="1268" t="e">
        <f>SUM(N26:N39)</f>
        <v>#REF!</v>
      </c>
      <c r="O40" s="1265"/>
      <c r="P40" s="1276">
        <f t="shared" ref="P40:X40" si="19">SUM(P26:P39)</f>
        <v>177934</v>
      </c>
      <c r="Q40" s="1276">
        <f t="shared" si="19"/>
        <v>247240</v>
      </c>
      <c r="R40" s="1276" t="e">
        <f t="shared" si="19"/>
        <v>#REF!</v>
      </c>
      <c r="S40" s="1276">
        <f t="shared" si="19"/>
        <v>41830</v>
      </c>
      <c r="T40" s="1276" t="e">
        <f t="shared" si="19"/>
        <v>#REF!</v>
      </c>
      <c r="U40" s="1268" t="e">
        <f t="shared" si="19"/>
        <v>#REF!</v>
      </c>
      <c r="V40" s="1276" t="e">
        <f t="shared" si="19"/>
        <v>#REF!</v>
      </c>
      <c r="W40" s="1276">
        <f t="shared" si="19"/>
        <v>185577</v>
      </c>
      <c r="X40" s="1268" t="e">
        <f t="shared" si="19"/>
        <v>#REF!</v>
      </c>
      <c r="Y40" s="1276">
        <f>SUM(Y26:Y39)</f>
        <v>58488</v>
      </c>
      <c r="Z40" s="1268" t="e">
        <f>SUM(Z26:Z39)</f>
        <v>#REF!</v>
      </c>
      <c r="AA40" s="1980"/>
    </row>
    <row r="41" spans="1:30" ht="9" customHeight="1" x14ac:dyDescent="0.2">
      <c r="A41" s="948"/>
      <c r="B41" s="946"/>
      <c r="C41" s="908"/>
      <c r="D41" s="1408"/>
      <c r="E41" s="1205"/>
      <c r="F41" s="1205"/>
      <c r="G41" s="1205"/>
      <c r="H41" s="1205"/>
      <c r="I41" s="1413"/>
      <c r="J41" s="1205"/>
      <c r="K41" s="1205"/>
      <c r="L41" s="1413"/>
      <c r="M41" s="1205"/>
      <c r="N41" s="1205"/>
      <c r="O41" s="1269"/>
      <c r="P41" s="1407"/>
      <c r="Q41" s="1205"/>
      <c r="R41" s="1205"/>
      <c r="S41" s="1205"/>
      <c r="T41" s="1205"/>
      <c r="U41" s="1413"/>
      <c r="V41" s="1205"/>
      <c r="W41" s="1205"/>
      <c r="X41" s="1413"/>
      <c r="Y41" s="1205"/>
      <c r="Z41" s="1409"/>
    </row>
    <row r="42" spans="1:30" s="2304" customFormat="1" ht="12.75" customHeight="1" x14ac:dyDescent="0.2">
      <c r="A42" s="3157" t="s">
        <v>183</v>
      </c>
      <c r="B42" s="3151"/>
      <c r="C42" s="908"/>
      <c r="D42" s="2525">
        <f t="shared" ref="D42:N42" si="20">D22-D40</f>
        <v>11042</v>
      </c>
      <c r="E42" s="2539">
        <f t="shared" si="20"/>
        <v>-10154</v>
      </c>
      <c r="F42" s="2539" t="e">
        <f t="shared" si="20"/>
        <v>#REF!</v>
      </c>
      <c r="G42" s="2539">
        <f t="shared" si="20"/>
        <v>7069</v>
      </c>
      <c r="H42" s="2539" t="e">
        <f t="shared" si="20"/>
        <v>#REF!</v>
      </c>
      <c r="I42" s="2538" t="e">
        <f t="shared" si="20"/>
        <v>#REF!</v>
      </c>
      <c r="J42" s="2539" t="e">
        <f t="shared" si="20"/>
        <v>#REF!</v>
      </c>
      <c r="K42" s="2539">
        <f t="shared" si="20"/>
        <v>1232</v>
      </c>
      <c r="L42" s="2538" t="e">
        <f t="shared" si="20"/>
        <v>#REF!</v>
      </c>
      <c r="M42" s="2539">
        <f>M22-M40</f>
        <v>-11700</v>
      </c>
      <c r="N42" s="2538" t="e">
        <f t="shared" si="20"/>
        <v>#REF!</v>
      </c>
      <c r="O42" s="1668"/>
      <c r="P42" s="2525">
        <f t="shared" ref="P42:Y42" si="21">P22-P40</f>
        <v>38172</v>
      </c>
      <c r="Q42" s="2539">
        <f t="shared" si="21"/>
        <v>-11298</v>
      </c>
      <c r="R42" s="2539" t="e">
        <f t="shared" si="21"/>
        <v>#REF!</v>
      </c>
      <c r="S42" s="2539">
        <f t="shared" si="21"/>
        <v>15192</v>
      </c>
      <c r="T42" s="2539" t="e">
        <f t="shared" si="21"/>
        <v>#REF!</v>
      </c>
      <c r="U42" s="2538" t="e">
        <f t="shared" si="21"/>
        <v>#REF!</v>
      </c>
      <c r="V42" s="2539" t="e">
        <f t="shared" si="21"/>
        <v>#REF!</v>
      </c>
      <c r="W42" s="2539">
        <f t="shared" si="21"/>
        <v>15806</v>
      </c>
      <c r="X42" s="2538" t="e">
        <f t="shared" si="21"/>
        <v>#REF!</v>
      </c>
      <c r="Y42" s="2539">
        <f t="shared" si="21"/>
        <v>-43432</v>
      </c>
      <c r="Z42" s="2538" t="e">
        <f>Z22-Z40</f>
        <v>#REF!</v>
      </c>
      <c r="AB42" s="1182"/>
      <c r="AC42" s="1180"/>
      <c r="AD42" s="1180"/>
    </row>
    <row r="43" spans="1:30" s="2304" customFormat="1" ht="12.75" customHeight="1" x14ac:dyDescent="0.2">
      <c r="A43" s="2870"/>
      <c r="B43" s="2232" t="s">
        <v>336</v>
      </c>
      <c r="C43" s="908"/>
      <c r="D43" s="2525">
        <f>'6 Capital Markets Canada'!K37</f>
        <v>2582</v>
      </c>
      <c r="E43" s="2539">
        <f>'7 CG - US'!K37</f>
        <v>878</v>
      </c>
      <c r="F43" s="2539">
        <f>'8 UK &amp; Dubai'!K37</f>
        <v>763</v>
      </c>
      <c r="G43" s="2539">
        <f>'9 CG - Australia'!K35</f>
        <v>283</v>
      </c>
      <c r="H43" s="2539" t="e">
        <f>#REF!</f>
        <v>#REF!</v>
      </c>
      <c r="I43" s="2538" t="e">
        <f>SUM(D43:H43)</f>
        <v>#REF!</v>
      </c>
      <c r="J43" s="2539">
        <f>'11 CWM Canada'!K35</f>
        <v>2854</v>
      </c>
      <c r="K43" s="2539">
        <f>'12 CWM UK and Europe'!K36</f>
        <v>376</v>
      </c>
      <c r="L43" s="2538">
        <f>J43+K43</f>
        <v>3230</v>
      </c>
      <c r="M43" s="2539">
        <f>'13 Other'!K39</f>
        <v>-7736</v>
      </c>
      <c r="N43" s="2538" t="e">
        <f>M43+L43+I43</f>
        <v>#REF!</v>
      </c>
      <c r="O43" s="1668"/>
      <c r="P43" s="2525">
        <f>'6 Capital Markets Canada'!BI37</f>
        <v>10159</v>
      </c>
      <c r="Q43" s="2539">
        <f>'7 CG - US'!BI37</f>
        <v>3113</v>
      </c>
      <c r="R43" s="2539">
        <f>'8 UK &amp; Dubai'!BI37</f>
        <v>2969</v>
      </c>
      <c r="S43" s="2539">
        <f>'9 CG - Australia'!AC35</f>
        <v>283</v>
      </c>
      <c r="T43" s="2539" t="e">
        <f>#REF!</f>
        <v>#REF!</v>
      </c>
      <c r="U43" s="2538" t="e">
        <f>SUM(P43:T43)</f>
        <v>#REF!</v>
      </c>
      <c r="V43" s="2539">
        <f>'11 CWM Canada'!BI35</f>
        <v>14200</v>
      </c>
      <c r="W43" s="2539">
        <f>'12 CWM UK and Europe'!BI36</f>
        <v>1329</v>
      </c>
      <c r="X43" s="2538">
        <f>V43+W43</f>
        <v>15529</v>
      </c>
      <c r="Y43" s="2539">
        <f>'13 Other'!BI39</f>
        <v>-32053</v>
      </c>
      <c r="Z43" s="2538" t="e">
        <f>Y43+X43+U43</f>
        <v>#REF!</v>
      </c>
      <c r="AB43" s="1182"/>
      <c r="AC43" s="1180"/>
      <c r="AD43" s="1180"/>
    </row>
    <row r="44" spans="1:30" s="2304" customFormat="1" ht="12.75" customHeight="1" thickBot="1" x14ac:dyDescent="0.25">
      <c r="A44" s="3150" t="s">
        <v>72</v>
      </c>
      <c r="B44" s="3151"/>
      <c r="C44" s="908"/>
      <c r="D44" s="2834">
        <f>D42-D43</f>
        <v>8460</v>
      </c>
      <c r="E44" s="2835">
        <f t="shared" ref="E44:L44" si="22">E42-E43</f>
        <v>-11032</v>
      </c>
      <c r="F44" s="2835" t="e">
        <f t="shared" si="22"/>
        <v>#REF!</v>
      </c>
      <c r="G44" s="2835">
        <f t="shared" si="22"/>
        <v>6786</v>
      </c>
      <c r="H44" s="2835" t="e">
        <f t="shared" si="22"/>
        <v>#REF!</v>
      </c>
      <c r="I44" s="2836" t="e">
        <f t="shared" si="22"/>
        <v>#REF!</v>
      </c>
      <c r="J44" s="2835" t="e">
        <f t="shared" si="22"/>
        <v>#REF!</v>
      </c>
      <c r="K44" s="2835">
        <f t="shared" si="22"/>
        <v>856</v>
      </c>
      <c r="L44" s="2836" t="e">
        <f t="shared" si="22"/>
        <v>#REF!</v>
      </c>
      <c r="M44" s="2835">
        <f>M42-M43</f>
        <v>-3964</v>
      </c>
      <c r="N44" s="2836" t="e">
        <f>N42</f>
        <v>#REF!</v>
      </c>
      <c r="O44" s="1668"/>
      <c r="P44" s="2834">
        <f>P42-P43</f>
        <v>28013</v>
      </c>
      <c r="Q44" s="2835">
        <f t="shared" ref="Q44:Z44" si="23">Q42-Q43</f>
        <v>-14411</v>
      </c>
      <c r="R44" s="2835" t="e">
        <f t="shared" si="23"/>
        <v>#REF!</v>
      </c>
      <c r="S44" s="2835">
        <f t="shared" si="23"/>
        <v>14909</v>
      </c>
      <c r="T44" s="2835" t="e">
        <f t="shared" si="23"/>
        <v>#REF!</v>
      </c>
      <c r="U44" s="2836" t="e">
        <f t="shared" si="23"/>
        <v>#REF!</v>
      </c>
      <c r="V44" s="2835" t="e">
        <f t="shared" si="23"/>
        <v>#REF!</v>
      </c>
      <c r="W44" s="2835">
        <f t="shared" si="23"/>
        <v>14477</v>
      </c>
      <c r="X44" s="2836" t="e">
        <f t="shared" si="23"/>
        <v>#REF!</v>
      </c>
      <c r="Y44" s="2835">
        <f t="shared" si="23"/>
        <v>-11379</v>
      </c>
      <c r="Z44" s="2836" t="e">
        <f t="shared" si="23"/>
        <v>#REF!</v>
      </c>
      <c r="AB44" s="1182" t="e">
        <f>SUM(D44:H44)-('5 Canaccord Genuity '!H64)</f>
        <v>#REF!</v>
      </c>
      <c r="AC44" s="1180" t="e">
        <f>SUM(J44:K44)-'10 Wealth Management'!H38</f>
        <v>#REF!</v>
      </c>
      <c r="AD44" s="1180">
        <f>M44-'13 Other'!H40</f>
        <v>1336</v>
      </c>
    </row>
    <row r="45" spans="1:30" ht="9" customHeight="1" thickTop="1" x14ac:dyDescent="0.2">
      <c r="A45" s="948"/>
      <c r="B45" s="946"/>
      <c r="C45" s="908"/>
      <c r="D45" s="2558"/>
      <c r="E45" s="2558"/>
      <c r="F45" s="1668"/>
      <c r="G45" s="2559"/>
      <c r="H45" s="2559"/>
      <c r="I45" s="2559"/>
      <c r="J45" s="2558"/>
      <c r="K45" s="2558"/>
      <c r="L45" s="2558"/>
      <c r="M45" s="2558"/>
      <c r="N45" s="2558"/>
      <c r="O45" s="1668"/>
      <c r="P45" s="2558"/>
      <c r="Q45" s="2558"/>
      <c r="R45" s="1668"/>
      <c r="S45" s="2559"/>
      <c r="T45" s="2559"/>
      <c r="U45" s="2559"/>
      <c r="V45" s="2558"/>
      <c r="W45" s="2558"/>
      <c r="X45" s="2558"/>
      <c r="Y45" s="2558"/>
      <c r="Z45" s="2558"/>
    </row>
    <row r="46" spans="1:30" ht="12.75" hidden="1" customHeight="1" x14ac:dyDescent="0.2">
      <c r="A46" s="946" t="s">
        <v>294</v>
      </c>
      <c r="B46" s="946"/>
      <c r="C46" s="908"/>
      <c r="D46" s="1082">
        <f t="shared" ref="D46:N50" si="24">IF(OR(D24/D$22&gt;3,D24/D$22&lt;-3),"n.m.",(D24/D$22))</f>
        <v>0.42931687582137246</v>
      </c>
      <c r="E46" s="1082">
        <f t="shared" si="24"/>
        <v>0.46745796531588368</v>
      </c>
      <c r="F46" s="1082">
        <f t="shared" si="24"/>
        <v>0.56788136567421543</v>
      </c>
      <c r="G46" s="1082">
        <f t="shared" si="24"/>
        <v>0.48835936722714157</v>
      </c>
      <c r="H46" s="1874" t="e">
        <f t="shared" si="24"/>
        <v>#REF!</v>
      </c>
      <c r="I46" s="1874"/>
      <c r="J46" s="1082">
        <f t="shared" si="24"/>
        <v>0.51202021183558444</v>
      </c>
      <c r="K46" s="1082">
        <f t="shared" si="24"/>
        <v>0.38964619626326569</v>
      </c>
      <c r="L46" s="1082"/>
      <c r="M46" s="1082">
        <f t="shared" si="24"/>
        <v>0.56889332003988036</v>
      </c>
      <c r="N46" s="1082" t="e">
        <f t="shared" si="24"/>
        <v>#REF!</v>
      </c>
      <c r="O46" s="1809"/>
      <c r="P46" s="1082">
        <f t="shared" ref="P46:Z48" si="25">IF(OR(P24/P$22&gt;3,P24/P$22&lt;-3),"n.m.",(P24/P$22))</f>
        <v>0.44724810972393175</v>
      </c>
      <c r="Q46" s="1082">
        <f t="shared" si="25"/>
        <v>0.48761560044417696</v>
      </c>
      <c r="R46" s="1082">
        <f t="shared" si="25"/>
        <v>0.56112503697706639</v>
      </c>
      <c r="S46" s="1082">
        <f t="shared" si="25"/>
        <v>0.51650240258145974</v>
      </c>
      <c r="T46" s="1082" t="e">
        <f t="shared" si="25"/>
        <v>#REF!</v>
      </c>
      <c r="U46" s="1082"/>
      <c r="V46" s="1082">
        <f t="shared" si="25"/>
        <v>0.50585615992231259</v>
      </c>
      <c r="W46" s="1082">
        <f t="shared" si="25"/>
        <v>0.36359573548909291</v>
      </c>
      <c r="X46" s="1082"/>
      <c r="Y46" s="1082">
        <f t="shared" si="25"/>
        <v>0.5631641870350691</v>
      </c>
      <c r="Z46" s="1082" t="e">
        <f t="shared" si="25"/>
        <v>#REF!</v>
      </c>
    </row>
    <row r="47" spans="1:30" ht="12.75" hidden="1" customHeight="1" x14ac:dyDescent="0.2">
      <c r="A47" s="946" t="s">
        <v>295</v>
      </c>
      <c r="B47" s="946"/>
      <c r="C47" s="908"/>
      <c r="D47" s="1082">
        <f t="shared" si="24"/>
        <v>7.2937872033396037E-2</v>
      </c>
      <c r="E47" s="1082">
        <f t="shared" si="24"/>
        <v>2.8404589336541566E-2</v>
      </c>
      <c r="F47" s="1082">
        <f t="shared" si="24"/>
        <v>2.5376480055178757E-2</v>
      </c>
      <c r="G47" s="1082">
        <f t="shared" si="24"/>
        <v>1.6217291811760026E-2</v>
      </c>
      <c r="H47" s="1874" t="e">
        <f t="shared" si="24"/>
        <v>#REF!</v>
      </c>
      <c r="I47" s="1874"/>
      <c r="J47" s="1082">
        <f t="shared" si="24"/>
        <v>6.4328053639102125E-3</v>
      </c>
      <c r="K47" s="1082">
        <f t="shared" si="24"/>
        <v>2.4767801857585141E-2</v>
      </c>
      <c r="L47" s="1082"/>
      <c r="M47" s="1082">
        <f t="shared" si="24"/>
        <v>8.1555333998005977E-2</v>
      </c>
      <c r="N47" s="1082" t="e">
        <f t="shared" si="24"/>
        <v>#REF!</v>
      </c>
      <c r="O47" s="1809"/>
      <c r="P47" s="1082">
        <f t="shared" si="25"/>
        <v>7.4046995455933656E-2</v>
      </c>
      <c r="Q47" s="1082">
        <f t="shared" si="25"/>
        <v>5.4988090293377187E-2</v>
      </c>
      <c r="R47" s="1082">
        <f t="shared" si="25"/>
        <v>6.1825655077924299E-2</v>
      </c>
      <c r="S47" s="1082">
        <f t="shared" si="25"/>
        <v>2.2833292413454456E-2</v>
      </c>
      <c r="T47" s="1082" t="e">
        <f t="shared" si="25"/>
        <v>#REF!</v>
      </c>
      <c r="U47" s="1082"/>
      <c r="V47" s="1082">
        <f t="shared" si="25"/>
        <v>5.637072038464727E-3</v>
      </c>
      <c r="W47" s="1082">
        <f t="shared" si="25"/>
        <v>2.0264868434773542E-2</v>
      </c>
      <c r="X47" s="1082"/>
      <c r="Y47" s="1082">
        <f t="shared" si="25"/>
        <v>0.19872476089266738</v>
      </c>
      <c r="Z47" s="1082" t="e">
        <f t="shared" si="25"/>
        <v>#REF!</v>
      </c>
    </row>
    <row r="48" spans="1:30" ht="12.75" customHeight="1" x14ac:dyDescent="0.2">
      <c r="A48" s="1285" t="s">
        <v>74</v>
      </c>
      <c r="B48" s="959"/>
      <c r="C48" s="908"/>
      <c r="D48" s="1082">
        <f t="shared" si="24"/>
        <v>0.50225474785476842</v>
      </c>
      <c r="E48" s="1082">
        <f t="shared" si="24"/>
        <v>0.49586255465242524</v>
      </c>
      <c r="F48" s="1082">
        <f t="shared" si="24"/>
        <v>0.59325784572939422</v>
      </c>
      <c r="G48" s="1082">
        <f t="shared" si="24"/>
        <v>0.50457665903890159</v>
      </c>
      <c r="H48" s="1874" t="e">
        <f t="shared" si="24"/>
        <v>#REF!</v>
      </c>
      <c r="I48" s="1082" t="e">
        <f t="shared" si="24"/>
        <v>#REF!</v>
      </c>
      <c r="J48" s="1082">
        <f t="shared" si="24"/>
        <v>0.51845301719949466</v>
      </c>
      <c r="K48" s="1082">
        <f t="shared" si="24"/>
        <v>0.41441399812085083</v>
      </c>
      <c r="L48" s="1082">
        <f t="shared" si="24"/>
        <v>0.46041348021103645</v>
      </c>
      <c r="M48" s="1082">
        <f>IF(OR(M26/M$22&gt;3,M26/M$22&lt;-3),"n.m.",(M26/M$22))</f>
        <v>0.65044865403788632</v>
      </c>
      <c r="N48" s="1082" t="e">
        <f t="shared" si="24"/>
        <v>#REF!</v>
      </c>
      <c r="O48" s="1809"/>
      <c r="P48" s="1082">
        <f t="shared" si="25"/>
        <v>0.52129510517986544</v>
      </c>
      <c r="Q48" s="1082">
        <f t="shared" si="25"/>
        <v>0.5426036907375541</v>
      </c>
      <c r="R48" s="1082">
        <f t="shared" si="25"/>
        <v>0.62295069205499076</v>
      </c>
      <c r="S48" s="1082">
        <f t="shared" si="25"/>
        <v>0.53933569499491429</v>
      </c>
      <c r="T48" s="1080" t="e">
        <f t="shared" si="25"/>
        <v>#REF!</v>
      </c>
      <c r="U48" s="1082" t="e">
        <f t="shared" si="25"/>
        <v>#REF!</v>
      </c>
      <c r="V48" s="1080">
        <f t="shared" si="25"/>
        <v>0.51149323196077734</v>
      </c>
      <c r="W48" s="1080">
        <f t="shared" si="25"/>
        <v>0.38386060392386645</v>
      </c>
      <c r="X48" s="1082">
        <f t="shared" si="25"/>
        <v>0.4420752704144329</v>
      </c>
      <c r="Y48" s="1080">
        <f t="shared" si="25"/>
        <v>0.76188894792773643</v>
      </c>
      <c r="Z48" s="1082" t="e">
        <f t="shared" si="25"/>
        <v>#REF!</v>
      </c>
    </row>
    <row r="49" spans="1:28" ht="12.75" customHeight="1" x14ac:dyDescent="0.2">
      <c r="A49" s="1285" t="s">
        <v>623</v>
      </c>
      <c r="B49" s="959"/>
      <c r="C49" s="908"/>
      <c r="D49" s="1082">
        <f t="shared" ref="D49:N49" si="26">IF(OR(((D26+D27)/D22)&gt;3,((D26+D27)/D22)&lt;-3),"n.m.",((D26+D27)/D22))</f>
        <v>0.51906872471461329</v>
      </c>
      <c r="E49" s="1082">
        <f t="shared" si="26"/>
        <v>0.54058217670706299</v>
      </c>
      <c r="F49" s="1082">
        <f t="shared" si="26"/>
        <v>0.63406713415335092</v>
      </c>
      <c r="G49" s="1082">
        <f t="shared" si="26"/>
        <v>0.52755944682121181</v>
      </c>
      <c r="H49" s="1874" t="e">
        <f t="shared" si="26"/>
        <v>#REF!</v>
      </c>
      <c r="I49" s="1082" t="e">
        <f t="shared" si="26"/>
        <v>#REF!</v>
      </c>
      <c r="J49" s="1082">
        <f t="shared" si="26"/>
        <v>0.584977164512681</v>
      </c>
      <c r="K49" s="1082">
        <f t="shared" si="26"/>
        <v>0.59792369422238656</v>
      </c>
      <c r="L49" s="1082">
        <f t="shared" si="26"/>
        <v>0.59219955661723001</v>
      </c>
      <c r="M49" s="1082">
        <f t="shared" si="26"/>
        <v>2.0251246261216349</v>
      </c>
      <c r="N49" s="1082" t="e">
        <f t="shared" si="26"/>
        <v>#REF!</v>
      </c>
      <c r="O49" s="1809"/>
      <c r="P49" s="1082">
        <f t="shared" ref="P49:Z49" si="27">IF(OR(((P26+P27)/P22)&gt;3,((P26+P27)/P22)&lt;-3),"n.m.",((P26+P27)/P22))</f>
        <v>0.54619492286192883</v>
      </c>
      <c r="Q49" s="1082">
        <f t="shared" si="27"/>
        <v>0.592997431572166</v>
      </c>
      <c r="R49" s="1082">
        <f t="shared" si="27"/>
        <v>0.66710520170016663</v>
      </c>
      <c r="S49" s="1082">
        <f t="shared" si="27"/>
        <v>0.57232296306688646</v>
      </c>
      <c r="T49" s="1080" t="e">
        <f t="shared" si="27"/>
        <v>#REF!</v>
      </c>
      <c r="U49" s="1082" t="e">
        <f t="shared" si="27"/>
        <v>#REF!</v>
      </c>
      <c r="V49" s="1080">
        <f t="shared" si="27"/>
        <v>0.57849267535912652</v>
      </c>
      <c r="W49" s="1080">
        <f t="shared" si="27"/>
        <v>0.56368710367806618</v>
      </c>
      <c r="X49" s="1082">
        <f t="shared" si="27"/>
        <v>0.57044009020566355</v>
      </c>
      <c r="Y49" s="1080">
        <f t="shared" si="27"/>
        <v>2.5019261424017003</v>
      </c>
      <c r="Z49" s="1082" t="e">
        <f t="shared" si="27"/>
        <v>#REF!</v>
      </c>
    </row>
    <row r="50" spans="1:28" ht="12.75" customHeight="1" x14ac:dyDescent="0.2">
      <c r="A50" s="1285" t="s">
        <v>75</v>
      </c>
      <c r="B50" s="959"/>
      <c r="C50" s="908"/>
      <c r="D50" s="1080">
        <f t="shared" ref="D50:L50" si="28">IF((D40-D26-D27)/D22&gt;3,"n.m.",(D40-D26-D27)/D22)</f>
        <v>0.33866312778622415</v>
      </c>
      <c r="E50" s="1080">
        <f t="shared" si="28"/>
        <v>0.60839519938965347</v>
      </c>
      <c r="F50" s="1080" t="e">
        <f t="shared" si="28"/>
        <v>#REF!</v>
      </c>
      <c r="G50" s="1080">
        <f t="shared" si="28"/>
        <v>0.12078400159188141</v>
      </c>
      <c r="H50" s="1874" t="e">
        <f t="shared" si="24"/>
        <v>#REF!</v>
      </c>
      <c r="I50" s="1080" t="e">
        <f t="shared" si="28"/>
        <v>#REF!</v>
      </c>
      <c r="J50" s="1080" t="e">
        <f t="shared" si="28"/>
        <v>#REF!</v>
      </c>
      <c r="K50" s="1080">
        <f t="shared" si="28"/>
        <v>0.38309997997627959</v>
      </c>
      <c r="L50" s="1080" t="e">
        <f t="shared" si="28"/>
        <v>#REF!</v>
      </c>
      <c r="M50" s="1080">
        <f>IF((M40-M26-M27)/M22&gt;3,"n.m.",(M40-M26-M27)/M22)</f>
        <v>1.307876370887338</v>
      </c>
      <c r="N50" s="1080" t="e">
        <f>IF((N40-N26-N27)/N22&gt;3,"n.m.",(N40-N26-N27)/N22)</f>
        <v>#REF!</v>
      </c>
      <c r="O50" s="1809"/>
      <c r="P50" s="1082">
        <f t="shared" ref="P50:Z50" si="29">IF((P40-P26-P27)/P22&gt;3,"n.m.",(P40-P26-P27)/P22)</f>
        <v>0.27716953717157322</v>
      </c>
      <c r="Q50" s="1082">
        <f t="shared" si="29"/>
        <v>0.45488721804511278</v>
      </c>
      <c r="R50" s="1082" t="e">
        <f t="shared" si="29"/>
        <v>#REF!</v>
      </c>
      <c r="S50" s="1082">
        <f t="shared" si="29"/>
        <v>0.16125355126091684</v>
      </c>
      <c r="T50" s="1080" t="s">
        <v>41</v>
      </c>
      <c r="U50" s="1082" t="e">
        <f t="shared" si="29"/>
        <v>#REF!</v>
      </c>
      <c r="V50" s="1080" t="e">
        <f t="shared" si="29"/>
        <v>#REF!</v>
      </c>
      <c r="W50" s="1080">
        <f t="shared" si="29"/>
        <v>0.35782563572893444</v>
      </c>
      <c r="X50" s="1082" t="e">
        <f t="shared" si="29"/>
        <v>#REF!</v>
      </c>
      <c r="Y50" s="1080">
        <f t="shared" si="29"/>
        <v>1.3827709883103081</v>
      </c>
      <c r="Z50" s="1082" t="e">
        <f t="shared" si="29"/>
        <v>#REF!</v>
      </c>
    </row>
    <row r="51" spans="1:28" ht="12.75" customHeight="1" x14ac:dyDescent="0.2">
      <c r="A51" s="1285" t="s">
        <v>76</v>
      </c>
      <c r="B51" s="959"/>
      <c r="C51" s="908"/>
      <c r="D51" s="1082">
        <f t="shared" ref="D51:N51" si="30">IF(OR(D40/D$22&gt;3,D40/D$22&lt;-3),"n.m.",(D40/D$22))</f>
        <v>0.8577318525008375</v>
      </c>
      <c r="E51" s="1082">
        <f t="shared" si="30"/>
        <v>1.1489773760967164</v>
      </c>
      <c r="F51" s="1082" t="e">
        <f t="shared" si="30"/>
        <v>#REF!</v>
      </c>
      <c r="G51" s="1082">
        <f t="shared" si="30"/>
        <v>0.64834344841309322</v>
      </c>
      <c r="H51" s="1080" t="e">
        <f t="shared" si="30"/>
        <v>#REF!</v>
      </c>
      <c r="I51" s="1082" t="e">
        <f t="shared" si="30"/>
        <v>#REF!</v>
      </c>
      <c r="J51" s="1082" t="e">
        <f t="shared" si="30"/>
        <v>#REF!</v>
      </c>
      <c r="K51" s="1082">
        <f t="shared" si="30"/>
        <v>0.9810236741986661</v>
      </c>
      <c r="L51" s="1082" t="e">
        <f t="shared" si="30"/>
        <v>#REF!</v>
      </c>
      <c r="M51" s="1080" t="str">
        <f t="shared" si="30"/>
        <v>n.m.</v>
      </c>
      <c r="N51" s="1082" t="e">
        <f t="shared" si="30"/>
        <v>#REF!</v>
      </c>
      <c r="O51" s="2515"/>
      <c r="P51" s="1082">
        <f t="shared" ref="P51:Z51" si="31">IF(OR(P40/P$22&gt;3,P40/P$22&lt;-3),"n.m.",(P40/P$22))</f>
        <v>0.82336446003350205</v>
      </c>
      <c r="Q51" s="1082">
        <f t="shared" si="31"/>
        <v>1.0478846496172789</v>
      </c>
      <c r="R51" s="1082" t="e">
        <f t="shared" si="31"/>
        <v>#REF!</v>
      </c>
      <c r="S51" s="1082">
        <f t="shared" si="31"/>
        <v>0.73357651432780335</v>
      </c>
      <c r="T51" s="1080" t="e">
        <f t="shared" si="31"/>
        <v>#REF!</v>
      </c>
      <c r="U51" s="1082" t="e">
        <f t="shared" si="31"/>
        <v>#REF!</v>
      </c>
      <c r="V51" s="1080" t="e">
        <f t="shared" si="31"/>
        <v>#REF!</v>
      </c>
      <c r="W51" s="1080">
        <f t="shared" si="31"/>
        <v>0.92151273940700063</v>
      </c>
      <c r="X51" s="1082" t="e">
        <f t="shared" si="31"/>
        <v>#REF!</v>
      </c>
      <c r="Y51" s="1080" t="str">
        <f t="shared" si="31"/>
        <v>n.m.</v>
      </c>
      <c r="Z51" s="1082" t="e">
        <f t="shared" si="31"/>
        <v>#REF!</v>
      </c>
    </row>
    <row r="52" spans="1:28" ht="12.75" customHeight="1" x14ac:dyDescent="0.2">
      <c r="A52" s="1285" t="s">
        <v>77</v>
      </c>
      <c r="B52" s="959"/>
      <c r="C52" s="908"/>
      <c r="D52" s="1817">
        <f>IF(OR(D44/D$22&gt;3,D44/D$22&lt;-3),"n.m.",(D44/D$22))</f>
        <v>0.10900095343623573</v>
      </c>
      <c r="E52" s="1817">
        <f>IF(OR(E44/E$22&gt;3,E44/E$22&lt;-3),"n.m.",(E44/E$22))</f>
        <v>-0.16185920948384636</v>
      </c>
      <c r="F52" s="1817" t="e">
        <f>IF(OR(F44/F$22&gt;3,F44/F$22&lt;-3),"n.m.",(F44/F$22))</f>
        <v>#REF!</v>
      </c>
      <c r="G52" s="1817">
        <f>IF(OR(G44/G$22&gt;3,G44/G$22&lt;-3),"n.m.",(G44/G$22))</f>
        <v>0.33757835041289425</v>
      </c>
      <c r="H52" s="1874" t="e">
        <f t="shared" ref="H52:Z52" si="32">IF(OR(H44/H$22&gt;3,H44/H$22&lt;-3),"n.m.",(H44/H$22))</f>
        <v>#REF!</v>
      </c>
      <c r="I52" s="1817" t="e">
        <f>IF(OR(I44/I$22&gt;3,I44/I$22&lt;-3),"n.m.",(I44/I$22))</f>
        <v>#REF!</v>
      </c>
      <c r="J52" s="1817" t="e">
        <f t="shared" ref="J52:N52" si="33">IF(OR(J44/J$22&gt;3,J44/J$22&lt;-3),"n.m.",(J44/J$22))</f>
        <v>#REF!</v>
      </c>
      <c r="K52" s="1817">
        <f t="shared" si="33"/>
        <v>1.3184849745082636E-2</v>
      </c>
      <c r="L52" s="1817" t="e">
        <f t="shared" si="33"/>
        <v>#REF!</v>
      </c>
      <c r="M52" s="1874">
        <f t="shared" si="33"/>
        <v>-0.79042871385842473</v>
      </c>
      <c r="N52" s="1817" t="e">
        <f t="shared" si="33"/>
        <v>#REF!</v>
      </c>
      <c r="O52" s="2515"/>
      <c r="P52" s="1817">
        <f t="shared" si="32"/>
        <v>0.12962620195644731</v>
      </c>
      <c r="Q52" s="1817">
        <f t="shared" si="32"/>
        <v>-6.10785701570725E-2</v>
      </c>
      <c r="R52" s="1817" t="e">
        <f t="shared" si="32"/>
        <v>#REF!</v>
      </c>
      <c r="S52" s="1817">
        <f t="shared" si="32"/>
        <v>0.26146048893409563</v>
      </c>
      <c r="T52" s="1874" t="e">
        <f t="shared" si="32"/>
        <v>#REF!</v>
      </c>
      <c r="U52" s="1817" t="e">
        <f t="shared" si="32"/>
        <v>#REF!</v>
      </c>
      <c r="V52" s="1874" t="e">
        <f t="shared" si="32"/>
        <v>#REF!</v>
      </c>
      <c r="W52" s="1874">
        <f t="shared" si="32"/>
        <v>7.1887895204659782E-2</v>
      </c>
      <c r="X52" s="1817" t="e">
        <f t="shared" si="32"/>
        <v>#REF!</v>
      </c>
      <c r="Y52" s="1874">
        <f t="shared" si="32"/>
        <v>-0.75577842720510091</v>
      </c>
      <c r="Z52" s="1817" t="e">
        <f t="shared" si="32"/>
        <v>#REF!</v>
      </c>
    </row>
    <row r="53" spans="1:28" ht="12.75" customHeight="1" x14ac:dyDescent="0.2">
      <c r="A53" s="1285"/>
      <c r="B53" s="959"/>
      <c r="C53" s="908"/>
      <c r="D53" s="1817"/>
      <c r="E53" s="1817"/>
      <c r="F53" s="1817"/>
      <c r="G53" s="1817"/>
      <c r="H53" s="1874"/>
      <c r="I53" s="1817"/>
      <c r="J53" s="1817"/>
      <c r="K53" s="1817"/>
      <c r="L53" s="1817"/>
      <c r="M53" s="1874"/>
      <c r="N53" s="1817"/>
      <c r="O53" s="2515"/>
      <c r="P53" s="1817"/>
      <c r="Q53" s="1817"/>
      <c r="R53" s="1817"/>
      <c r="S53" s="1817"/>
      <c r="T53" s="1874"/>
      <c r="U53" s="1817"/>
      <c r="V53" s="1874"/>
      <c r="W53" s="1874"/>
      <c r="X53" s="1817"/>
      <c r="Y53" s="1874"/>
      <c r="Z53" s="1817"/>
    </row>
    <row r="54" spans="1:28" ht="12.75" customHeight="1" x14ac:dyDescent="0.2">
      <c r="A54" s="946"/>
      <c r="B54" s="946"/>
      <c r="C54" s="908"/>
      <c r="D54" s="952"/>
      <c r="E54" s="952"/>
      <c r="F54" s="952"/>
      <c r="G54" s="946"/>
      <c r="H54" s="946"/>
      <c r="I54" s="946"/>
      <c r="J54" s="952"/>
      <c r="K54" s="952"/>
      <c r="L54" s="952"/>
      <c r="M54" s="952"/>
      <c r="N54" s="952"/>
      <c r="O54" s="946"/>
      <c r="P54" s="952"/>
      <c r="Q54" s="952"/>
      <c r="R54" s="952"/>
      <c r="S54" s="946"/>
      <c r="T54" s="946"/>
      <c r="U54" s="946"/>
      <c r="V54" s="952"/>
      <c r="W54" s="952"/>
      <c r="X54" s="952"/>
      <c r="Y54" s="952"/>
      <c r="Z54" s="952"/>
      <c r="AA54" s="934"/>
      <c r="AB54" s="934"/>
    </row>
    <row r="55" spans="1:28" s="934" customFormat="1" ht="18" customHeight="1" x14ac:dyDescent="0.2">
      <c r="A55" s="965" t="s">
        <v>626</v>
      </c>
      <c r="B55" s="946"/>
      <c r="C55" s="900"/>
      <c r="D55" s="946"/>
      <c r="E55" s="946"/>
      <c r="F55" s="946"/>
      <c r="G55" s="946"/>
      <c r="H55" s="946"/>
      <c r="I55" s="946"/>
      <c r="J55" s="946"/>
      <c r="K55" s="946"/>
      <c r="L55" s="946"/>
      <c r="M55" s="1082"/>
      <c r="N55" s="946"/>
      <c r="O55" s="946"/>
      <c r="P55" s="946"/>
      <c r="Q55" s="946"/>
      <c r="R55" s="946"/>
      <c r="S55" s="946"/>
      <c r="T55" s="946"/>
      <c r="U55" s="946"/>
      <c r="V55" s="946"/>
      <c r="W55" s="946"/>
      <c r="X55" s="946"/>
      <c r="Y55" s="946"/>
      <c r="Z55" s="946"/>
    </row>
    <row r="56" spans="1:28" s="934" customFormat="1" ht="18" customHeight="1" x14ac:dyDescent="0.2">
      <c r="A56" s="965"/>
      <c r="B56" s="946"/>
      <c r="C56" s="900"/>
      <c r="D56" s="946"/>
      <c r="E56" s="946"/>
      <c r="F56" s="946"/>
      <c r="G56" s="946"/>
      <c r="H56" s="946"/>
      <c r="I56" s="946"/>
      <c r="J56" s="946"/>
      <c r="K56" s="946"/>
      <c r="L56" s="946"/>
      <c r="M56" s="1082"/>
      <c r="N56" s="946"/>
      <c r="O56" s="946"/>
      <c r="P56" s="946"/>
      <c r="Q56" s="946"/>
      <c r="R56" s="946"/>
      <c r="S56" s="946"/>
      <c r="T56" s="946"/>
      <c r="U56" s="946"/>
      <c r="V56" s="946"/>
      <c r="W56" s="946"/>
      <c r="X56" s="946"/>
      <c r="Y56" s="946"/>
      <c r="Z56" s="946"/>
    </row>
    <row r="57" spans="1:28" s="934" customFormat="1" ht="12.75" customHeight="1" x14ac:dyDescent="0.2">
      <c r="A57" s="961"/>
      <c r="B57" s="946"/>
      <c r="C57" s="900"/>
      <c r="D57" s="1290"/>
      <c r="E57" s="1290"/>
      <c r="F57" s="1290"/>
      <c r="G57" s="946"/>
      <c r="H57" s="946"/>
      <c r="I57" s="946"/>
      <c r="J57" s="1290"/>
      <c r="K57" s="1290"/>
      <c r="L57" s="1290"/>
      <c r="M57" s="1290"/>
      <c r="N57" s="1290"/>
      <c r="O57" s="946"/>
      <c r="P57" s="1290"/>
      <c r="Q57" s="1290"/>
      <c r="R57" s="1290"/>
      <c r="S57" s="946"/>
      <c r="T57" s="946"/>
      <c r="U57" s="946"/>
      <c r="V57" s="1290"/>
      <c r="W57" s="1290"/>
      <c r="X57" s="1290"/>
      <c r="Y57" s="1290"/>
      <c r="Z57" s="1290"/>
    </row>
    <row r="58" spans="1:28" s="934" customFormat="1" ht="27.75" customHeight="1" x14ac:dyDescent="0.2">
      <c r="A58" s="945"/>
      <c r="B58" s="946"/>
      <c r="C58" s="2561"/>
      <c r="D58" s="3152" t="s">
        <v>186</v>
      </c>
      <c r="E58" s="3153"/>
      <c r="F58" s="3153"/>
      <c r="G58" s="3153"/>
      <c r="H58" s="3153"/>
      <c r="I58" s="3154"/>
      <c r="J58" s="3158" t="s">
        <v>553</v>
      </c>
      <c r="K58" s="3159"/>
      <c r="L58" s="3160"/>
      <c r="M58" s="2570" t="s">
        <v>557</v>
      </c>
      <c r="N58" s="3155" t="s">
        <v>58</v>
      </c>
      <c r="O58" s="1034"/>
      <c r="P58" s="3152" t="s">
        <v>186</v>
      </c>
      <c r="Q58" s="3153"/>
      <c r="R58" s="3153"/>
      <c r="S58" s="3153"/>
      <c r="T58" s="3154"/>
      <c r="U58" s="2919"/>
      <c r="V58" s="3158" t="s">
        <v>553</v>
      </c>
      <c r="W58" s="3159"/>
      <c r="X58" s="3160"/>
      <c r="Y58" s="2570" t="s">
        <v>557</v>
      </c>
      <c r="Z58" s="3155" t="s">
        <v>58</v>
      </c>
    </row>
    <row r="59" spans="1:28" ht="39" customHeight="1" x14ac:dyDescent="0.2">
      <c r="A59" s="945" t="s">
        <v>2</v>
      </c>
      <c r="B59" s="946"/>
      <c r="C59" s="2563"/>
      <c r="D59" s="990" t="s">
        <v>84</v>
      </c>
      <c r="E59" s="990" t="s">
        <v>95</v>
      </c>
      <c r="F59" s="2878" t="s">
        <v>550</v>
      </c>
      <c r="G59" s="990" t="s">
        <v>283</v>
      </c>
      <c r="H59" s="2879" t="s">
        <v>472</v>
      </c>
      <c r="I59" s="2574" t="s">
        <v>58</v>
      </c>
      <c r="J59" s="2915" t="s">
        <v>84</v>
      </c>
      <c r="K59" s="2878" t="s">
        <v>551</v>
      </c>
      <c r="L59" s="995" t="s">
        <v>58</v>
      </c>
      <c r="M59" s="1808" t="s">
        <v>84</v>
      </c>
      <c r="N59" s="3156"/>
      <c r="O59" s="996"/>
      <c r="P59" s="990" t="s">
        <v>84</v>
      </c>
      <c r="Q59" s="990" t="s">
        <v>95</v>
      </c>
      <c r="R59" s="2880" t="s">
        <v>550</v>
      </c>
      <c r="S59" s="990" t="s">
        <v>283</v>
      </c>
      <c r="T59" s="2879" t="s">
        <v>472</v>
      </c>
      <c r="U59" s="2575" t="s">
        <v>58</v>
      </c>
      <c r="V59" s="990" t="s">
        <v>84</v>
      </c>
      <c r="W59" s="2878" t="s">
        <v>551</v>
      </c>
      <c r="X59" s="2575" t="s">
        <v>58</v>
      </c>
      <c r="Y59" s="996" t="s">
        <v>84</v>
      </c>
      <c r="Z59" s="3156"/>
      <c r="AA59" s="934"/>
      <c r="AB59" s="934"/>
    </row>
    <row r="60" spans="1:28" ht="12.75" customHeight="1" x14ac:dyDescent="0.2">
      <c r="A60" s="2566"/>
      <c r="B60" s="946" t="s">
        <v>4</v>
      </c>
      <c r="C60" s="2529"/>
      <c r="D60" s="2778">
        <f>'6 Capital Markets Canada'!K52</f>
        <v>77614</v>
      </c>
      <c r="E60" s="1455">
        <f>'7 CG - US'!K53</f>
        <v>68158</v>
      </c>
      <c r="F60" s="1455">
        <f>'8 UK &amp; Dubai'!K52</f>
        <v>34796</v>
      </c>
      <c r="G60" s="1455">
        <f>'9 CG - Australia'!K52</f>
        <v>20102</v>
      </c>
      <c r="H60" s="1780" t="e">
        <f>#REF!</f>
        <v>#REF!</v>
      </c>
      <c r="I60" s="1269" t="e">
        <f>SUM(D60:H60)</f>
        <v>#REF!</v>
      </c>
      <c r="J60" s="2778">
        <f>'11 CWM Canada'!K58</f>
        <v>51455</v>
      </c>
      <c r="K60" s="1780">
        <f>'12 CWM UK and Europe'!K55</f>
        <v>64923</v>
      </c>
      <c r="L60" s="1269">
        <f>SUM(J60:K60)</f>
        <v>116378</v>
      </c>
      <c r="M60" s="2560">
        <f>'13 Other'!K54</f>
        <v>5015</v>
      </c>
      <c r="N60" s="1245" t="e">
        <f>M60+L60+I60</f>
        <v>#REF!</v>
      </c>
      <c r="O60" s="1265"/>
      <c r="P60" s="2778">
        <f>'6 Capital Markets Canada'!BI52</f>
        <v>216106</v>
      </c>
      <c r="Q60" s="1455">
        <f>'7 CG - US'!BI53</f>
        <v>235942</v>
      </c>
      <c r="R60" s="1455">
        <f>'8 UK &amp; Dubai'!BI52</f>
        <v>128458</v>
      </c>
      <c r="S60" s="1455">
        <f>'9 CG - Australia'!AC52</f>
        <v>57022</v>
      </c>
      <c r="T60" s="1780" t="e">
        <f>#REF!</f>
        <v>#REF!</v>
      </c>
      <c r="U60" s="1245" t="e">
        <f t="shared" ref="U60:U63" si="34">SUM(P60:T60)</f>
        <v>#REF!</v>
      </c>
      <c r="V60" s="2778">
        <f>'11 CWM Canada'!BI58</f>
        <v>168882</v>
      </c>
      <c r="W60" s="1780">
        <f>'12 CWM UK and Europe'!BI55</f>
        <v>201383</v>
      </c>
      <c r="X60" s="1205">
        <f t="shared" ref="X60:X63" si="35">V60+W60</f>
        <v>370265</v>
      </c>
      <c r="Y60" s="2560">
        <f>'13 Other'!BI54</f>
        <v>15056</v>
      </c>
      <c r="Z60" s="1245" t="e">
        <f>Y60+X60+U60</f>
        <v>#REF!</v>
      </c>
    </row>
    <row r="61" spans="1:28" ht="12.75" customHeight="1" x14ac:dyDescent="0.2">
      <c r="A61" s="1208"/>
      <c r="B61" s="946" t="s">
        <v>80</v>
      </c>
      <c r="C61" s="2564"/>
      <c r="D61" s="1198">
        <f>'6 Capital Markets Canada'!K53</f>
        <v>54337</v>
      </c>
      <c r="E61" s="1269">
        <f>'7 CG - US'!K54</f>
        <v>60439</v>
      </c>
      <c r="F61" s="1269">
        <f>'8 UK &amp; Dubai'!K53</f>
        <v>32092</v>
      </c>
      <c r="G61" s="1269">
        <f>'9 CG - Australia'!K53</f>
        <v>13033</v>
      </c>
      <c r="H61" s="1245" t="e">
        <f>#REF!</f>
        <v>#REF!</v>
      </c>
      <c r="I61" s="1269" t="e">
        <f>SUM(D61:H61)</f>
        <v>#REF!</v>
      </c>
      <c r="J61" s="1198">
        <f>'11 CWM Canada'!K59</f>
        <v>40147</v>
      </c>
      <c r="K61" s="1245">
        <f>'12 CWM UK and Europe'!K56</f>
        <v>54770</v>
      </c>
      <c r="L61" s="1269">
        <f t="shared" ref="L61:L63" si="36">SUM(J61:K61)</f>
        <v>94917</v>
      </c>
      <c r="M61" s="1265">
        <f>'13 Other'!K55</f>
        <v>14817</v>
      </c>
      <c r="N61" s="1245" t="e">
        <f>M61+L61+I61</f>
        <v>#REF!</v>
      </c>
      <c r="O61" s="1265"/>
      <c r="P61" s="1198">
        <f>'6 Capital Markets Canada'!BI53</f>
        <v>161599</v>
      </c>
      <c r="Q61" s="1269">
        <f>'7 CG - US'!BI54</f>
        <v>227473</v>
      </c>
      <c r="R61" s="1269">
        <f>'8 UK &amp; Dubai'!BI53</f>
        <v>126316</v>
      </c>
      <c r="S61" s="1269">
        <f>'9 CG - Australia'!AC53</f>
        <v>41830</v>
      </c>
      <c r="T61" s="1245" t="e">
        <f>#REF!</f>
        <v>#REF!</v>
      </c>
      <c r="U61" s="1245" t="e">
        <f t="shared" si="34"/>
        <v>#REF!</v>
      </c>
      <c r="V61" s="1198">
        <f>'11 CWM Canada'!BI59</f>
        <v>134492</v>
      </c>
      <c r="W61" s="1245">
        <f>'12 CWM UK and Europe'!BI56</f>
        <v>162702</v>
      </c>
      <c r="X61" s="1205">
        <f t="shared" si="35"/>
        <v>297194</v>
      </c>
      <c r="Y61" s="1265">
        <f>'13 Other'!BI55</f>
        <v>56590</v>
      </c>
      <c r="Z61" s="1245" t="e">
        <f t="shared" ref="Z61:Z63" si="37">Y61+X61+U61</f>
        <v>#REF!</v>
      </c>
    </row>
    <row r="62" spans="1:28" ht="12.75" customHeight="1" x14ac:dyDescent="0.2">
      <c r="A62" s="1208"/>
      <c r="B62" s="2232" t="s">
        <v>336</v>
      </c>
      <c r="C62" s="2564"/>
      <c r="D62" s="1198">
        <f>'6 Capital Markets Canada'!K54</f>
        <v>2582</v>
      </c>
      <c r="E62" s="1269">
        <f>'7 CG - US'!K55</f>
        <v>878</v>
      </c>
      <c r="F62" s="1269">
        <f>'8 UK &amp; Dubai'!K54</f>
        <v>763</v>
      </c>
      <c r="G62" s="1269">
        <f>'9 CG - Australia'!K54</f>
        <v>283</v>
      </c>
      <c r="H62" s="1245" t="e">
        <f>#REF!</f>
        <v>#REF!</v>
      </c>
      <c r="I62" s="1269" t="e">
        <f>SUM(D62:H62)</f>
        <v>#REF!</v>
      </c>
      <c r="J62" s="1198">
        <f>'11 CWM Canada'!K60</f>
        <v>2854</v>
      </c>
      <c r="K62" s="1245">
        <f>'12 CWM UK and Europe'!K57</f>
        <v>376</v>
      </c>
      <c r="L62" s="1269">
        <f t="shared" si="36"/>
        <v>3230</v>
      </c>
      <c r="M62" s="1265">
        <f>'13 Other'!K56</f>
        <v>-7736</v>
      </c>
      <c r="N62" s="1245" t="e">
        <f>M62+L62+I62</f>
        <v>#REF!</v>
      </c>
      <c r="O62" s="1265"/>
      <c r="P62" s="1198">
        <f>'6 Capital Markets Canada'!BI54</f>
        <v>10159</v>
      </c>
      <c r="Q62" s="1269">
        <f>'7 CG - US'!BI55</f>
        <v>3113</v>
      </c>
      <c r="R62" s="1269">
        <f>'8 UK &amp; Dubai'!BI54</f>
        <v>2969</v>
      </c>
      <c r="S62" s="1269">
        <f>'9 CG - Australia'!AC54</f>
        <v>283</v>
      </c>
      <c r="T62" s="1245" t="e">
        <f>#REF!</f>
        <v>#REF!</v>
      </c>
      <c r="U62" s="1245" t="e">
        <f t="shared" si="34"/>
        <v>#REF!</v>
      </c>
      <c r="V62" s="1198">
        <f>'11 CWM Canada'!BI60</f>
        <v>14200</v>
      </c>
      <c r="W62" s="1245">
        <f>'12 CWM UK and Europe'!BI57</f>
        <v>1329</v>
      </c>
      <c r="X62" s="1205">
        <f t="shared" si="35"/>
        <v>15529</v>
      </c>
      <c r="Y62" s="1265">
        <f>'13 Other'!BI56</f>
        <v>-32053</v>
      </c>
      <c r="Z62" s="1245" t="e">
        <f t="shared" si="37"/>
        <v>#REF!</v>
      </c>
    </row>
    <row r="63" spans="1:28" ht="12.75" customHeight="1" x14ac:dyDescent="0.2">
      <c r="A63" s="1208"/>
      <c r="B63" s="946" t="s">
        <v>213</v>
      </c>
      <c r="C63" s="2564"/>
      <c r="D63" s="1307">
        <f>'6 Capital Markets Canada'!K55</f>
        <v>20695</v>
      </c>
      <c r="E63" s="1304">
        <f>'7 CG - US'!K56</f>
        <v>6841</v>
      </c>
      <c r="F63" s="1304">
        <f>'8 UK &amp; Dubai'!K55</f>
        <v>1941</v>
      </c>
      <c r="G63" s="1304">
        <f>'9 CG - Australia'!K55</f>
        <v>6786</v>
      </c>
      <c r="H63" s="1253" t="e">
        <f>#REF!</f>
        <v>#REF!</v>
      </c>
      <c r="I63" s="1253" t="e">
        <f>SUM(D63:H63)</f>
        <v>#REF!</v>
      </c>
      <c r="J63" s="1307">
        <f>'11 CWM Canada'!K61</f>
        <v>8454</v>
      </c>
      <c r="K63" s="1253">
        <f>'12 CWM UK and Europe'!K58</f>
        <v>9777</v>
      </c>
      <c r="L63" s="1304">
        <f t="shared" si="36"/>
        <v>18231</v>
      </c>
      <c r="M63" s="1274">
        <f>'13 Other'!K57</f>
        <v>-2066</v>
      </c>
      <c r="N63" s="1253" t="e">
        <f>M63+L63+I63</f>
        <v>#REF!</v>
      </c>
      <c r="O63" s="1265"/>
      <c r="P63" s="1307">
        <f>'6 Capital Markets Canada'!BI55</f>
        <v>44348</v>
      </c>
      <c r="Q63" s="1304">
        <f>'7 CG - US'!BI56</f>
        <v>5356</v>
      </c>
      <c r="R63" s="1304">
        <f>'8 UK &amp; Dubai'!BI55</f>
        <v>-827</v>
      </c>
      <c r="S63" s="1304">
        <f>'9 CG - Australia'!AC55</f>
        <v>14909</v>
      </c>
      <c r="T63" s="1253" t="e">
        <f>#REF!</f>
        <v>#REF!</v>
      </c>
      <c r="U63" s="1253" t="e">
        <f t="shared" si="34"/>
        <v>#REF!</v>
      </c>
      <c r="V63" s="1307">
        <f>'11 CWM Canada'!BI61</f>
        <v>20190</v>
      </c>
      <c r="W63" s="1253">
        <f>'12 CWM UK and Europe'!BI58</f>
        <v>37352</v>
      </c>
      <c r="X63" s="1252">
        <f t="shared" si="35"/>
        <v>57542</v>
      </c>
      <c r="Y63" s="1274">
        <f>'13 Other'!BI57</f>
        <v>-9481</v>
      </c>
      <c r="Z63" s="1253" t="e">
        <f t="shared" si="37"/>
        <v>#REF!</v>
      </c>
    </row>
    <row r="64" spans="1:28" ht="12.75" customHeight="1" x14ac:dyDescent="0.2">
      <c r="A64" s="1193"/>
      <c r="B64" s="946"/>
      <c r="C64" s="929"/>
      <c r="D64" s="959"/>
      <c r="E64" s="959"/>
      <c r="F64" s="959"/>
      <c r="G64" s="946"/>
      <c r="H64" s="946"/>
      <c r="I64" s="946"/>
      <c r="J64" s="959"/>
      <c r="K64" s="959"/>
      <c r="L64" s="959"/>
      <c r="M64" s="959"/>
      <c r="N64" s="959"/>
      <c r="O64" s="946"/>
      <c r="P64" s="959"/>
      <c r="Q64" s="959"/>
      <c r="R64" s="959"/>
      <c r="S64" s="946"/>
      <c r="T64" s="946"/>
      <c r="U64" s="946"/>
      <c r="V64" s="959"/>
      <c r="W64" s="959"/>
      <c r="X64" s="959"/>
      <c r="Y64" s="959"/>
      <c r="Z64" s="959"/>
    </row>
    <row r="65" spans="1:26" ht="12.75" customHeight="1" x14ac:dyDescent="0.2">
      <c r="A65" s="1193"/>
      <c r="B65" s="946" t="s">
        <v>540</v>
      </c>
      <c r="C65" s="929"/>
      <c r="D65" s="1874">
        <f t="shared" ref="D65:N65" si="38">IF(OR(((D26+D27)/D60)&gt;3,((D26+D27)/D60)&lt;-3),"n.m.",((D26+D27)/D60))</f>
        <v>0.51906872471461329</v>
      </c>
      <c r="E65" s="1874">
        <f t="shared" si="38"/>
        <v>0.54058217670706299</v>
      </c>
      <c r="F65" s="1874">
        <f t="shared" si="38"/>
        <v>0.63406713415335092</v>
      </c>
      <c r="G65" s="1874">
        <f t="shared" si="38"/>
        <v>0.52755944682121181</v>
      </c>
      <c r="H65" s="1874" t="e">
        <f t="shared" si="38"/>
        <v>#REF!</v>
      </c>
      <c r="I65" s="1874" t="e">
        <f t="shared" si="38"/>
        <v>#REF!</v>
      </c>
      <c r="J65" s="1874">
        <f t="shared" si="38"/>
        <v>0.584977164512681</v>
      </c>
      <c r="K65" s="1874">
        <f t="shared" si="38"/>
        <v>0.59792369422238656</v>
      </c>
      <c r="L65" s="1874">
        <f t="shared" si="38"/>
        <v>0.59219955661723001</v>
      </c>
      <c r="M65" s="1874">
        <f t="shared" si="38"/>
        <v>2.0251246261216349</v>
      </c>
      <c r="N65" s="1874" t="e">
        <f t="shared" si="38"/>
        <v>#REF!</v>
      </c>
      <c r="O65" s="1807"/>
      <c r="P65" s="1874">
        <f t="shared" ref="P65:Z65" si="39">IF(OR(((P26+P27)/P60)&gt;3,((P26+P27)/P60)&lt;-3),"n.m.",((P26+P27)/P60))</f>
        <v>0.54619492286192883</v>
      </c>
      <c r="Q65" s="1874">
        <f t="shared" si="39"/>
        <v>0.592997431572166</v>
      </c>
      <c r="R65" s="1874">
        <f t="shared" si="39"/>
        <v>0.66710520170016663</v>
      </c>
      <c r="S65" s="1874">
        <f t="shared" si="39"/>
        <v>0.57232296306688646</v>
      </c>
      <c r="T65" s="1874" t="e">
        <f t="shared" si="39"/>
        <v>#REF!</v>
      </c>
      <c r="U65" s="1874" t="e">
        <f t="shared" si="39"/>
        <v>#REF!</v>
      </c>
      <c r="V65" s="1874">
        <f t="shared" si="39"/>
        <v>0.57849267535912652</v>
      </c>
      <c r="W65" s="1874">
        <f t="shared" si="39"/>
        <v>0.56368710367806618</v>
      </c>
      <c r="X65" s="1874">
        <f t="shared" si="39"/>
        <v>0.57044009020566355</v>
      </c>
      <c r="Y65" s="1874">
        <f t="shared" si="39"/>
        <v>2.5019261424017003</v>
      </c>
      <c r="Z65" s="1874" t="e">
        <f t="shared" si="39"/>
        <v>#REF!</v>
      </c>
    </row>
    <row r="66" spans="1:26" ht="12.75" customHeight="1" x14ac:dyDescent="0.2">
      <c r="A66" s="1193"/>
      <c r="B66" s="1204" t="s">
        <v>75</v>
      </c>
      <c r="C66" s="929"/>
      <c r="D66" s="1874">
        <f t="shared" ref="D66:N66" si="40">IF(OR((D61-D26-D27)/D22&gt;3,(D61-D26-D27)/D22&lt;-3),"n.m.",((D61-D26-D27)/D22))</f>
        <v>0.18102404205426856</v>
      </c>
      <c r="E66" s="1874">
        <f t="shared" si="40"/>
        <v>0.34616626074708767</v>
      </c>
      <c r="F66" s="1874">
        <f t="shared" si="40"/>
        <v>0.28822278422807218</v>
      </c>
      <c r="G66" s="1874">
        <f t="shared" si="40"/>
        <v>0.12078400159188141</v>
      </c>
      <c r="H66" s="1874" t="e">
        <f t="shared" si="40"/>
        <v>#REF!</v>
      </c>
      <c r="I66" s="1874" t="e">
        <f t="shared" si="40"/>
        <v>#REF!</v>
      </c>
      <c r="J66" s="1874">
        <f t="shared" si="40"/>
        <v>0.19525799242056166</v>
      </c>
      <c r="K66" s="1874">
        <f t="shared" si="40"/>
        <v>0.24569104939697795</v>
      </c>
      <c r="L66" s="1874">
        <f t="shared" si="40"/>
        <v>0.2233927374589699</v>
      </c>
      <c r="M66" s="1874">
        <f t="shared" si="40"/>
        <v>0.92941176470588238</v>
      </c>
      <c r="N66" s="1874" t="e">
        <f t="shared" si="40"/>
        <v>#REF!</v>
      </c>
      <c r="O66" s="1807"/>
      <c r="P66" s="1874">
        <f t="shared" ref="P66:Z66" si="41">IF(OR((P61-P26-P27)/P22&gt;3,(P61-P26-P27)/P22&lt;-3),"n.m.",((P61-P26-P27)/P22))</f>
        <v>0.20158163123652281</v>
      </c>
      <c r="Q66" s="1874">
        <f t="shared" si="41"/>
        <v>0.37110815369879036</v>
      </c>
      <c r="R66" s="1874">
        <f t="shared" si="41"/>
        <v>0.31622008749941616</v>
      </c>
      <c r="S66" s="1874">
        <f t="shared" si="41"/>
        <v>0.16125355126091684</v>
      </c>
      <c r="T66" s="1874" t="e">
        <f t="shared" si="41"/>
        <v>#REF!</v>
      </c>
      <c r="U66" s="1874" t="e">
        <f t="shared" si="41"/>
        <v>#REF!</v>
      </c>
      <c r="V66" s="1874">
        <f t="shared" si="41"/>
        <v>0.21787401854549329</v>
      </c>
      <c r="W66" s="1874">
        <f t="shared" si="41"/>
        <v>0.24423610731789674</v>
      </c>
      <c r="X66" s="1874">
        <f t="shared" si="41"/>
        <v>0.23221206433230254</v>
      </c>
      <c r="Y66" s="1874">
        <f t="shared" si="41"/>
        <v>1.2567082890541976</v>
      </c>
      <c r="Z66" s="1874" t="e">
        <f t="shared" si="41"/>
        <v>#REF!</v>
      </c>
    </row>
    <row r="67" spans="1:26" ht="12.75" customHeight="1" x14ac:dyDescent="0.2">
      <c r="A67" s="1193"/>
      <c r="B67" s="1204" t="s">
        <v>76</v>
      </c>
      <c r="C67" s="929"/>
      <c r="D67" s="1874">
        <f>IF(OR(D61/D$60&gt;3,D61/D$60&lt;-3),"n.m.",(D61/D$60))</f>
        <v>0.70009276676888188</v>
      </c>
      <c r="E67" s="1874">
        <f>IF(OR(E61/E$60&gt;3,E61/E$60&lt;-3),"n.m.",(E61/E$60))</f>
        <v>0.88674843745415066</v>
      </c>
      <c r="F67" s="1874">
        <f t="shared" ref="F67:Z67" si="42">IF(OR(F61/F$60&gt;3,F61/F$60&lt;-3),"n.m.",(F61/F$60))</f>
        <v>0.92228991838142316</v>
      </c>
      <c r="G67" s="1874">
        <f t="shared" si="42"/>
        <v>0.64834344841309322</v>
      </c>
      <c r="H67" s="1874" t="e">
        <f t="shared" si="42"/>
        <v>#REF!</v>
      </c>
      <c r="I67" s="1874" t="e">
        <f t="shared" si="42"/>
        <v>#REF!</v>
      </c>
      <c r="J67" s="1874">
        <f t="shared" si="42"/>
        <v>0.78023515693324264</v>
      </c>
      <c r="K67" s="1874">
        <f t="shared" si="42"/>
        <v>0.8436147436193645</v>
      </c>
      <c r="L67" s="1874">
        <f t="shared" si="42"/>
        <v>0.81559229407619993</v>
      </c>
      <c r="M67" s="1874">
        <f t="shared" si="42"/>
        <v>2.9545363908275175</v>
      </c>
      <c r="N67" s="1874" t="e">
        <f t="shared" si="42"/>
        <v>#REF!</v>
      </c>
      <c r="O67" s="1807"/>
      <c r="P67" s="1874">
        <f t="shared" si="42"/>
        <v>0.74777655409845167</v>
      </c>
      <c r="Q67" s="1874">
        <f t="shared" si="42"/>
        <v>0.96410558527095647</v>
      </c>
      <c r="R67" s="1874">
        <f t="shared" si="42"/>
        <v>0.98332528919958273</v>
      </c>
      <c r="S67" s="1874">
        <f t="shared" si="42"/>
        <v>0.73357651432780335</v>
      </c>
      <c r="T67" s="1874" t="e">
        <f t="shared" si="42"/>
        <v>#REF!</v>
      </c>
      <c r="U67" s="1874" t="e">
        <f t="shared" si="42"/>
        <v>#REF!</v>
      </c>
      <c r="V67" s="1874">
        <f t="shared" si="42"/>
        <v>0.79636669390461978</v>
      </c>
      <c r="W67" s="1874">
        <f t="shared" si="42"/>
        <v>0.80792321099596287</v>
      </c>
      <c r="X67" s="1874">
        <f t="shared" si="42"/>
        <v>0.80265215453796601</v>
      </c>
      <c r="Y67" s="1874" t="str">
        <f t="shared" si="42"/>
        <v>n.m.</v>
      </c>
      <c r="Z67" s="1874" t="e">
        <f t="shared" si="42"/>
        <v>#REF!</v>
      </c>
    </row>
    <row r="68" spans="1:26" ht="12.75" customHeight="1" x14ac:dyDescent="0.2">
      <c r="A68" s="1193"/>
      <c r="B68" s="1204" t="s">
        <v>77</v>
      </c>
      <c r="C68" s="929"/>
      <c r="D68" s="1874">
        <f>IF(OR(D63/D$60&gt;3,D63/D$60&lt;-3),"n.m.",(D63/D$60))</f>
        <v>0.26664003916819129</v>
      </c>
      <c r="E68" s="1874">
        <f>IF(OR(E63/E$60&gt;3,E63/E$60&lt;-3),"n.m.",(E63/E$60))</f>
        <v>0.10036972915871945</v>
      </c>
      <c r="F68" s="1874">
        <f t="shared" ref="F68:N68" si="43">IF(OR(F63/F$60&gt;3,F63/F$60&lt;-3),"n.m.",(F63/F$60))</f>
        <v>5.5782273824577538E-2</v>
      </c>
      <c r="G68" s="1874">
        <f t="shared" si="43"/>
        <v>0.33757835041289425</v>
      </c>
      <c r="H68" s="1874" t="e">
        <f t="shared" si="43"/>
        <v>#REF!</v>
      </c>
      <c r="I68" s="1874" t="e">
        <f t="shared" si="43"/>
        <v>#REF!</v>
      </c>
      <c r="J68" s="1874">
        <f t="shared" si="43"/>
        <v>0.16429890195316296</v>
      </c>
      <c r="K68" s="1874">
        <f t="shared" si="43"/>
        <v>0.15059378032438428</v>
      </c>
      <c r="L68" s="1874">
        <f t="shared" si="43"/>
        <v>0.156653319355892</v>
      </c>
      <c r="M68" s="1874">
        <f t="shared" si="43"/>
        <v>-0.41196410767696912</v>
      </c>
      <c r="N68" s="1874" t="e">
        <f t="shared" si="43"/>
        <v>#REF!</v>
      </c>
      <c r="O68" s="1807"/>
      <c r="P68" s="1874">
        <f t="shared" ref="P68:Z68" si="44">IF(OR(P63/P$60&gt;3,P63/P$60&lt;-3),"n.m.",(P63/P$60))</f>
        <v>0.20521410789149769</v>
      </c>
      <c r="Q68" s="1874">
        <f t="shared" si="44"/>
        <v>2.2700494189249902E-2</v>
      </c>
      <c r="R68" s="1874">
        <f t="shared" si="44"/>
        <v>-6.4379018823272974E-3</v>
      </c>
      <c r="S68" s="1874">
        <f t="shared" si="44"/>
        <v>0.26146048893409563</v>
      </c>
      <c r="T68" s="1874" t="e">
        <f t="shared" si="44"/>
        <v>#REF!</v>
      </c>
      <c r="U68" s="1874" t="e">
        <f t="shared" si="44"/>
        <v>#REF!</v>
      </c>
      <c r="V68" s="1874">
        <f t="shared" si="44"/>
        <v>0.1195509290510534</v>
      </c>
      <c r="W68" s="1874">
        <f t="shared" si="44"/>
        <v>0.18547742361569744</v>
      </c>
      <c r="X68" s="1874">
        <f t="shared" si="44"/>
        <v>0.15540761346603107</v>
      </c>
      <c r="Y68" s="1874">
        <f t="shared" si="44"/>
        <v>-0.62971572794899044</v>
      </c>
      <c r="Z68" s="1874" t="e">
        <f t="shared" si="44"/>
        <v>#REF!</v>
      </c>
    </row>
    <row r="69" spans="1:26" s="934" customFormat="1" ht="12.75" customHeight="1" x14ac:dyDescent="0.2">
      <c r="A69" s="961"/>
      <c r="B69" s="946"/>
      <c r="C69" s="900"/>
      <c r="D69" s="946"/>
      <c r="E69" s="946"/>
      <c r="F69" s="946"/>
      <c r="G69" s="946"/>
      <c r="H69" s="946"/>
      <c r="I69" s="946"/>
      <c r="J69" s="946"/>
      <c r="K69" s="946"/>
      <c r="L69" s="946"/>
      <c r="M69" s="946"/>
      <c r="N69" s="946"/>
      <c r="O69" s="946"/>
      <c r="P69" s="946"/>
      <c r="Q69" s="946"/>
      <c r="R69" s="946"/>
      <c r="S69" s="946"/>
      <c r="T69" s="946"/>
      <c r="U69" s="946"/>
      <c r="V69" s="946"/>
      <c r="W69" s="946"/>
      <c r="X69" s="946"/>
      <c r="Y69" s="946"/>
      <c r="Z69" s="940"/>
    </row>
    <row r="70" spans="1:26" s="934" customFormat="1" ht="12.75" customHeight="1" x14ac:dyDescent="0.2">
      <c r="A70" s="961"/>
      <c r="B70" s="946"/>
      <c r="C70" s="900"/>
      <c r="D70" s="946"/>
      <c r="E70" s="946"/>
      <c r="F70" s="946"/>
      <c r="G70" s="946"/>
      <c r="H70" s="946"/>
      <c r="I70" s="946"/>
      <c r="J70" s="946"/>
      <c r="K70" s="946"/>
      <c r="L70" s="946"/>
      <c r="M70" s="946"/>
      <c r="N70" s="946"/>
      <c r="O70" s="946"/>
      <c r="P70" s="946"/>
      <c r="Q70" s="946"/>
      <c r="R70" s="946"/>
      <c r="S70" s="946"/>
      <c r="T70" s="946"/>
      <c r="U70" s="946"/>
      <c r="V70" s="946"/>
      <c r="W70" s="946"/>
      <c r="X70" s="946"/>
      <c r="Y70" s="946"/>
      <c r="Z70" s="940"/>
    </row>
    <row r="71" spans="1:26" x14ac:dyDescent="0.2">
      <c r="A71" s="946" t="s">
        <v>357</v>
      </c>
      <c r="B71" s="972"/>
      <c r="C71" s="897"/>
      <c r="D71" s="941"/>
      <c r="E71" s="941"/>
      <c r="F71" s="941"/>
      <c r="G71" s="941"/>
      <c r="H71" s="941"/>
      <c r="I71" s="941"/>
      <c r="J71" s="941"/>
      <c r="K71" s="941"/>
      <c r="L71" s="941"/>
      <c r="M71" s="941"/>
      <c r="N71" s="941"/>
      <c r="O71" s="941"/>
      <c r="P71" s="941"/>
      <c r="Q71" s="941"/>
      <c r="R71" s="941"/>
      <c r="S71" s="941"/>
      <c r="T71" s="941"/>
      <c r="U71" s="941"/>
      <c r="V71" s="941"/>
      <c r="W71" s="941"/>
      <c r="X71" s="941"/>
      <c r="Y71" s="941"/>
    </row>
    <row r="72" spans="1:26" x14ac:dyDescent="0.2">
      <c r="A72" s="971" t="s">
        <v>28</v>
      </c>
      <c r="B72" s="940"/>
      <c r="C72" s="897"/>
      <c r="D72" s="941"/>
      <c r="E72" s="941"/>
      <c r="F72" s="941"/>
      <c r="G72" s="941"/>
      <c r="H72" s="974"/>
      <c r="I72" s="974"/>
      <c r="J72" s="941"/>
      <c r="K72" s="941"/>
      <c r="L72" s="941"/>
      <c r="M72" s="941"/>
      <c r="N72" s="941"/>
      <c r="O72" s="941"/>
      <c r="P72" s="941"/>
      <c r="Q72" s="941"/>
      <c r="R72" s="941"/>
      <c r="S72" s="941"/>
      <c r="T72" s="974"/>
      <c r="U72" s="974"/>
      <c r="V72" s="941"/>
      <c r="W72" s="941"/>
      <c r="X72" s="941"/>
      <c r="Y72" s="941"/>
    </row>
    <row r="73" spans="1:26" x14ac:dyDescent="0.2">
      <c r="A73" s="941"/>
      <c r="B73" s="940"/>
      <c r="C73" s="897"/>
      <c r="D73" s="941"/>
      <c r="E73" s="941"/>
      <c r="F73" s="941"/>
      <c r="G73" s="941"/>
      <c r="H73" s="941"/>
      <c r="I73" s="941"/>
      <c r="J73" s="941"/>
      <c r="K73" s="941"/>
      <c r="L73" s="941"/>
      <c r="M73" s="1141"/>
      <c r="N73" s="1141"/>
      <c r="O73" s="941"/>
      <c r="P73" s="941"/>
      <c r="Q73" s="941"/>
      <c r="R73" s="941"/>
      <c r="S73" s="941"/>
      <c r="T73" s="941"/>
      <c r="U73" s="941"/>
      <c r="V73" s="941"/>
      <c r="W73" s="941"/>
      <c r="X73" s="941"/>
      <c r="Y73" s="1141"/>
    </row>
    <row r="74" spans="1:26" x14ac:dyDescent="0.2">
      <c r="A74" s="946" t="s">
        <v>564</v>
      </c>
      <c r="B74" s="940"/>
      <c r="C74" s="897"/>
      <c r="D74" s="941"/>
      <c r="E74" s="941"/>
      <c r="F74" s="941"/>
      <c r="G74" s="941"/>
      <c r="H74" s="941"/>
      <c r="I74" s="941"/>
      <c r="J74" s="941"/>
      <c r="K74" s="941"/>
      <c r="L74" s="941"/>
      <c r="M74" s="1141"/>
      <c r="N74" s="1141"/>
      <c r="O74" s="941"/>
      <c r="P74" s="941"/>
      <c r="Q74" s="941"/>
      <c r="R74" s="941"/>
      <c r="S74" s="941"/>
      <c r="T74" s="941"/>
      <c r="U74" s="941"/>
      <c r="V74" s="941"/>
      <c r="W74" s="941"/>
      <c r="X74" s="941"/>
      <c r="Y74" s="1141"/>
    </row>
  </sheetData>
  <mergeCells count="16">
    <mergeCell ref="D11:N11"/>
    <mergeCell ref="P11:Z11"/>
    <mergeCell ref="D12:I12"/>
    <mergeCell ref="J12:L12"/>
    <mergeCell ref="N12:N13"/>
    <mergeCell ref="P12:U12"/>
    <mergeCell ref="V12:X12"/>
    <mergeCell ref="Z12:Z13"/>
    <mergeCell ref="V58:X58"/>
    <mergeCell ref="Z58:Z59"/>
    <mergeCell ref="A42:B42"/>
    <mergeCell ref="A44:B44"/>
    <mergeCell ref="D58:I58"/>
    <mergeCell ref="J58:L58"/>
    <mergeCell ref="N58:N59"/>
    <mergeCell ref="P58:T58"/>
  </mergeCells>
  <conditionalFormatting sqref="A55:A57 A54:B54 A48:A49 B46:B49 A69:A70">
    <cfRule type="cellIs" dxfId="156" priority="3" stopIfTrue="1" operator="equal">
      <formula>0</formula>
    </cfRule>
  </conditionalFormatting>
  <conditionalFormatting sqref="D46:G47 J46:Z47">
    <cfRule type="cellIs" dxfId="155" priority="1" operator="lessThan">
      <formula>-3</formula>
    </cfRule>
    <cfRule type="cellIs" dxfId="154" priority="2" operator="greaterThan">
      <formula>3</formula>
    </cfRule>
  </conditionalFormatting>
  <printOptions horizontalCentered="1"/>
  <pageMargins left="0" right="0" top="0.75" bottom="0" header="0" footer="0"/>
  <pageSetup scale="44"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63B4-DC96-4611-B6AD-506E9FE2D77E}">
  <dimension ref="A7:K55"/>
  <sheetViews>
    <sheetView topLeftCell="A22" zoomScaleNormal="100" workbookViewId="0">
      <selection activeCell="D52" sqref="D52"/>
    </sheetView>
  </sheetViews>
  <sheetFormatPr defaultRowHeight="12.75" x14ac:dyDescent="0.2"/>
  <cols>
    <col min="4" max="4" width="8.85546875" style="480"/>
    <col min="5" max="5" width="54.140625" customWidth="1"/>
    <col min="6" max="6" width="28.42578125" bestFit="1" customWidth="1"/>
    <col min="7" max="7" width="21.85546875" bestFit="1" customWidth="1"/>
    <col min="8" max="8" width="22.42578125" bestFit="1" customWidth="1"/>
    <col min="9" max="9" width="20.85546875" bestFit="1" customWidth="1"/>
    <col min="10" max="10" width="16.5703125" customWidth="1"/>
  </cols>
  <sheetData>
    <row r="7" spans="1:11" s="480" customFormat="1" ht="15" x14ac:dyDescent="0.2">
      <c r="A7" s="1185" t="s">
        <v>362</v>
      </c>
    </row>
    <row r="8" spans="1:11" s="480" customFormat="1" ht="15" x14ac:dyDescent="0.2">
      <c r="A8" s="2573" t="s">
        <v>706</v>
      </c>
    </row>
    <row r="9" spans="1:11" s="480" customFormat="1" ht="15" x14ac:dyDescent="0.2">
      <c r="A9" s="3006"/>
    </row>
    <row r="10" spans="1:11" s="480" customFormat="1" ht="15" x14ac:dyDescent="0.2">
      <c r="A10" s="3006"/>
    </row>
    <row r="11" spans="1:11" s="480" customFormat="1" ht="15" x14ac:dyDescent="0.2">
      <c r="A11" s="3006"/>
    </row>
    <row r="12" spans="1:11" s="480" customFormat="1" ht="15" x14ac:dyDescent="0.2">
      <c r="A12" s="3006"/>
    </row>
    <row r="13" spans="1:11" s="480" customFormat="1" ht="15" x14ac:dyDescent="0.2">
      <c r="A13" s="3006"/>
    </row>
    <row r="14" spans="1:11" s="480" customFormat="1" ht="15" x14ac:dyDescent="0.2">
      <c r="A14" s="3006"/>
    </row>
    <row r="15" spans="1:11" ht="13.5" thickBot="1" x14ac:dyDescent="0.25"/>
    <row r="16" spans="1:11" ht="14.25" x14ac:dyDescent="0.2">
      <c r="E16" s="3170" t="s">
        <v>674</v>
      </c>
      <c r="F16" s="3172"/>
      <c r="G16" s="3174"/>
      <c r="H16" s="3176"/>
      <c r="I16" s="3007" t="s">
        <v>685</v>
      </c>
      <c r="J16" s="3178" t="s">
        <v>240</v>
      </c>
      <c r="K16" s="482"/>
    </row>
    <row r="17" spans="5:11" ht="15" thickBot="1" x14ac:dyDescent="0.25">
      <c r="E17" s="3171"/>
      <c r="F17" s="3173"/>
      <c r="G17" s="3175"/>
      <c r="H17" s="3177"/>
      <c r="I17" s="3008" t="s">
        <v>686</v>
      </c>
      <c r="J17" s="3179"/>
      <c r="K17" s="482"/>
    </row>
    <row r="18" spans="5:11" ht="30.75" thickBot="1" x14ac:dyDescent="0.25">
      <c r="E18" s="3009" t="s">
        <v>687</v>
      </c>
      <c r="F18" s="3010" t="s">
        <v>651</v>
      </c>
      <c r="G18" s="3011" t="s">
        <v>304</v>
      </c>
      <c r="H18" s="3012" t="s">
        <v>92</v>
      </c>
      <c r="I18" s="3013" t="s">
        <v>58</v>
      </c>
      <c r="J18" s="3012" t="s">
        <v>58</v>
      </c>
      <c r="K18" s="482"/>
    </row>
    <row r="19" spans="5:11" ht="14.25" x14ac:dyDescent="0.2">
      <c r="E19" s="3014" t="s">
        <v>4</v>
      </c>
      <c r="F19" s="3015">
        <v>190023</v>
      </c>
      <c r="G19" s="3016">
        <v>129741</v>
      </c>
      <c r="H19" s="3017">
        <v>5744</v>
      </c>
      <c r="I19" s="3018">
        <v>325508</v>
      </c>
      <c r="J19" s="3017">
        <v>325508</v>
      </c>
      <c r="K19" s="482"/>
    </row>
    <row r="20" spans="5:11" ht="14.25" x14ac:dyDescent="0.2">
      <c r="E20" s="3014" t="s">
        <v>5</v>
      </c>
      <c r="F20" s="3015">
        <v>-167701</v>
      </c>
      <c r="G20" s="3016">
        <v>-106969</v>
      </c>
      <c r="H20" s="3017">
        <v>-19486</v>
      </c>
      <c r="I20" s="3018">
        <v>-294156</v>
      </c>
      <c r="J20" s="3017">
        <v>-294156</v>
      </c>
      <c r="K20" s="482"/>
    </row>
    <row r="21" spans="5:11" ht="15" thickBot="1" x14ac:dyDescent="0.25">
      <c r="E21" s="3014" t="s">
        <v>688</v>
      </c>
      <c r="F21" s="3015">
        <v>-4545</v>
      </c>
      <c r="G21" s="3016">
        <v>-4013</v>
      </c>
      <c r="H21" s="3017">
        <v>8558</v>
      </c>
      <c r="I21" s="3018">
        <v>0</v>
      </c>
      <c r="J21" s="3017">
        <v>0</v>
      </c>
      <c r="K21" s="482"/>
    </row>
    <row r="22" spans="5:11" ht="41.45" customHeight="1" x14ac:dyDescent="0.2">
      <c r="E22" s="3019" t="s">
        <v>689</v>
      </c>
      <c r="F22" s="3020">
        <v>17777</v>
      </c>
      <c r="G22" s="3021">
        <v>18759</v>
      </c>
      <c r="H22" s="3022">
        <v>-5184</v>
      </c>
      <c r="I22" s="3023">
        <v>31352</v>
      </c>
      <c r="J22" s="3022">
        <v>31352</v>
      </c>
      <c r="K22" s="482"/>
    </row>
    <row r="23" spans="5:11" ht="14.25" x14ac:dyDescent="0.2">
      <c r="E23" s="3024" t="s">
        <v>690</v>
      </c>
      <c r="F23" s="3015"/>
      <c r="G23" s="3025"/>
      <c r="H23" s="3026"/>
      <c r="I23" s="3027"/>
      <c r="J23" s="3026"/>
      <c r="K23" s="482"/>
    </row>
    <row r="24" spans="5:11" ht="15" x14ac:dyDescent="0.2">
      <c r="E24" s="3028" t="s">
        <v>412</v>
      </c>
      <c r="F24" s="3015">
        <v>2471</v>
      </c>
      <c r="G24" s="3029">
        <v>3043</v>
      </c>
      <c r="H24" s="3030">
        <v>0</v>
      </c>
      <c r="I24" s="3018">
        <v>5514</v>
      </c>
      <c r="J24" s="3030">
        <v>0</v>
      </c>
      <c r="K24" s="482"/>
    </row>
    <row r="25" spans="5:11" ht="15" x14ac:dyDescent="0.2">
      <c r="E25" s="3028" t="s">
        <v>185</v>
      </c>
      <c r="F25" s="3015">
        <v>177</v>
      </c>
      <c r="G25" s="3029">
        <v>335</v>
      </c>
      <c r="H25" s="3030">
        <v>0</v>
      </c>
      <c r="I25" s="3018">
        <v>512</v>
      </c>
      <c r="J25" s="3030">
        <v>0</v>
      </c>
      <c r="K25" s="482"/>
    </row>
    <row r="26" spans="5:11" ht="15.75" thickBot="1" x14ac:dyDescent="0.25">
      <c r="E26" s="3028" t="s">
        <v>691</v>
      </c>
      <c r="F26" s="3015" t="s">
        <v>692</v>
      </c>
      <c r="G26" s="3029">
        <v>1152</v>
      </c>
      <c r="H26" s="3029">
        <v>0</v>
      </c>
      <c r="I26" s="3018">
        <v>1152</v>
      </c>
      <c r="J26" s="3030">
        <v>0</v>
      </c>
      <c r="K26" s="482"/>
    </row>
    <row r="27" spans="5:11" ht="15" thickBot="1" x14ac:dyDescent="0.25">
      <c r="E27" s="3031" t="s">
        <v>416</v>
      </c>
      <c r="F27" s="3020">
        <v>2648</v>
      </c>
      <c r="G27" s="3021">
        <v>4530</v>
      </c>
      <c r="H27" s="3021">
        <v>0</v>
      </c>
      <c r="I27" s="3023">
        <v>7178</v>
      </c>
      <c r="J27" s="3022">
        <v>0</v>
      </c>
      <c r="K27" s="482"/>
    </row>
    <row r="28" spans="5:11" s="480" customFormat="1" ht="14.25" x14ac:dyDescent="0.2">
      <c r="E28" s="3014"/>
      <c r="F28" s="3020"/>
      <c r="G28" s="3021"/>
      <c r="H28" s="3021"/>
      <c r="I28" s="3023"/>
      <c r="J28" s="3022"/>
      <c r="K28" s="482"/>
    </row>
    <row r="29" spans="5:11" ht="14.25" x14ac:dyDescent="0.2">
      <c r="E29" s="3014" t="s">
        <v>72</v>
      </c>
      <c r="F29" s="3015">
        <v>20425</v>
      </c>
      <c r="G29" s="3029">
        <v>23289</v>
      </c>
      <c r="H29" s="3017">
        <v>-5184</v>
      </c>
      <c r="I29" s="3018">
        <v>38530</v>
      </c>
      <c r="J29" s="3017">
        <v>31352</v>
      </c>
      <c r="K29" s="482"/>
    </row>
    <row r="30" spans="5:11" ht="14.25" x14ac:dyDescent="0.2">
      <c r="E30" s="3028" t="s">
        <v>693</v>
      </c>
      <c r="F30" s="3015">
        <v>-4753</v>
      </c>
      <c r="G30" s="3029">
        <v>-4825</v>
      </c>
      <c r="H30" s="3017">
        <v>1702</v>
      </c>
      <c r="I30" s="3018">
        <v>-7876</v>
      </c>
      <c r="J30" s="3017">
        <v>-7062</v>
      </c>
      <c r="K30" s="482"/>
    </row>
    <row r="31" spans="5:11" ht="15" x14ac:dyDescent="0.2">
      <c r="E31" s="3028" t="s">
        <v>246</v>
      </c>
      <c r="F31" s="3015">
        <v>-85</v>
      </c>
      <c r="G31" s="3029">
        <v>0</v>
      </c>
      <c r="H31" s="3030">
        <v>0</v>
      </c>
      <c r="I31" s="3018">
        <v>-85</v>
      </c>
      <c r="J31" s="3017">
        <v>-85</v>
      </c>
      <c r="K31" s="482"/>
    </row>
    <row r="32" spans="5:11" ht="15" x14ac:dyDescent="0.2">
      <c r="E32" s="3028" t="s">
        <v>694</v>
      </c>
      <c r="F32" s="3015">
        <v>-1397.1055935002062</v>
      </c>
      <c r="G32" s="3029">
        <v>-953.8944064997936</v>
      </c>
      <c r="H32" s="3030">
        <v>0</v>
      </c>
      <c r="I32" s="3018">
        <v>-2351</v>
      </c>
      <c r="J32" s="3017">
        <v>-2351</v>
      </c>
      <c r="K32" s="482"/>
    </row>
    <row r="33" spans="5:11" ht="14.25" x14ac:dyDescent="0.2">
      <c r="E33" s="3028" t="s">
        <v>695</v>
      </c>
      <c r="F33" s="3015">
        <v>-2069.2138139377789</v>
      </c>
      <c r="G33" s="3029">
        <v>-1412.7861860622208</v>
      </c>
      <c r="H33" s="3017">
        <v>3482</v>
      </c>
      <c r="I33" s="3018">
        <v>0</v>
      </c>
      <c r="J33" s="3017">
        <v>0</v>
      </c>
      <c r="K33" s="482"/>
    </row>
    <row r="34" spans="5:11" s="480" customFormat="1" ht="15" thickBot="1" x14ac:dyDescent="0.25">
      <c r="E34" s="3028"/>
      <c r="F34" s="3015"/>
      <c r="G34" s="3029"/>
      <c r="H34" s="3017"/>
      <c r="I34" s="3018"/>
      <c r="J34" s="3017"/>
      <c r="K34" s="482"/>
    </row>
    <row r="35" spans="5:11" ht="15" x14ac:dyDescent="0.2">
      <c r="E35" s="3019" t="s">
        <v>696</v>
      </c>
      <c r="F35" s="3020">
        <v>12120.680592562016</v>
      </c>
      <c r="G35" s="3021">
        <v>16097.319407437986</v>
      </c>
      <c r="H35" s="3032">
        <v>0</v>
      </c>
      <c r="I35" s="3023">
        <v>28218</v>
      </c>
      <c r="J35" s="3022">
        <v>21854</v>
      </c>
      <c r="K35" s="482"/>
    </row>
    <row r="36" spans="5:11" ht="14.25" x14ac:dyDescent="0.2">
      <c r="E36" s="3033" t="s">
        <v>697</v>
      </c>
      <c r="F36" s="3034"/>
      <c r="G36" s="3025"/>
      <c r="H36" s="3026"/>
      <c r="I36" s="3027"/>
      <c r="J36" s="3026"/>
      <c r="K36" s="482"/>
    </row>
    <row r="37" spans="5:11" ht="15.75" thickBot="1" x14ac:dyDescent="0.25">
      <c r="E37" s="3028" t="s">
        <v>698</v>
      </c>
      <c r="F37" s="3015">
        <v>1014.9963222876871</v>
      </c>
      <c r="G37" s="3029">
        <v>693.00367771231288</v>
      </c>
      <c r="H37" s="3030">
        <v>0</v>
      </c>
      <c r="I37" s="3018">
        <v>1708</v>
      </c>
      <c r="J37" s="3017">
        <v>1708</v>
      </c>
      <c r="K37" s="482"/>
    </row>
    <row r="38" spans="5:11" ht="15.75" thickBot="1" x14ac:dyDescent="0.25">
      <c r="E38" s="3035"/>
      <c r="F38" s="3036">
        <v>13135.676914849702</v>
      </c>
      <c r="G38" s="3037">
        <v>16790.323085150299</v>
      </c>
      <c r="H38" s="3038">
        <v>0</v>
      </c>
      <c r="I38" s="3039">
        <v>29926</v>
      </c>
      <c r="J38" s="3040">
        <v>23562</v>
      </c>
      <c r="K38" s="482"/>
    </row>
    <row r="39" spans="5:11" s="480" customFormat="1" ht="15.75" thickTop="1" x14ac:dyDescent="0.2">
      <c r="E39" s="3014"/>
      <c r="F39" s="3015"/>
      <c r="G39" s="3029"/>
      <c r="H39" s="3030"/>
      <c r="I39" s="3018"/>
      <c r="J39" s="3017"/>
      <c r="K39" s="482"/>
    </row>
    <row r="40" spans="5:11" ht="14.25" x14ac:dyDescent="0.2">
      <c r="E40" s="3014" t="s">
        <v>699</v>
      </c>
      <c r="F40" s="3034">
        <v>129910</v>
      </c>
      <c r="G40" s="3025">
        <v>129910</v>
      </c>
      <c r="H40" s="3026"/>
      <c r="I40" s="3018">
        <v>129910</v>
      </c>
      <c r="J40" s="3017">
        <v>129910</v>
      </c>
      <c r="K40" s="482"/>
    </row>
    <row r="41" spans="5:11" ht="15" x14ac:dyDescent="0.2">
      <c r="E41" s="3014" t="s">
        <v>700</v>
      </c>
      <c r="F41" s="3041">
        <v>0.10111367034754601</v>
      </c>
      <c r="G41" s="3042">
        <v>0.12924580929220461</v>
      </c>
      <c r="H41" s="3042">
        <v>0</v>
      </c>
      <c r="I41" s="3043">
        <v>0.22535947963975059</v>
      </c>
      <c r="J41" s="3043"/>
      <c r="K41" s="482"/>
    </row>
    <row r="42" spans="5:11" ht="15.75" thickBot="1" x14ac:dyDescent="0.25">
      <c r="E42" s="3044" t="s">
        <v>701</v>
      </c>
      <c r="F42" s="3045">
        <v>0</v>
      </c>
      <c r="G42" s="3046">
        <v>0</v>
      </c>
      <c r="H42" s="3047">
        <v>0</v>
      </c>
      <c r="I42" s="3048"/>
      <c r="J42" s="3049">
        <v>0.18137171888230313</v>
      </c>
      <c r="K42" s="482"/>
    </row>
    <row r="43" spans="5:11" x14ac:dyDescent="0.2">
      <c r="E43" s="482"/>
    </row>
    <row r="44" spans="5:11" s="480" customFormat="1" x14ac:dyDescent="0.2"/>
    <row r="45" spans="5:11" s="480" customFormat="1" x14ac:dyDescent="0.2"/>
    <row r="46" spans="5:11" s="480" customFormat="1" x14ac:dyDescent="0.2"/>
    <row r="47" spans="5:11" s="480" customFormat="1" x14ac:dyDescent="0.2"/>
    <row r="48" spans="5:11" s="480" customFormat="1" x14ac:dyDescent="0.2"/>
    <row r="49" spans="5:5" s="480" customFormat="1" x14ac:dyDescent="0.2"/>
    <row r="51" spans="5:5" x14ac:dyDescent="0.2">
      <c r="E51" s="3050" t="s">
        <v>724</v>
      </c>
    </row>
    <row r="52" spans="5:5" x14ac:dyDescent="0.2">
      <c r="E52" s="3050" t="s">
        <v>702</v>
      </c>
    </row>
    <row r="53" spans="5:5" x14ac:dyDescent="0.2">
      <c r="E53" s="3050" t="s">
        <v>703</v>
      </c>
    </row>
    <row r="54" spans="5:5" x14ac:dyDescent="0.2">
      <c r="E54" s="3050" t="s">
        <v>704</v>
      </c>
    </row>
    <row r="55" spans="5:5" x14ac:dyDescent="0.2">
      <c r="E55" s="2315"/>
    </row>
  </sheetData>
  <mergeCells count="5">
    <mergeCell ref="E16:E17"/>
    <mergeCell ref="F16:F17"/>
    <mergeCell ref="G16:G17"/>
    <mergeCell ref="H16:H17"/>
    <mergeCell ref="J16:J17"/>
  </mergeCells>
  <pageMargins left="0.7" right="0.7" top="0.75" bottom="0.75" header="0.3" footer="0.3"/>
  <pageSetup scale="51" firstPageNumber="4" orientation="landscape" useFirstPageNumber="1" r:id="rId1"/>
  <headerFooter>
    <oddFooter>&amp;CPage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B88F3CAB-E078-4F81-8C33-0BC86E026124}">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27</vt:i4>
      </vt:variant>
    </vt:vector>
  </HeadingPairs>
  <TitlesOfParts>
    <vt:vector size="53" baseType="lpstr">
      <vt:lpstr>1 Cover</vt:lpstr>
      <vt:lpstr>2 Table of Contents</vt:lpstr>
      <vt:lpstr>1 Financial Highlights</vt:lpstr>
      <vt:lpstr>2 Consolidated IS</vt:lpstr>
      <vt:lpstr>MDA Tables</vt:lpstr>
      <vt:lpstr>3 Business Segments FY20</vt:lpstr>
      <vt:lpstr>4 Capital Markets North America</vt:lpstr>
      <vt:lpstr>3 Business Segments FY18</vt:lpstr>
      <vt:lpstr>4. EPS by business segment</vt:lpstr>
      <vt:lpstr>5 Canaccord Genuity </vt:lpstr>
      <vt:lpstr>6 Capital Markets Canada</vt:lpstr>
      <vt:lpstr>7 CG - US</vt:lpstr>
      <vt:lpstr>8 UK &amp; Dubai</vt:lpstr>
      <vt:lpstr>9 CG - Australia</vt:lpstr>
      <vt:lpstr>10 Wealth Management</vt:lpstr>
      <vt:lpstr>CWM BGF</vt:lpstr>
      <vt:lpstr>11 CWM Canada</vt:lpstr>
      <vt:lpstr>12 CWM UK and Europe</vt:lpstr>
      <vt:lpstr>13 Other</vt:lpstr>
      <vt:lpstr>14 Balance Sheet</vt:lpstr>
      <vt:lpstr>7 Canada</vt:lpstr>
      <vt:lpstr>8 UK and Europe</vt:lpstr>
      <vt:lpstr>9 US</vt:lpstr>
      <vt:lpstr>15 Misc Operating Stats</vt:lpstr>
      <vt:lpstr>16 Notes</vt:lpstr>
      <vt:lpstr>NHI</vt:lpstr>
      <vt:lpstr>'MDA Tables'!OLE_LINK30</vt:lpstr>
      <vt:lpstr>'MDA Tables'!OLE_LINK40</vt:lpstr>
      <vt:lpstr>'1 Cover'!Print_Area</vt:lpstr>
      <vt:lpstr>'1 Financial Highlights'!Print_Area</vt:lpstr>
      <vt:lpstr>'10 Wealth Management'!Print_Area</vt:lpstr>
      <vt:lpstr>'11 CWM Canada'!Print_Area</vt:lpstr>
      <vt:lpstr>'12 CWM UK and Europe'!Print_Area</vt:lpstr>
      <vt:lpstr>'13 Other'!Print_Area</vt:lpstr>
      <vt:lpstr>'14 Balance Sheet'!Print_Area</vt:lpstr>
      <vt:lpstr>'15 Misc Operating Stats'!Print_Area</vt:lpstr>
      <vt:lpstr>'16 Notes'!Print_Area</vt:lpstr>
      <vt:lpstr>'2 Consolidated IS'!Print_Area</vt:lpstr>
      <vt:lpstr>'2 Table of Contents'!Print_Area</vt:lpstr>
      <vt:lpstr>'3 Business Segments FY18'!Print_Area</vt:lpstr>
      <vt:lpstr>'3 Business Segments FY20'!Print_Area</vt:lpstr>
      <vt:lpstr>'4 Capital Markets North America'!Print_Area</vt:lpstr>
      <vt:lpstr>'5 Canaccord Genuity '!Print_Area</vt:lpstr>
      <vt:lpstr>'6 Capital Markets Canada'!Print_Area</vt:lpstr>
      <vt:lpstr>'7 Canada'!Print_Area</vt:lpstr>
      <vt:lpstr>'7 CG - US'!Print_Area</vt:lpstr>
      <vt:lpstr>'8 UK &amp; Dubai'!Print_Area</vt:lpstr>
      <vt:lpstr>'8 UK and Europe'!Print_Area</vt:lpstr>
      <vt:lpstr>'9 CG - Australia'!Print_Area</vt:lpstr>
      <vt:lpstr>'9 US'!Print_Area</vt:lpstr>
      <vt:lpstr>'CWM BGF'!Print_Area</vt:lpstr>
      <vt:lpstr>'MDA Tables'!Print_Area</vt:lpstr>
      <vt:lpstr>NHI!Print_Area</vt:lpstr>
    </vt:vector>
  </TitlesOfParts>
  <Company>Canaccord Capital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Grisdale</dc:creator>
  <cp:lastModifiedBy>Wood, Laura</cp:lastModifiedBy>
  <cp:lastPrinted>2019-09-12T00:13:08Z</cp:lastPrinted>
  <dcterms:created xsi:type="dcterms:W3CDTF">2008-06-18T15:17:32Z</dcterms:created>
  <dcterms:modified xsi:type="dcterms:W3CDTF">2019-09-12T15:31:45Z</dcterms:modified>
  <cp:contentStatus/>
</cp:coreProperties>
</file>